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. nr 2 wydatki" sheetId="1" r:id="rId1"/>
  </sheets>
  <definedNames>
    <definedName name="_xlnm.Print_Titles" localSheetId="0">'zał. nr 2 wydatki'!$6:$6</definedName>
  </definedNames>
  <calcPr fullCalcOnLoad="1"/>
</workbook>
</file>

<file path=xl/sharedStrings.xml><?xml version="1.0" encoding="utf-8"?>
<sst xmlns="http://schemas.openxmlformats.org/spreadsheetml/2006/main" count="133" uniqueCount="28">
  <si>
    <t xml:space="preserve">Burmistrza Trzcianki 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</si>
  <si>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</si>
  <si>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</si>
  <si>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</si>
  <si>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</si>
  <si>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</si>
  <si>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</si>
  <si>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</si>
  <si>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</si>
  <si>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</si>
  <si>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</si>
  <si>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</si>
  <si>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</si>
  <si>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</si>
  <si>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Załącznik Nr 2</t>
  </si>
  <si>
    <t>Dział</t>
  </si>
  <si>
    <t>bieżące/
majątkowe</t>
  </si>
  <si>
    <t>010</t>
  </si>
  <si>
    <t>bieżące</t>
  </si>
  <si>
    <t>majątkowe</t>
  </si>
  <si>
    <t>Harmonogram wydatków budżetu gminy Trzcianka w 2010 roku</t>
  </si>
  <si>
    <t>zm.</t>
  </si>
  <si>
    <t>zm</t>
  </si>
  <si>
    <t>do Zarządzenia Nr 99/10</t>
  </si>
  <si>
    <t>z dnia 21 lipca 2010 r.</t>
  </si>
  <si>
    <t>ogółem wydatki</t>
  </si>
  <si>
    <t>wydatki bieżące</t>
  </si>
  <si>
    <t>wydatki majątkowe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</si>
</sst>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0"/>
    </font>
    <font>
      <sz val="8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" fontId="4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 quotePrefix="1">
      <alignment horizontal="center" vertical="center" wrapText="1"/>
    </xf>
    <xf numFmtId="0" fontId="1" fillId="0" borderId="14" xfId="0" applyFont="1" applyFill="1" applyBorder="1" applyAlignment="1" quotePrefix="1">
      <alignment horizontal="center" vertical="center" wrapText="1"/>
    </xf>
    <xf numFmtId="0" fontId="1" fillId="0" borderId="15" xfId="0" applyFont="1" applyFill="1" applyBorder="1" applyAlignment="1" quotePrefix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4"/>
  <sheetViews>
    <sheetView tabSelected="1" zoomScalePageLayoutView="0" workbookViewId="0" topLeftCell="A1">
      <selection activeCell="E57" sqref="E57"/>
    </sheetView>
  </sheetViews>
  <sheetFormatPr defaultColWidth="9.00390625" defaultRowHeight="12.75"/>
  <cols>
    <col min="1" max="1" width="8.875" style="31" customWidth="1"/>
    <col min="2" max="2" width="11.375" style="0" customWidth="1"/>
    <col min="3" max="3" width="11.125" style="0" hidden="1" customWidth="1"/>
    <col min="4" max="13" width="11.75390625" style="11" bestFit="1" customWidth="1"/>
    <col min="14" max="14" width="13.125" style="11" customWidth="1"/>
    <col min="15" max="15" width="11.75390625" style="11" bestFit="1" customWidth="1"/>
    <col min="16" max="16" width="12.75390625" style="0" bestFit="1" customWidth="1"/>
    <col min="17" max="17" width="10.125" style="0" bestFit="1" customWidth="1"/>
    <col min="18" max="18" width="11.75390625" style="0" bestFit="1" customWidth="1"/>
  </cols>
  <sheetData>
    <row r="1" spans="1:16" s="2" customFormat="1" ht="12.75">
      <c r="A1" s="29"/>
      <c r="B1" s="20"/>
      <c r="C1" s="20"/>
      <c r="D1" s="32"/>
      <c r="E1" s="32"/>
      <c r="F1" s="32"/>
      <c r="G1" s="32"/>
      <c r="H1" s="32"/>
      <c r="I1" s="32"/>
      <c r="J1" s="32"/>
      <c r="K1" s="32"/>
      <c r="L1" s="32"/>
      <c r="M1" s="32"/>
      <c r="N1" s="32" t="s">
        <v>14</v>
      </c>
      <c r="O1" s="32"/>
      <c r="P1" s="20"/>
    </row>
    <row r="2" spans="1:16" s="2" customFormat="1" ht="12.75">
      <c r="A2" s="29"/>
      <c r="B2" s="20"/>
      <c r="C2" s="20"/>
      <c r="D2" s="32"/>
      <c r="E2" s="32"/>
      <c r="F2" s="32"/>
      <c r="G2" s="32"/>
      <c r="H2" s="32"/>
      <c r="I2" s="32"/>
      <c r="J2" s="32"/>
      <c r="K2" s="32"/>
      <c r="L2" s="32"/>
      <c r="M2" s="32"/>
      <c r="N2" s="32" t="s">
        <v>23</v>
      </c>
      <c r="O2" s="32"/>
      <c r="P2" s="20"/>
    </row>
    <row r="3" spans="1:16" s="2" customFormat="1" ht="12.75">
      <c r="A3" s="29"/>
      <c r="B3" s="20"/>
      <c r="C3" s="20"/>
      <c r="D3" s="32"/>
      <c r="E3" s="32"/>
      <c r="F3" s="32"/>
      <c r="G3" s="32"/>
      <c r="H3" s="32"/>
      <c r="I3" s="32"/>
      <c r="J3" s="32"/>
      <c r="K3" s="32"/>
      <c r="L3" s="32"/>
      <c r="M3" s="32"/>
      <c r="N3" s="32" t="s">
        <v>0</v>
      </c>
      <c r="O3" s="32"/>
      <c r="P3" s="20"/>
    </row>
    <row r="4" spans="1:16" s="2" customFormat="1" ht="12.75">
      <c r="A4" s="29"/>
      <c r="B4" s="20"/>
      <c r="C4" s="20"/>
      <c r="D4" s="32"/>
      <c r="E4" s="32"/>
      <c r="F4" s="32"/>
      <c r="G4" s="32"/>
      <c r="H4" s="32"/>
      <c r="I4" s="32"/>
      <c r="J4" s="32"/>
      <c r="K4" s="32"/>
      <c r="L4" s="32"/>
      <c r="M4" s="32"/>
      <c r="N4" s="32" t="s">
        <v>24</v>
      </c>
      <c r="O4" s="32"/>
      <c r="P4" s="20"/>
    </row>
    <row r="5" spans="1:16" s="2" customFormat="1" ht="12.75">
      <c r="A5" s="35" t="s">
        <v>20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s="1" customFormat="1" ht="27.75" customHeight="1">
      <c r="A6" s="30" t="s">
        <v>15</v>
      </c>
      <c r="B6" s="4" t="s">
        <v>16</v>
      </c>
      <c r="C6" s="4" t="s">
        <v>13</v>
      </c>
      <c r="D6" s="33" t="s">
        <v>1</v>
      </c>
      <c r="E6" s="33" t="s">
        <v>2</v>
      </c>
      <c r="F6" s="33" t="s">
        <v>3</v>
      </c>
      <c r="G6" s="33" t="s">
        <v>4</v>
      </c>
      <c r="H6" s="33" t="s">
        <v>5</v>
      </c>
      <c r="I6" s="33" t="s">
        <v>6</v>
      </c>
      <c r="J6" s="33" t="s">
        <v>7</v>
      </c>
      <c r="K6" s="33" t="s">
        <v>8</v>
      </c>
      <c r="L6" s="33" t="s">
        <v>9</v>
      </c>
      <c r="M6" s="33" t="s">
        <v>10</v>
      </c>
      <c r="N6" s="33" t="s">
        <v>11</v>
      </c>
      <c r="O6" s="33" t="s">
        <v>12</v>
      </c>
      <c r="P6" s="5" t="s">
        <v>13</v>
      </c>
    </row>
    <row r="7" spans="1:16" s="11" customFormat="1" ht="24.75" customHeight="1" hidden="1">
      <c r="A7" s="36" t="s">
        <v>17</v>
      </c>
      <c r="B7" s="23" t="s">
        <v>18</v>
      </c>
      <c r="C7" s="24">
        <f>8700+300000</f>
        <v>308700</v>
      </c>
      <c r="D7" s="25">
        <v>0</v>
      </c>
      <c r="E7" s="25">
        <v>0</v>
      </c>
      <c r="F7" s="25">
        <f>11250+1900</f>
        <v>13150</v>
      </c>
      <c r="G7" s="25">
        <v>0</v>
      </c>
      <c r="H7" s="25">
        <v>1900</v>
      </c>
      <c r="I7" s="25">
        <v>11250</v>
      </c>
      <c r="J7" s="25">
        <v>0</v>
      </c>
      <c r="K7" s="25">
        <v>0</v>
      </c>
      <c r="L7" s="25">
        <f>11250+1900</f>
        <v>13150</v>
      </c>
      <c r="M7" s="25">
        <v>275000</v>
      </c>
      <c r="N7" s="25">
        <v>1900</v>
      </c>
      <c r="O7" s="25">
        <v>11250</v>
      </c>
      <c r="P7" s="25">
        <f aca="true" t="shared" si="0" ref="P7:P70">SUM(D7:O7)</f>
        <v>327600</v>
      </c>
    </row>
    <row r="8" spans="1:16" s="11" customFormat="1" ht="18.75" customHeight="1" hidden="1">
      <c r="A8" s="37"/>
      <c r="B8" s="23" t="s">
        <v>22</v>
      </c>
      <c r="C8" s="24"/>
      <c r="D8" s="25">
        <v>0</v>
      </c>
      <c r="E8" s="25">
        <v>0</v>
      </c>
      <c r="F8" s="25">
        <v>0</v>
      </c>
      <c r="G8" s="25">
        <v>0</v>
      </c>
      <c r="H8" s="25">
        <v>271797</v>
      </c>
      <c r="I8" s="25">
        <v>0</v>
      </c>
      <c r="J8" s="25">
        <v>0</v>
      </c>
      <c r="K8" s="25">
        <v>0</v>
      </c>
      <c r="L8" s="25">
        <v>0</v>
      </c>
      <c r="M8" s="25">
        <v>-234408</v>
      </c>
      <c r="N8" s="25">
        <v>0</v>
      </c>
      <c r="O8" s="25">
        <v>0</v>
      </c>
      <c r="P8" s="25">
        <f t="shared" si="0"/>
        <v>37389</v>
      </c>
    </row>
    <row r="9" spans="1:16" s="7" customFormat="1" ht="24.75" customHeight="1">
      <c r="A9" s="37"/>
      <c r="B9" s="14" t="s">
        <v>18</v>
      </c>
      <c r="C9" s="14">
        <f aca="true" t="shared" si="1" ref="C9:O9">SUM(C7:C8)</f>
        <v>308700</v>
      </c>
      <c r="D9" s="24">
        <f t="shared" si="1"/>
        <v>0</v>
      </c>
      <c r="E9" s="24">
        <f t="shared" si="1"/>
        <v>0</v>
      </c>
      <c r="F9" s="24">
        <f t="shared" si="1"/>
        <v>13150</v>
      </c>
      <c r="G9" s="24">
        <f t="shared" si="1"/>
        <v>0</v>
      </c>
      <c r="H9" s="24">
        <f t="shared" si="1"/>
        <v>273697</v>
      </c>
      <c r="I9" s="24">
        <f t="shared" si="1"/>
        <v>11250</v>
      </c>
      <c r="J9" s="24">
        <f t="shared" si="1"/>
        <v>0</v>
      </c>
      <c r="K9" s="24">
        <f t="shared" si="1"/>
        <v>0</v>
      </c>
      <c r="L9" s="24">
        <f t="shared" si="1"/>
        <v>13150</v>
      </c>
      <c r="M9" s="24">
        <f t="shared" si="1"/>
        <v>40592</v>
      </c>
      <c r="N9" s="24">
        <f t="shared" si="1"/>
        <v>1900</v>
      </c>
      <c r="O9" s="24">
        <f t="shared" si="1"/>
        <v>11250</v>
      </c>
      <c r="P9" s="16">
        <f t="shared" si="0"/>
        <v>364989</v>
      </c>
    </row>
    <row r="10" spans="1:16" s="11" customFormat="1" ht="24.75" customHeight="1" hidden="1">
      <c r="A10" s="37"/>
      <c r="B10" s="23" t="s">
        <v>19</v>
      </c>
      <c r="C10" s="24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f t="shared" si="0"/>
        <v>0</v>
      </c>
    </row>
    <row r="11" spans="1:16" s="11" customFormat="1" ht="24.75" customHeight="1" hidden="1">
      <c r="A11" s="37"/>
      <c r="B11" s="23" t="s">
        <v>22</v>
      </c>
      <c r="C11" s="24"/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484408</v>
      </c>
      <c r="N11" s="25">
        <v>0</v>
      </c>
      <c r="O11" s="25">
        <v>0</v>
      </c>
      <c r="P11" s="25">
        <f t="shared" si="0"/>
        <v>484408</v>
      </c>
    </row>
    <row r="12" spans="1:16" s="7" customFormat="1" ht="25.5" customHeight="1">
      <c r="A12" s="38"/>
      <c r="B12" s="14" t="s">
        <v>19</v>
      </c>
      <c r="C12" s="15"/>
      <c r="D12" s="25">
        <f>SUM(D10:D11)</f>
        <v>0</v>
      </c>
      <c r="E12" s="25">
        <f aca="true" t="shared" si="2" ref="E12:O12">SUM(E10:E11)</f>
        <v>0</v>
      </c>
      <c r="F12" s="25">
        <f t="shared" si="2"/>
        <v>0</v>
      </c>
      <c r="G12" s="25">
        <f t="shared" si="2"/>
        <v>0</v>
      </c>
      <c r="H12" s="25">
        <f t="shared" si="2"/>
        <v>0</v>
      </c>
      <c r="I12" s="25">
        <f t="shared" si="2"/>
        <v>0</v>
      </c>
      <c r="J12" s="25">
        <f t="shared" si="2"/>
        <v>0</v>
      </c>
      <c r="K12" s="25">
        <f t="shared" si="2"/>
        <v>0</v>
      </c>
      <c r="L12" s="25">
        <f t="shared" si="2"/>
        <v>0</v>
      </c>
      <c r="M12" s="25">
        <f t="shared" si="2"/>
        <v>484408</v>
      </c>
      <c r="N12" s="25">
        <f t="shared" si="2"/>
        <v>0</v>
      </c>
      <c r="O12" s="25">
        <f t="shared" si="2"/>
        <v>0</v>
      </c>
      <c r="P12" s="16">
        <f t="shared" si="0"/>
        <v>484408</v>
      </c>
    </row>
    <row r="13" spans="1:16" s="11" customFormat="1" ht="24.75" customHeight="1" hidden="1">
      <c r="A13" s="39">
        <v>600</v>
      </c>
      <c r="B13" s="23" t="s">
        <v>18</v>
      </c>
      <c r="C13" s="24">
        <f>31780+150000+501650</f>
        <v>683430</v>
      </c>
      <c r="D13" s="25">
        <v>0</v>
      </c>
      <c r="E13" s="25">
        <v>0</v>
      </c>
      <c r="F13" s="25">
        <v>74600</v>
      </c>
      <c r="G13" s="25">
        <v>74600</v>
      </c>
      <c r="H13" s="25">
        <v>74600</v>
      </c>
      <c r="I13" s="25">
        <v>74600</v>
      </c>
      <c r="J13" s="25">
        <v>74600</v>
      </c>
      <c r="K13" s="25">
        <v>74600</v>
      </c>
      <c r="L13" s="25">
        <v>74600</v>
      </c>
      <c r="M13" s="25">
        <v>74697</v>
      </c>
      <c r="N13" s="25">
        <v>0</v>
      </c>
      <c r="O13" s="25">
        <v>0</v>
      </c>
      <c r="P13" s="25">
        <f t="shared" si="0"/>
        <v>596897</v>
      </c>
    </row>
    <row r="14" spans="1:16" s="11" customFormat="1" ht="24.75" customHeight="1" hidden="1">
      <c r="A14" s="40"/>
      <c r="B14" s="23" t="s">
        <v>22</v>
      </c>
      <c r="C14" s="24"/>
      <c r="D14" s="25">
        <v>0</v>
      </c>
      <c r="E14" s="25">
        <v>0</v>
      </c>
      <c r="F14" s="25">
        <f>51000-1150</f>
        <v>49850</v>
      </c>
      <c r="G14" s="25">
        <v>0</v>
      </c>
      <c r="H14" s="25"/>
      <c r="I14" s="25"/>
      <c r="J14" s="25"/>
      <c r="K14" s="25">
        <f>50000+10000</f>
        <v>60000</v>
      </c>
      <c r="L14" s="25"/>
      <c r="M14" s="25"/>
      <c r="N14" s="25"/>
      <c r="O14" s="25"/>
      <c r="P14" s="25">
        <f>SUM(D14:O14)</f>
        <v>109850</v>
      </c>
    </row>
    <row r="15" spans="1:16" s="7" customFormat="1" ht="24.75" customHeight="1">
      <c r="A15" s="40"/>
      <c r="B15" s="14" t="s">
        <v>18</v>
      </c>
      <c r="C15" s="15"/>
      <c r="D15" s="25">
        <f>SUM(D13:D14)</f>
        <v>0</v>
      </c>
      <c r="E15" s="25">
        <f aca="true" t="shared" si="3" ref="E15:P15">SUM(E13:E14)</f>
        <v>0</v>
      </c>
      <c r="F15" s="25">
        <f t="shared" si="3"/>
        <v>124450</v>
      </c>
      <c r="G15" s="25">
        <f t="shared" si="3"/>
        <v>74600</v>
      </c>
      <c r="H15" s="25">
        <f t="shared" si="3"/>
        <v>74600</v>
      </c>
      <c r="I15" s="25">
        <f t="shared" si="3"/>
        <v>74600</v>
      </c>
      <c r="J15" s="25">
        <f t="shared" si="3"/>
        <v>74600</v>
      </c>
      <c r="K15" s="25">
        <f t="shared" si="3"/>
        <v>134600</v>
      </c>
      <c r="L15" s="25">
        <f t="shared" si="3"/>
        <v>74600</v>
      </c>
      <c r="M15" s="25">
        <f t="shared" si="3"/>
        <v>74697</v>
      </c>
      <c r="N15" s="25">
        <f t="shared" si="3"/>
        <v>0</v>
      </c>
      <c r="O15" s="25">
        <f t="shared" si="3"/>
        <v>0</v>
      </c>
      <c r="P15" s="16">
        <f t="shared" si="3"/>
        <v>706747</v>
      </c>
    </row>
    <row r="16" spans="1:16" s="11" customFormat="1" ht="24.75" customHeight="1" hidden="1">
      <c r="A16" s="40"/>
      <c r="B16" s="23" t="s">
        <v>19</v>
      </c>
      <c r="C16" s="26">
        <f>3053270+15000</f>
        <v>3068270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19300</v>
      </c>
      <c r="J16" s="25">
        <v>10000</v>
      </c>
      <c r="K16" s="25">
        <v>350000</v>
      </c>
      <c r="L16" s="25">
        <v>0</v>
      </c>
      <c r="M16" s="25">
        <v>30000</v>
      </c>
      <c r="N16" s="25">
        <v>1500000</v>
      </c>
      <c r="O16" s="25">
        <v>0</v>
      </c>
      <c r="P16" s="25">
        <f t="shared" si="0"/>
        <v>1909300</v>
      </c>
    </row>
    <row r="17" spans="1:16" s="11" customFormat="1" ht="24.75" customHeight="1" hidden="1">
      <c r="A17" s="40"/>
      <c r="B17" s="23" t="s">
        <v>22</v>
      </c>
      <c r="C17" s="26"/>
      <c r="D17" s="25"/>
      <c r="E17" s="25"/>
      <c r="F17" s="25"/>
      <c r="G17" s="25"/>
      <c r="H17" s="25"/>
      <c r="I17" s="25"/>
      <c r="J17" s="25"/>
      <c r="K17" s="25">
        <f>294100+34500+14105</f>
        <v>342705</v>
      </c>
      <c r="L17" s="25">
        <v>3500</v>
      </c>
      <c r="M17" s="25">
        <v>51395</v>
      </c>
      <c r="N17" s="25">
        <v>-500000</v>
      </c>
      <c r="O17" s="25">
        <v>127220</v>
      </c>
      <c r="P17" s="25">
        <f>SUM(D17:O17)</f>
        <v>24820</v>
      </c>
    </row>
    <row r="18" spans="1:16" s="7" customFormat="1" ht="24.75" customHeight="1">
      <c r="A18" s="41"/>
      <c r="B18" s="14" t="s">
        <v>19</v>
      </c>
      <c r="C18" s="17"/>
      <c r="D18" s="25">
        <f>SUM(D16:D17)</f>
        <v>0</v>
      </c>
      <c r="E18" s="25">
        <f aca="true" t="shared" si="4" ref="E18:P18">SUM(E16:E17)</f>
        <v>0</v>
      </c>
      <c r="F18" s="25">
        <f t="shared" si="4"/>
        <v>0</v>
      </c>
      <c r="G18" s="25">
        <f t="shared" si="4"/>
        <v>0</v>
      </c>
      <c r="H18" s="25">
        <f t="shared" si="4"/>
        <v>0</v>
      </c>
      <c r="I18" s="25">
        <f t="shared" si="4"/>
        <v>19300</v>
      </c>
      <c r="J18" s="25">
        <f t="shared" si="4"/>
        <v>10000</v>
      </c>
      <c r="K18" s="25">
        <f t="shared" si="4"/>
        <v>692705</v>
      </c>
      <c r="L18" s="25">
        <f t="shared" si="4"/>
        <v>3500</v>
      </c>
      <c r="M18" s="25">
        <f t="shared" si="4"/>
        <v>81395</v>
      </c>
      <c r="N18" s="25">
        <f t="shared" si="4"/>
        <v>1000000</v>
      </c>
      <c r="O18" s="25">
        <f t="shared" si="4"/>
        <v>127220</v>
      </c>
      <c r="P18" s="16">
        <f t="shared" si="4"/>
        <v>1934120</v>
      </c>
    </row>
    <row r="19" spans="1:16" s="11" customFormat="1" ht="24.75" customHeight="1" hidden="1">
      <c r="A19" s="42">
        <v>700</v>
      </c>
      <c r="B19" s="23" t="s">
        <v>18</v>
      </c>
      <c r="C19" s="26">
        <f>63000+1189208+300000+460</f>
        <v>1552668</v>
      </c>
      <c r="D19" s="25">
        <f>2500+163500+49</f>
        <v>166049</v>
      </c>
      <c r="E19" s="25">
        <f aca="true" t="shared" si="5" ref="E19:N19">2500+163500+49</f>
        <v>166049</v>
      </c>
      <c r="F19" s="25">
        <f t="shared" si="5"/>
        <v>166049</v>
      </c>
      <c r="G19" s="25">
        <f t="shared" si="5"/>
        <v>166049</v>
      </c>
      <c r="H19" s="25">
        <f t="shared" si="5"/>
        <v>166049</v>
      </c>
      <c r="I19" s="25">
        <f t="shared" si="5"/>
        <v>166049</v>
      </c>
      <c r="J19" s="25">
        <f t="shared" si="5"/>
        <v>166049</v>
      </c>
      <c r="K19" s="25">
        <f t="shared" si="5"/>
        <v>166049</v>
      </c>
      <c r="L19" s="25">
        <f t="shared" si="5"/>
        <v>166049</v>
      </c>
      <c r="M19" s="25">
        <f t="shared" si="5"/>
        <v>166049</v>
      </c>
      <c r="N19" s="25">
        <f t="shared" si="5"/>
        <v>166049</v>
      </c>
      <c r="O19" s="25">
        <f>2500+163500+49-71</f>
        <v>165978</v>
      </c>
      <c r="P19" s="25">
        <f t="shared" si="0"/>
        <v>1992517</v>
      </c>
    </row>
    <row r="20" spans="1:16" s="11" customFormat="1" ht="24.75" customHeight="1" hidden="1">
      <c r="A20" s="43"/>
      <c r="B20" s="23" t="s">
        <v>22</v>
      </c>
      <c r="C20" s="26"/>
      <c r="D20" s="25">
        <f>410+13148</f>
        <v>13558</v>
      </c>
      <c r="E20" s="25">
        <f>410+13148</f>
        <v>13558</v>
      </c>
      <c r="F20" s="25">
        <f>6900+410+13148</f>
        <v>20458</v>
      </c>
      <c r="G20" s="25">
        <f>410+13148</f>
        <v>13558</v>
      </c>
      <c r="H20" s="25">
        <f>6900+747+410+13148</f>
        <v>21205</v>
      </c>
      <c r="I20" s="25">
        <f>410+13148</f>
        <v>13558</v>
      </c>
      <c r="J20" s="25">
        <f>410+13148</f>
        <v>13558</v>
      </c>
      <c r="K20" s="25">
        <f>6900+357+410+13148</f>
        <v>20815</v>
      </c>
      <c r="L20" s="25">
        <f>410+13148</f>
        <v>13558</v>
      </c>
      <c r="M20" s="25">
        <f>410+13148</f>
        <v>13558</v>
      </c>
      <c r="N20" s="25">
        <f>6900+410+13148</f>
        <v>20458</v>
      </c>
      <c r="O20" s="25">
        <f>409+13154</f>
        <v>13563</v>
      </c>
      <c r="P20" s="25">
        <f>SUM(D20:O20)</f>
        <v>191405</v>
      </c>
    </row>
    <row r="21" spans="1:16" s="7" customFormat="1" ht="24.75" customHeight="1">
      <c r="A21" s="43"/>
      <c r="B21" s="14" t="s">
        <v>18</v>
      </c>
      <c r="C21" s="17"/>
      <c r="D21" s="25">
        <f>SUM(D19:D20)</f>
        <v>179607</v>
      </c>
      <c r="E21" s="25">
        <f aca="true" t="shared" si="6" ref="E21:P21">SUM(E19:E20)</f>
        <v>179607</v>
      </c>
      <c r="F21" s="25">
        <f t="shared" si="6"/>
        <v>186507</v>
      </c>
      <c r="G21" s="25">
        <f t="shared" si="6"/>
        <v>179607</v>
      </c>
      <c r="H21" s="25">
        <f t="shared" si="6"/>
        <v>187254</v>
      </c>
      <c r="I21" s="25">
        <f t="shared" si="6"/>
        <v>179607</v>
      </c>
      <c r="J21" s="25">
        <f t="shared" si="6"/>
        <v>179607</v>
      </c>
      <c r="K21" s="25">
        <f t="shared" si="6"/>
        <v>186864</v>
      </c>
      <c r="L21" s="25">
        <f t="shared" si="6"/>
        <v>179607</v>
      </c>
      <c r="M21" s="25">
        <f t="shared" si="6"/>
        <v>179607</v>
      </c>
      <c r="N21" s="25">
        <f t="shared" si="6"/>
        <v>186507</v>
      </c>
      <c r="O21" s="25">
        <f t="shared" si="6"/>
        <v>179541</v>
      </c>
      <c r="P21" s="16">
        <f t="shared" si="6"/>
        <v>2183922</v>
      </c>
    </row>
    <row r="22" spans="1:16" s="11" customFormat="1" ht="24.75" customHeight="1" hidden="1">
      <c r="A22" s="43"/>
      <c r="B22" s="23" t="s">
        <v>19</v>
      </c>
      <c r="C22" s="26">
        <f>350500+250000+75000</f>
        <v>675500</v>
      </c>
      <c r="D22" s="25">
        <v>0</v>
      </c>
      <c r="E22" s="25">
        <v>0</v>
      </c>
      <c r="F22" s="25">
        <v>75000</v>
      </c>
      <c r="G22" s="25">
        <v>0</v>
      </c>
      <c r="H22" s="25">
        <v>0</v>
      </c>
      <c r="I22" s="25">
        <v>75000</v>
      </c>
      <c r="J22" s="25">
        <v>0</v>
      </c>
      <c r="K22" s="25">
        <v>0</v>
      </c>
      <c r="L22" s="25">
        <v>75000</v>
      </c>
      <c r="M22" s="25">
        <v>0</v>
      </c>
      <c r="N22" s="25">
        <v>0</v>
      </c>
      <c r="O22" s="25">
        <v>75000</v>
      </c>
      <c r="P22" s="25">
        <f t="shared" si="0"/>
        <v>300000</v>
      </c>
    </row>
    <row r="23" spans="1:16" s="11" customFormat="1" ht="24.75" customHeight="1" hidden="1">
      <c r="A23" s="43"/>
      <c r="B23" s="23" t="s">
        <v>22</v>
      </c>
      <c r="C23" s="26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>
        <f>SUM(D23:O23)</f>
        <v>0</v>
      </c>
    </row>
    <row r="24" spans="1:16" s="7" customFormat="1" ht="24.75" customHeight="1">
      <c r="A24" s="44"/>
      <c r="B24" s="14" t="s">
        <v>19</v>
      </c>
      <c r="C24" s="17"/>
      <c r="D24" s="25">
        <f>SUM(D22:D23)</f>
        <v>0</v>
      </c>
      <c r="E24" s="25">
        <f aca="true" t="shared" si="7" ref="E24:P24">SUM(E22:E23)</f>
        <v>0</v>
      </c>
      <c r="F24" s="25">
        <f t="shared" si="7"/>
        <v>75000</v>
      </c>
      <c r="G24" s="25">
        <f t="shared" si="7"/>
        <v>0</v>
      </c>
      <c r="H24" s="25">
        <f t="shared" si="7"/>
        <v>0</v>
      </c>
      <c r="I24" s="25">
        <f t="shared" si="7"/>
        <v>75000</v>
      </c>
      <c r="J24" s="25">
        <f t="shared" si="7"/>
        <v>0</v>
      </c>
      <c r="K24" s="25">
        <f t="shared" si="7"/>
        <v>0</v>
      </c>
      <c r="L24" s="25">
        <f t="shared" si="7"/>
        <v>75000</v>
      </c>
      <c r="M24" s="25">
        <f t="shared" si="7"/>
        <v>0</v>
      </c>
      <c r="N24" s="25">
        <f t="shared" si="7"/>
        <v>0</v>
      </c>
      <c r="O24" s="25">
        <f t="shared" si="7"/>
        <v>75000</v>
      </c>
      <c r="P24" s="16">
        <f t="shared" si="7"/>
        <v>300000</v>
      </c>
    </row>
    <row r="25" spans="1:18" s="10" customFormat="1" ht="24.75" customHeight="1" hidden="1">
      <c r="A25" s="42">
        <v>710</v>
      </c>
      <c r="B25" s="23" t="s">
        <v>18</v>
      </c>
      <c r="C25" s="26">
        <v>250000</v>
      </c>
      <c r="D25" s="25">
        <v>20000</v>
      </c>
      <c r="E25" s="25">
        <f>200+1900</f>
        <v>2100</v>
      </c>
      <c r="F25" s="25">
        <f>1900+37500</f>
        <v>39400</v>
      </c>
      <c r="G25" s="25">
        <f>200+1900</f>
        <v>2100</v>
      </c>
      <c r="H25" s="25">
        <v>1900</v>
      </c>
      <c r="I25" s="25">
        <f>200+1900+37500</f>
        <v>39600</v>
      </c>
      <c r="J25" s="25">
        <v>1900</v>
      </c>
      <c r="K25" s="25">
        <f>200+1900</f>
        <v>2100</v>
      </c>
      <c r="L25" s="25">
        <f>1900+80000+37500</f>
        <v>119400</v>
      </c>
      <c r="M25" s="25">
        <f>200+1900</f>
        <v>2100</v>
      </c>
      <c r="N25" s="25">
        <v>1900</v>
      </c>
      <c r="O25" s="25">
        <f>200+37500</f>
        <v>37700</v>
      </c>
      <c r="P25" s="25">
        <f t="shared" si="0"/>
        <v>270200</v>
      </c>
      <c r="R25" s="9"/>
    </row>
    <row r="26" spans="1:18" s="10" customFormat="1" ht="24.75" customHeight="1" hidden="1">
      <c r="A26" s="43"/>
      <c r="B26" s="23" t="s">
        <v>21</v>
      </c>
      <c r="C26" s="26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>
        <f t="shared" si="0"/>
        <v>0</v>
      </c>
      <c r="R26" s="9"/>
    </row>
    <row r="27" spans="1:18" s="18" customFormat="1" ht="24.75" customHeight="1">
      <c r="A27" s="43"/>
      <c r="B27" s="14" t="s">
        <v>18</v>
      </c>
      <c r="C27" s="17"/>
      <c r="D27" s="25">
        <f>SUM(D25:D26)</f>
        <v>20000</v>
      </c>
      <c r="E27" s="25">
        <f aca="true" t="shared" si="8" ref="E27:O27">SUM(E25:E26)</f>
        <v>2100</v>
      </c>
      <c r="F27" s="25">
        <f t="shared" si="8"/>
        <v>39400</v>
      </c>
      <c r="G27" s="25">
        <f t="shared" si="8"/>
        <v>2100</v>
      </c>
      <c r="H27" s="25">
        <f t="shared" si="8"/>
        <v>1900</v>
      </c>
      <c r="I27" s="25">
        <f t="shared" si="8"/>
        <v>39600</v>
      </c>
      <c r="J27" s="25">
        <f t="shared" si="8"/>
        <v>1900</v>
      </c>
      <c r="K27" s="25">
        <f t="shared" si="8"/>
        <v>2100</v>
      </c>
      <c r="L27" s="25">
        <f t="shared" si="8"/>
        <v>119400</v>
      </c>
      <c r="M27" s="25">
        <f t="shared" si="8"/>
        <v>2100</v>
      </c>
      <c r="N27" s="25">
        <f t="shared" si="8"/>
        <v>1900</v>
      </c>
      <c r="O27" s="25">
        <f t="shared" si="8"/>
        <v>37700</v>
      </c>
      <c r="P27" s="16">
        <f t="shared" si="0"/>
        <v>270200</v>
      </c>
      <c r="R27" s="6"/>
    </row>
    <row r="28" spans="1:16" s="10" customFormat="1" ht="24.75" customHeight="1" hidden="1">
      <c r="A28" s="43"/>
      <c r="B28" s="23" t="s">
        <v>19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20000</v>
      </c>
      <c r="N28" s="25">
        <v>0</v>
      </c>
      <c r="O28" s="25">
        <v>0</v>
      </c>
      <c r="P28" s="25">
        <f t="shared" si="0"/>
        <v>20000</v>
      </c>
    </row>
    <row r="29" spans="1:16" s="10" customFormat="1" ht="24.75" customHeight="1" hidden="1">
      <c r="A29" s="43"/>
      <c r="B29" s="23" t="s">
        <v>21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>
        <f t="shared" si="0"/>
        <v>0</v>
      </c>
    </row>
    <row r="30" spans="1:16" s="18" customFormat="1" ht="24.75" customHeight="1">
      <c r="A30" s="44"/>
      <c r="B30" s="14" t="s">
        <v>19</v>
      </c>
      <c r="C30" s="16"/>
      <c r="D30" s="25">
        <f>SUM(D28:D29)</f>
        <v>0</v>
      </c>
      <c r="E30" s="25">
        <f aca="true" t="shared" si="9" ref="E30:O30">SUM(E28:E29)</f>
        <v>0</v>
      </c>
      <c r="F30" s="25">
        <f t="shared" si="9"/>
        <v>0</v>
      </c>
      <c r="G30" s="25">
        <f t="shared" si="9"/>
        <v>0</v>
      </c>
      <c r="H30" s="25">
        <f t="shared" si="9"/>
        <v>0</v>
      </c>
      <c r="I30" s="25">
        <f t="shared" si="9"/>
        <v>0</v>
      </c>
      <c r="J30" s="25">
        <f t="shared" si="9"/>
        <v>0</v>
      </c>
      <c r="K30" s="25">
        <f t="shared" si="9"/>
        <v>0</v>
      </c>
      <c r="L30" s="25">
        <f t="shared" si="9"/>
        <v>0</v>
      </c>
      <c r="M30" s="25">
        <f t="shared" si="9"/>
        <v>20000</v>
      </c>
      <c r="N30" s="25">
        <f t="shared" si="9"/>
        <v>0</v>
      </c>
      <c r="O30" s="25">
        <f t="shared" si="9"/>
        <v>0</v>
      </c>
      <c r="P30" s="16">
        <f t="shared" si="0"/>
        <v>20000</v>
      </c>
    </row>
    <row r="31" spans="1:16" s="10" customFormat="1" ht="24.75" customHeight="1" hidden="1">
      <c r="A31" s="42">
        <v>750</v>
      </c>
      <c r="B31" s="23" t="s">
        <v>18</v>
      </c>
      <c r="C31" s="25">
        <f>5237230-45000</f>
        <v>5192230</v>
      </c>
      <c r="D31" s="25">
        <v>449748.69</v>
      </c>
      <c r="E31" s="25">
        <v>675889.69</v>
      </c>
      <c r="F31" s="25">
        <v>499356.38</v>
      </c>
      <c r="G31" s="25">
        <v>449740.69</v>
      </c>
      <c r="H31" s="25">
        <v>449740.69</v>
      </c>
      <c r="I31" s="25">
        <v>449740.69</v>
      </c>
      <c r="J31" s="25">
        <v>449740.69</v>
      </c>
      <c r="K31" s="25">
        <v>449740.69</v>
      </c>
      <c r="L31" s="25">
        <v>449740.69</v>
      </c>
      <c r="M31" s="25">
        <v>449740.69</v>
      </c>
      <c r="N31" s="25">
        <v>449740.69</v>
      </c>
      <c r="O31" s="25">
        <v>449744.72</v>
      </c>
      <c r="P31" s="25">
        <f t="shared" si="0"/>
        <v>5672665</v>
      </c>
    </row>
    <row r="32" spans="1:16" s="10" customFormat="1" ht="24.75" customHeight="1" hidden="1">
      <c r="A32" s="43"/>
      <c r="B32" s="23" t="s">
        <v>22</v>
      </c>
      <c r="C32" s="25"/>
      <c r="D32" s="25"/>
      <c r="E32" s="25"/>
      <c r="F32" s="25"/>
      <c r="G32" s="25"/>
      <c r="H32" s="25"/>
      <c r="I32" s="25"/>
      <c r="J32" s="25">
        <v>14711</v>
      </c>
      <c r="K32" s="25"/>
      <c r="L32" s="25"/>
      <c r="M32" s="25"/>
      <c r="N32" s="25"/>
      <c r="O32" s="25"/>
      <c r="P32" s="25">
        <f>SUM(D32:O32)</f>
        <v>14711</v>
      </c>
    </row>
    <row r="33" spans="1:16" s="18" customFormat="1" ht="24.75" customHeight="1">
      <c r="A33" s="43"/>
      <c r="B33" s="14" t="s">
        <v>18</v>
      </c>
      <c r="C33" s="16"/>
      <c r="D33" s="25">
        <f>SUM(D31:D32)</f>
        <v>449748.69</v>
      </c>
      <c r="E33" s="25">
        <f aca="true" t="shared" si="10" ref="E33:P33">SUM(E31:E32)</f>
        <v>675889.69</v>
      </c>
      <c r="F33" s="25">
        <f t="shared" si="10"/>
        <v>499356.38</v>
      </c>
      <c r="G33" s="25">
        <f t="shared" si="10"/>
        <v>449740.69</v>
      </c>
      <c r="H33" s="25">
        <f t="shared" si="10"/>
        <v>449740.69</v>
      </c>
      <c r="I33" s="25">
        <f t="shared" si="10"/>
        <v>449740.69</v>
      </c>
      <c r="J33" s="25">
        <f t="shared" si="10"/>
        <v>464451.69</v>
      </c>
      <c r="K33" s="25">
        <f t="shared" si="10"/>
        <v>449740.69</v>
      </c>
      <c r="L33" s="25">
        <f t="shared" si="10"/>
        <v>449740.69</v>
      </c>
      <c r="M33" s="25">
        <f t="shared" si="10"/>
        <v>449740.69</v>
      </c>
      <c r="N33" s="25">
        <f t="shared" si="10"/>
        <v>449740.69</v>
      </c>
      <c r="O33" s="25">
        <f t="shared" si="10"/>
        <v>449744.72</v>
      </c>
      <c r="P33" s="16">
        <f t="shared" si="10"/>
        <v>5687376</v>
      </c>
    </row>
    <row r="34" spans="1:16" s="10" customFormat="1" ht="24.75" customHeight="1" hidden="1">
      <c r="A34" s="43"/>
      <c r="B34" s="23" t="s">
        <v>19</v>
      </c>
      <c r="C34" s="25">
        <v>45000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50000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f t="shared" si="0"/>
        <v>50000</v>
      </c>
    </row>
    <row r="35" spans="1:16" s="10" customFormat="1" ht="24.75" customHeight="1" hidden="1">
      <c r="A35" s="43"/>
      <c r="B35" s="23" t="s">
        <v>22</v>
      </c>
      <c r="C35" s="25"/>
      <c r="D35" s="25"/>
      <c r="E35" s="25"/>
      <c r="F35" s="25"/>
      <c r="G35" s="25"/>
      <c r="H35" s="25"/>
      <c r="I35" s="25"/>
      <c r="J35" s="25">
        <v>-50000</v>
      </c>
      <c r="K35" s="25"/>
      <c r="L35" s="25"/>
      <c r="M35" s="25">
        <v>50000</v>
      </c>
      <c r="N35" s="25"/>
      <c r="O35" s="25"/>
      <c r="P35" s="25">
        <f>SUM(D35:O35)</f>
        <v>0</v>
      </c>
    </row>
    <row r="36" spans="1:16" s="18" customFormat="1" ht="24.75" customHeight="1">
      <c r="A36" s="44"/>
      <c r="B36" s="14" t="s">
        <v>19</v>
      </c>
      <c r="C36" s="16"/>
      <c r="D36" s="25">
        <f>SUM(D34:D35)</f>
        <v>0</v>
      </c>
      <c r="E36" s="25">
        <f aca="true" t="shared" si="11" ref="E36:P36">SUM(E34:E35)</f>
        <v>0</v>
      </c>
      <c r="F36" s="25">
        <f t="shared" si="11"/>
        <v>0</v>
      </c>
      <c r="G36" s="25">
        <f t="shared" si="11"/>
        <v>0</v>
      </c>
      <c r="H36" s="25">
        <f t="shared" si="11"/>
        <v>0</v>
      </c>
      <c r="I36" s="25">
        <f t="shared" si="11"/>
        <v>0</v>
      </c>
      <c r="J36" s="25">
        <f t="shared" si="11"/>
        <v>0</v>
      </c>
      <c r="K36" s="25">
        <f t="shared" si="11"/>
        <v>0</v>
      </c>
      <c r="L36" s="25">
        <f t="shared" si="11"/>
        <v>0</v>
      </c>
      <c r="M36" s="25">
        <f t="shared" si="11"/>
        <v>50000</v>
      </c>
      <c r="N36" s="25">
        <f t="shared" si="11"/>
        <v>0</v>
      </c>
      <c r="O36" s="25">
        <f t="shared" si="11"/>
        <v>0</v>
      </c>
      <c r="P36" s="16">
        <f t="shared" si="11"/>
        <v>50000</v>
      </c>
    </row>
    <row r="37" spans="1:16" s="10" customFormat="1" ht="24.75" customHeight="1" hidden="1">
      <c r="A37" s="42">
        <v>751</v>
      </c>
      <c r="B37" s="23" t="s">
        <v>18</v>
      </c>
      <c r="C37" s="25">
        <v>3910</v>
      </c>
      <c r="D37" s="25">
        <v>0</v>
      </c>
      <c r="E37" s="25">
        <v>0</v>
      </c>
      <c r="F37" s="25">
        <v>988</v>
      </c>
      <c r="G37" s="25">
        <v>0</v>
      </c>
      <c r="H37" s="25">
        <v>0</v>
      </c>
      <c r="I37" s="25">
        <v>988</v>
      </c>
      <c r="J37" s="25">
        <v>0</v>
      </c>
      <c r="K37" s="25">
        <v>0</v>
      </c>
      <c r="L37" s="25">
        <v>988</v>
      </c>
      <c r="M37" s="25">
        <v>0</v>
      </c>
      <c r="N37" s="25">
        <v>988</v>
      </c>
      <c r="O37" s="25">
        <v>0</v>
      </c>
      <c r="P37" s="25">
        <f aca="true" t="shared" si="12" ref="P37:P42">SUM(D37:O37)</f>
        <v>3952</v>
      </c>
    </row>
    <row r="38" spans="1:16" s="10" customFormat="1" ht="24.75" customHeight="1" hidden="1">
      <c r="A38" s="43"/>
      <c r="B38" s="23" t="s">
        <v>21</v>
      </c>
      <c r="C38" s="25"/>
      <c r="D38" s="25"/>
      <c r="E38" s="25"/>
      <c r="F38" s="25"/>
      <c r="G38" s="25"/>
      <c r="H38" s="25"/>
      <c r="I38" s="25"/>
      <c r="J38" s="25">
        <f>53038+21375</f>
        <v>74413</v>
      </c>
      <c r="K38" s="25"/>
      <c r="L38" s="25"/>
      <c r="M38" s="25"/>
      <c r="N38" s="25"/>
      <c r="O38" s="25"/>
      <c r="P38" s="25">
        <f t="shared" si="12"/>
        <v>74413</v>
      </c>
    </row>
    <row r="39" spans="1:16" s="18" customFormat="1" ht="24.75" customHeight="1">
      <c r="A39" s="43"/>
      <c r="B39" s="14" t="s">
        <v>18</v>
      </c>
      <c r="C39" s="16"/>
      <c r="D39" s="25">
        <f>SUM(D37:D38)</f>
        <v>0</v>
      </c>
      <c r="E39" s="25">
        <f aca="true" t="shared" si="13" ref="E39:O39">SUM(E37:E38)</f>
        <v>0</v>
      </c>
      <c r="F39" s="25">
        <f t="shared" si="13"/>
        <v>988</v>
      </c>
      <c r="G39" s="25">
        <f t="shared" si="13"/>
        <v>0</v>
      </c>
      <c r="H39" s="25">
        <f t="shared" si="13"/>
        <v>0</v>
      </c>
      <c r="I39" s="25">
        <f t="shared" si="13"/>
        <v>988</v>
      </c>
      <c r="J39" s="25">
        <f t="shared" si="13"/>
        <v>74413</v>
      </c>
      <c r="K39" s="25">
        <f t="shared" si="13"/>
        <v>0</v>
      </c>
      <c r="L39" s="25">
        <f t="shared" si="13"/>
        <v>988</v>
      </c>
      <c r="M39" s="25">
        <f t="shared" si="13"/>
        <v>0</v>
      </c>
      <c r="N39" s="25">
        <f t="shared" si="13"/>
        <v>988</v>
      </c>
      <c r="O39" s="25">
        <f t="shared" si="13"/>
        <v>0</v>
      </c>
      <c r="P39" s="16">
        <f t="shared" si="12"/>
        <v>78365</v>
      </c>
    </row>
    <row r="40" spans="1:16" s="10" customFormat="1" ht="24.75" customHeight="1" hidden="1">
      <c r="A40" s="43"/>
      <c r="B40" s="23" t="s">
        <v>19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f t="shared" si="12"/>
        <v>0</v>
      </c>
    </row>
    <row r="41" spans="1:16" s="10" customFormat="1" ht="24.75" customHeight="1" hidden="1">
      <c r="A41" s="43"/>
      <c r="B41" s="23" t="s">
        <v>21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>
        <f t="shared" si="12"/>
        <v>0</v>
      </c>
    </row>
    <row r="42" spans="1:16" s="18" customFormat="1" ht="24.75" customHeight="1">
      <c r="A42" s="44"/>
      <c r="B42" s="14" t="s">
        <v>19</v>
      </c>
      <c r="C42" s="16"/>
      <c r="D42" s="25">
        <f>SUM(D40:D41)</f>
        <v>0</v>
      </c>
      <c r="E42" s="25">
        <f aca="true" t="shared" si="14" ref="E42:O42">SUM(E40:E41)</f>
        <v>0</v>
      </c>
      <c r="F42" s="25">
        <f t="shared" si="14"/>
        <v>0</v>
      </c>
      <c r="G42" s="25">
        <f t="shared" si="14"/>
        <v>0</v>
      </c>
      <c r="H42" s="25">
        <f t="shared" si="14"/>
        <v>0</v>
      </c>
      <c r="I42" s="25">
        <f t="shared" si="14"/>
        <v>0</v>
      </c>
      <c r="J42" s="25">
        <f t="shared" si="14"/>
        <v>0</v>
      </c>
      <c r="K42" s="25">
        <f t="shared" si="14"/>
        <v>0</v>
      </c>
      <c r="L42" s="25">
        <f t="shared" si="14"/>
        <v>0</v>
      </c>
      <c r="M42" s="25">
        <f t="shared" si="14"/>
        <v>0</v>
      </c>
      <c r="N42" s="25">
        <f t="shared" si="14"/>
        <v>0</v>
      </c>
      <c r="O42" s="25">
        <f t="shared" si="14"/>
        <v>0</v>
      </c>
      <c r="P42" s="16">
        <f t="shared" si="12"/>
        <v>0</v>
      </c>
    </row>
    <row r="43" spans="1:16" s="10" customFormat="1" ht="24.75" customHeight="1" hidden="1">
      <c r="A43" s="42">
        <v>754</v>
      </c>
      <c r="B43" s="23" t="s">
        <v>18</v>
      </c>
      <c r="C43" s="25">
        <v>707020</v>
      </c>
      <c r="D43" s="25">
        <v>37300.25</v>
      </c>
      <c r="E43" s="25">
        <v>37292.25</v>
      </c>
      <c r="F43" s="25">
        <v>39542.25</v>
      </c>
      <c r="G43" s="25">
        <v>37292.25</v>
      </c>
      <c r="H43" s="25">
        <v>37292.25</v>
      </c>
      <c r="I43" s="25">
        <v>39542.25</v>
      </c>
      <c r="J43" s="25">
        <v>37292.25</v>
      </c>
      <c r="K43" s="25">
        <v>37292.25</v>
      </c>
      <c r="L43" s="25">
        <v>39542.25</v>
      </c>
      <c r="M43" s="25">
        <v>37292.25</v>
      </c>
      <c r="N43" s="25">
        <v>37292.25</v>
      </c>
      <c r="O43" s="25">
        <v>39542.25</v>
      </c>
      <c r="P43" s="25">
        <f t="shared" si="0"/>
        <v>456515</v>
      </c>
    </row>
    <row r="44" spans="1:16" s="10" customFormat="1" ht="24.75" customHeight="1" hidden="1">
      <c r="A44" s="43"/>
      <c r="B44" s="23" t="s">
        <v>21</v>
      </c>
      <c r="C44" s="25"/>
      <c r="D44" s="25"/>
      <c r="E44" s="25">
        <v>8044</v>
      </c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>
        <f t="shared" si="0"/>
        <v>8044</v>
      </c>
    </row>
    <row r="45" spans="1:16" s="18" customFormat="1" ht="24.75" customHeight="1">
      <c r="A45" s="43"/>
      <c r="B45" s="14" t="s">
        <v>18</v>
      </c>
      <c r="C45" s="16"/>
      <c r="D45" s="25">
        <f>SUM(D43:D44)</f>
        <v>37300.25</v>
      </c>
      <c r="E45" s="25">
        <f aca="true" t="shared" si="15" ref="E45:O45">SUM(E43:E44)</f>
        <v>45336.25</v>
      </c>
      <c r="F45" s="25">
        <f t="shared" si="15"/>
        <v>39542.25</v>
      </c>
      <c r="G45" s="25">
        <f t="shared" si="15"/>
        <v>37292.25</v>
      </c>
      <c r="H45" s="25">
        <f t="shared" si="15"/>
        <v>37292.25</v>
      </c>
      <c r="I45" s="25">
        <f t="shared" si="15"/>
        <v>39542.25</v>
      </c>
      <c r="J45" s="25">
        <f t="shared" si="15"/>
        <v>37292.25</v>
      </c>
      <c r="K45" s="25">
        <f t="shared" si="15"/>
        <v>37292.25</v>
      </c>
      <c r="L45" s="25">
        <f t="shared" si="15"/>
        <v>39542.25</v>
      </c>
      <c r="M45" s="25">
        <f t="shared" si="15"/>
        <v>37292.25</v>
      </c>
      <c r="N45" s="25">
        <f t="shared" si="15"/>
        <v>37292.25</v>
      </c>
      <c r="O45" s="25">
        <f t="shared" si="15"/>
        <v>39542.25</v>
      </c>
      <c r="P45" s="16">
        <f t="shared" si="0"/>
        <v>464559</v>
      </c>
    </row>
    <row r="46" spans="1:16" s="10" customFormat="1" ht="24.75" customHeight="1" hidden="1">
      <c r="A46" s="43"/>
      <c r="B46" s="23" t="s">
        <v>19</v>
      </c>
      <c r="C46" s="25">
        <v>0</v>
      </c>
      <c r="D46" s="25">
        <v>0</v>
      </c>
      <c r="E46" s="25">
        <v>25000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f>220000+70000</f>
        <v>290000</v>
      </c>
      <c r="O46" s="25">
        <v>0</v>
      </c>
      <c r="P46" s="25">
        <f t="shared" si="0"/>
        <v>315000</v>
      </c>
    </row>
    <row r="47" spans="1:16" s="10" customFormat="1" ht="24.75" customHeight="1" hidden="1">
      <c r="A47" s="43"/>
      <c r="B47" s="23" t="s">
        <v>21</v>
      </c>
      <c r="C47" s="25"/>
      <c r="D47" s="25"/>
      <c r="E47" s="25">
        <v>-2755</v>
      </c>
      <c r="F47" s="25"/>
      <c r="G47" s="25"/>
      <c r="H47" s="25"/>
      <c r="I47" s="25"/>
      <c r="J47" s="25"/>
      <c r="K47" s="25"/>
      <c r="L47" s="25"/>
      <c r="M47" s="25"/>
      <c r="N47" s="25">
        <v>-70000</v>
      </c>
      <c r="O47" s="25"/>
      <c r="P47" s="25">
        <f t="shared" si="0"/>
        <v>-72755</v>
      </c>
    </row>
    <row r="48" spans="1:16" s="18" customFormat="1" ht="24.75" customHeight="1">
      <c r="A48" s="44"/>
      <c r="B48" s="14" t="s">
        <v>19</v>
      </c>
      <c r="C48" s="16"/>
      <c r="D48" s="25">
        <f>SUM(D46:D47)</f>
        <v>0</v>
      </c>
      <c r="E48" s="25">
        <f aca="true" t="shared" si="16" ref="E48:P48">SUM(E46:E47)</f>
        <v>22245</v>
      </c>
      <c r="F48" s="25">
        <f t="shared" si="16"/>
        <v>0</v>
      </c>
      <c r="G48" s="25">
        <f t="shared" si="16"/>
        <v>0</v>
      </c>
      <c r="H48" s="25">
        <f t="shared" si="16"/>
        <v>0</v>
      </c>
      <c r="I48" s="25">
        <f t="shared" si="16"/>
        <v>0</v>
      </c>
      <c r="J48" s="25">
        <f t="shared" si="16"/>
        <v>0</v>
      </c>
      <c r="K48" s="25">
        <f t="shared" si="16"/>
        <v>0</v>
      </c>
      <c r="L48" s="25">
        <f t="shared" si="16"/>
        <v>0</v>
      </c>
      <c r="M48" s="25">
        <f t="shared" si="16"/>
        <v>0</v>
      </c>
      <c r="N48" s="25">
        <f t="shared" si="16"/>
        <v>220000</v>
      </c>
      <c r="O48" s="25">
        <f t="shared" si="16"/>
        <v>0</v>
      </c>
      <c r="P48" s="16">
        <f t="shared" si="16"/>
        <v>242245</v>
      </c>
    </row>
    <row r="49" spans="1:16" s="10" customFormat="1" ht="24.75" customHeight="1" hidden="1">
      <c r="A49" s="42">
        <v>756</v>
      </c>
      <c r="B49" s="23" t="s">
        <v>18</v>
      </c>
      <c r="C49" s="25">
        <v>89900</v>
      </c>
      <c r="D49" s="25">
        <v>8500</v>
      </c>
      <c r="E49" s="25">
        <v>8500</v>
      </c>
      <c r="F49" s="25">
        <v>8500</v>
      </c>
      <c r="G49" s="25">
        <v>8500</v>
      </c>
      <c r="H49" s="25">
        <v>8500</v>
      </c>
      <c r="I49" s="25">
        <v>8500</v>
      </c>
      <c r="J49" s="25">
        <v>8500</v>
      </c>
      <c r="K49" s="25">
        <v>8500</v>
      </c>
      <c r="L49" s="25">
        <v>8500</v>
      </c>
      <c r="M49" s="25">
        <v>8500</v>
      </c>
      <c r="N49" s="25">
        <v>8500</v>
      </c>
      <c r="O49" s="25">
        <v>8500</v>
      </c>
      <c r="P49" s="25">
        <f t="shared" si="0"/>
        <v>102000</v>
      </c>
    </row>
    <row r="50" spans="1:16" s="10" customFormat="1" ht="24.75" customHeight="1" hidden="1">
      <c r="A50" s="43"/>
      <c r="B50" s="23" t="s">
        <v>21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>
        <f t="shared" si="0"/>
        <v>0</v>
      </c>
    </row>
    <row r="51" spans="1:16" s="18" customFormat="1" ht="24.75" customHeight="1">
      <c r="A51" s="43"/>
      <c r="B51" s="14" t="s">
        <v>18</v>
      </c>
      <c r="C51" s="16"/>
      <c r="D51" s="25">
        <f>SUM(D49:D50)</f>
        <v>8500</v>
      </c>
      <c r="E51" s="25">
        <f aca="true" t="shared" si="17" ref="E51:O51">SUM(E49:E50)</f>
        <v>8500</v>
      </c>
      <c r="F51" s="25">
        <f t="shared" si="17"/>
        <v>8500</v>
      </c>
      <c r="G51" s="25">
        <f t="shared" si="17"/>
        <v>8500</v>
      </c>
      <c r="H51" s="25">
        <f t="shared" si="17"/>
        <v>8500</v>
      </c>
      <c r="I51" s="25">
        <f t="shared" si="17"/>
        <v>8500</v>
      </c>
      <c r="J51" s="25">
        <f t="shared" si="17"/>
        <v>8500</v>
      </c>
      <c r="K51" s="25">
        <f t="shared" si="17"/>
        <v>8500</v>
      </c>
      <c r="L51" s="25">
        <f t="shared" si="17"/>
        <v>8500</v>
      </c>
      <c r="M51" s="25">
        <f t="shared" si="17"/>
        <v>8500</v>
      </c>
      <c r="N51" s="25">
        <f t="shared" si="17"/>
        <v>8500</v>
      </c>
      <c r="O51" s="25">
        <f t="shared" si="17"/>
        <v>8500</v>
      </c>
      <c r="P51" s="16">
        <f t="shared" si="0"/>
        <v>102000</v>
      </c>
    </row>
    <row r="52" spans="1:16" s="10" customFormat="1" ht="24.75" customHeight="1" hidden="1">
      <c r="A52" s="43"/>
      <c r="B52" s="23" t="s">
        <v>19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f t="shared" si="0"/>
        <v>0</v>
      </c>
    </row>
    <row r="53" spans="1:16" s="10" customFormat="1" ht="24.75" customHeight="1" hidden="1">
      <c r="A53" s="43"/>
      <c r="B53" s="23" t="s">
        <v>21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>
        <f t="shared" si="0"/>
        <v>0</v>
      </c>
    </row>
    <row r="54" spans="1:16" s="18" customFormat="1" ht="24.75" customHeight="1">
      <c r="A54" s="44"/>
      <c r="B54" s="14" t="s">
        <v>19</v>
      </c>
      <c r="C54" s="16"/>
      <c r="D54" s="25">
        <f>SUM(D52:D53)</f>
        <v>0</v>
      </c>
      <c r="E54" s="25">
        <f aca="true" t="shared" si="18" ref="E54:O54">SUM(E52:E53)</f>
        <v>0</v>
      </c>
      <c r="F54" s="25">
        <f t="shared" si="18"/>
        <v>0</v>
      </c>
      <c r="G54" s="25">
        <f t="shared" si="18"/>
        <v>0</v>
      </c>
      <c r="H54" s="25">
        <f t="shared" si="18"/>
        <v>0</v>
      </c>
      <c r="I54" s="25">
        <f t="shared" si="18"/>
        <v>0</v>
      </c>
      <c r="J54" s="25">
        <f t="shared" si="18"/>
        <v>0</v>
      </c>
      <c r="K54" s="25">
        <f t="shared" si="18"/>
        <v>0</v>
      </c>
      <c r="L54" s="25">
        <f t="shared" si="18"/>
        <v>0</v>
      </c>
      <c r="M54" s="25">
        <f t="shared" si="18"/>
        <v>0</v>
      </c>
      <c r="N54" s="25">
        <f t="shared" si="18"/>
        <v>0</v>
      </c>
      <c r="O54" s="25">
        <f t="shared" si="18"/>
        <v>0</v>
      </c>
      <c r="P54" s="16">
        <f t="shared" si="0"/>
        <v>0</v>
      </c>
    </row>
    <row r="55" spans="1:16" s="10" customFormat="1" ht="24.75" customHeight="1" hidden="1">
      <c r="A55" s="42">
        <v>757</v>
      </c>
      <c r="B55" s="23" t="s">
        <v>18</v>
      </c>
      <c r="C55" s="25">
        <v>425000</v>
      </c>
      <c r="D55" s="25">
        <v>75004</v>
      </c>
      <c r="E55" s="25">
        <v>75000</v>
      </c>
      <c r="F55" s="25">
        <v>75000</v>
      </c>
      <c r="G55" s="25">
        <v>75000</v>
      </c>
      <c r="H55" s="25">
        <v>75000</v>
      </c>
      <c r="I55" s="25">
        <v>75000</v>
      </c>
      <c r="J55" s="25">
        <v>75000</v>
      </c>
      <c r="K55" s="25">
        <v>75000</v>
      </c>
      <c r="L55" s="25">
        <v>75000</v>
      </c>
      <c r="M55" s="25">
        <v>75000</v>
      </c>
      <c r="N55" s="25">
        <v>75000</v>
      </c>
      <c r="O55" s="25">
        <v>75000</v>
      </c>
      <c r="P55" s="25">
        <f t="shared" si="0"/>
        <v>900004</v>
      </c>
    </row>
    <row r="56" spans="1:16" s="10" customFormat="1" ht="24.75" customHeight="1" hidden="1">
      <c r="A56" s="43"/>
      <c r="B56" s="23" t="s">
        <v>21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>
        <f t="shared" si="0"/>
        <v>0</v>
      </c>
    </row>
    <row r="57" spans="1:16" s="18" customFormat="1" ht="24.75" customHeight="1">
      <c r="A57" s="43"/>
      <c r="B57" s="14" t="s">
        <v>18</v>
      </c>
      <c r="C57" s="16"/>
      <c r="D57" s="25">
        <f>SUM(D55:D56)</f>
        <v>75004</v>
      </c>
      <c r="E57" s="25">
        <f aca="true" t="shared" si="19" ref="E57:O57">SUM(E55:E56)</f>
        <v>75000</v>
      </c>
      <c r="F57" s="25">
        <f t="shared" si="19"/>
        <v>75000</v>
      </c>
      <c r="G57" s="25">
        <f t="shared" si="19"/>
        <v>75000</v>
      </c>
      <c r="H57" s="25">
        <f t="shared" si="19"/>
        <v>75000</v>
      </c>
      <c r="I57" s="25">
        <f t="shared" si="19"/>
        <v>75000</v>
      </c>
      <c r="J57" s="25">
        <f t="shared" si="19"/>
        <v>75000</v>
      </c>
      <c r="K57" s="25">
        <f t="shared" si="19"/>
        <v>75000</v>
      </c>
      <c r="L57" s="25">
        <f t="shared" si="19"/>
        <v>75000</v>
      </c>
      <c r="M57" s="25">
        <f t="shared" si="19"/>
        <v>75000</v>
      </c>
      <c r="N57" s="25">
        <f t="shared" si="19"/>
        <v>75000</v>
      </c>
      <c r="O57" s="25">
        <f t="shared" si="19"/>
        <v>75000</v>
      </c>
      <c r="P57" s="16">
        <f t="shared" si="0"/>
        <v>900004</v>
      </c>
    </row>
    <row r="58" spans="1:16" s="10" customFormat="1" ht="24.75" customHeight="1" hidden="1">
      <c r="A58" s="43"/>
      <c r="B58" s="23" t="s">
        <v>19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f t="shared" si="0"/>
        <v>0</v>
      </c>
    </row>
    <row r="59" spans="1:16" s="10" customFormat="1" ht="24.75" customHeight="1" hidden="1">
      <c r="A59" s="43"/>
      <c r="B59" s="23" t="s">
        <v>21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>
        <f t="shared" si="0"/>
        <v>0</v>
      </c>
    </row>
    <row r="60" spans="1:16" s="18" customFormat="1" ht="24.75" customHeight="1">
      <c r="A60" s="44"/>
      <c r="B60" s="14" t="s">
        <v>19</v>
      </c>
      <c r="C60" s="16"/>
      <c r="D60" s="25">
        <f>SUM(D58:D59)</f>
        <v>0</v>
      </c>
      <c r="E60" s="25">
        <f aca="true" t="shared" si="20" ref="E60:O60">SUM(E58:E59)</f>
        <v>0</v>
      </c>
      <c r="F60" s="25">
        <f t="shared" si="20"/>
        <v>0</v>
      </c>
      <c r="G60" s="25">
        <f t="shared" si="20"/>
        <v>0</v>
      </c>
      <c r="H60" s="25">
        <f t="shared" si="20"/>
        <v>0</v>
      </c>
      <c r="I60" s="25">
        <f t="shared" si="20"/>
        <v>0</v>
      </c>
      <c r="J60" s="25">
        <f t="shared" si="20"/>
        <v>0</v>
      </c>
      <c r="K60" s="25">
        <f t="shared" si="20"/>
        <v>0</v>
      </c>
      <c r="L60" s="25">
        <f t="shared" si="20"/>
        <v>0</v>
      </c>
      <c r="M60" s="25">
        <f t="shared" si="20"/>
        <v>0</v>
      </c>
      <c r="N60" s="25">
        <f t="shared" si="20"/>
        <v>0</v>
      </c>
      <c r="O60" s="25">
        <f t="shared" si="20"/>
        <v>0</v>
      </c>
      <c r="P60" s="16">
        <f t="shared" si="0"/>
        <v>0</v>
      </c>
    </row>
    <row r="61" spans="1:16" s="10" customFormat="1" ht="24.75" customHeight="1" hidden="1">
      <c r="A61" s="42">
        <v>758</v>
      </c>
      <c r="B61" s="23" t="s">
        <v>18</v>
      </c>
      <c r="C61" s="25">
        <v>574903</v>
      </c>
      <c r="D61" s="25">
        <v>5500</v>
      </c>
      <c r="E61" s="25">
        <v>5500</v>
      </c>
      <c r="F61" s="25">
        <v>50500</v>
      </c>
      <c r="G61" s="25">
        <v>50500</v>
      </c>
      <c r="H61" s="25">
        <v>50500</v>
      </c>
      <c r="I61" s="25">
        <v>50500</v>
      </c>
      <c r="J61" s="25">
        <v>65000</v>
      </c>
      <c r="K61" s="25">
        <v>65000</v>
      </c>
      <c r="L61" s="25">
        <v>64000</v>
      </c>
      <c r="M61" s="25">
        <v>50500</v>
      </c>
      <c r="N61" s="25">
        <v>140500</v>
      </c>
      <c r="O61" s="25">
        <v>800614</v>
      </c>
      <c r="P61" s="25">
        <f t="shared" si="0"/>
        <v>1398614</v>
      </c>
    </row>
    <row r="62" spans="1:16" s="10" customFormat="1" ht="24.75" customHeight="1" hidden="1">
      <c r="A62" s="43"/>
      <c r="B62" s="23" t="s">
        <v>21</v>
      </c>
      <c r="C62" s="25"/>
      <c r="D62" s="25">
        <v>-5500</v>
      </c>
      <c r="E62" s="25">
        <v>-5500</v>
      </c>
      <c r="F62" s="25">
        <f>-5500-45000</f>
        <v>-50500</v>
      </c>
      <c r="G62" s="25">
        <f>-5500-45000</f>
        <v>-50500</v>
      </c>
      <c r="H62" s="25">
        <f>-5500+65000-45000+88</f>
        <v>14588</v>
      </c>
      <c r="I62" s="25">
        <f>-5500-45000</f>
        <v>-50500</v>
      </c>
      <c r="J62" s="25">
        <f>-20000-45000</f>
        <v>-65000</v>
      </c>
      <c r="K62" s="25">
        <f>-20000-45000</f>
        <v>-65000</v>
      </c>
      <c r="L62" s="25">
        <f>-5500-13500-45000</f>
        <v>-64000</v>
      </c>
      <c r="M62" s="25">
        <f>-5500-45000</f>
        <v>-50500</v>
      </c>
      <c r="N62" s="25">
        <f>-5500-40000-5000</f>
        <v>-50500</v>
      </c>
      <c r="O62" s="25">
        <f>-5500-402000-6000-20000-91488</f>
        <v>-524988</v>
      </c>
      <c r="P62" s="25">
        <f t="shared" si="0"/>
        <v>-967900</v>
      </c>
    </row>
    <row r="63" spans="1:16" s="18" customFormat="1" ht="24.75" customHeight="1">
      <c r="A63" s="43"/>
      <c r="B63" s="14" t="s">
        <v>18</v>
      </c>
      <c r="C63" s="16"/>
      <c r="D63" s="25">
        <f>SUM(D61:D62)</f>
        <v>0</v>
      </c>
      <c r="E63" s="25">
        <f aca="true" t="shared" si="21" ref="E63:O63">SUM(E61:E62)</f>
        <v>0</v>
      </c>
      <c r="F63" s="25">
        <f t="shared" si="21"/>
        <v>0</v>
      </c>
      <c r="G63" s="25">
        <f t="shared" si="21"/>
        <v>0</v>
      </c>
      <c r="H63" s="25">
        <f t="shared" si="21"/>
        <v>65088</v>
      </c>
      <c r="I63" s="25">
        <f t="shared" si="21"/>
        <v>0</v>
      </c>
      <c r="J63" s="25">
        <f t="shared" si="21"/>
        <v>0</v>
      </c>
      <c r="K63" s="25">
        <f t="shared" si="21"/>
        <v>0</v>
      </c>
      <c r="L63" s="25">
        <f t="shared" si="21"/>
        <v>0</v>
      </c>
      <c r="M63" s="25">
        <f t="shared" si="21"/>
        <v>0</v>
      </c>
      <c r="N63" s="25">
        <f t="shared" si="21"/>
        <v>90000</v>
      </c>
      <c r="O63" s="25">
        <f t="shared" si="21"/>
        <v>275626</v>
      </c>
      <c r="P63" s="16">
        <f t="shared" si="0"/>
        <v>430714</v>
      </c>
    </row>
    <row r="64" spans="1:16" s="10" customFormat="1" ht="24.75" customHeight="1" hidden="1">
      <c r="A64" s="43"/>
      <c r="B64" s="23" t="s">
        <v>19</v>
      </c>
      <c r="C64" s="25">
        <v>955000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100000</v>
      </c>
      <c r="L64" s="25">
        <v>100000</v>
      </c>
      <c r="M64" s="25">
        <v>0</v>
      </c>
      <c r="N64" s="25">
        <v>16000</v>
      </c>
      <c r="O64" s="25">
        <v>0</v>
      </c>
      <c r="P64" s="25">
        <f t="shared" si="0"/>
        <v>216000</v>
      </c>
    </row>
    <row r="65" spans="1:16" s="10" customFormat="1" ht="24.75" customHeight="1" hidden="1">
      <c r="A65" s="43"/>
      <c r="B65" s="23" t="s">
        <v>21</v>
      </c>
      <c r="C65" s="25"/>
      <c r="D65" s="25"/>
      <c r="E65" s="25"/>
      <c r="F65" s="25"/>
      <c r="G65" s="25"/>
      <c r="H65" s="25"/>
      <c r="I65" s="25"/>
      <c r="J65" s="25"/>
      <c r="K65" s="25">
        <v>-100000</v>
      </c>
      <c r="L65" s="25"/>
      <c r="M65" s="25"/>
      <c r="N65" s="25"/>
      <c r="O65" s="25"/>
      <c r="P65" s="25">
        <f t="shared" si="0"/>
        <v>-100000</v>
      </c>
    </row>
    <row r="66" spans="1:16" s="18" customFormat="1" ht="24.75" customHeight="1">
      <c r="A66" s="44"/>
      <c r="B66" s="14" t="s">
        <v>19</v>
      </c>
      <c r="C66" s="16"/>
      <c r="D66" s="25">
        <f>SUM(D64:D65)</f>
        <v>0</v>
      </c>
      <c r="E66" s="25">
        <f aca="true" t="shared" si="22" ref="E66:O66">SUM(E64:E65)</f>
        <v>0</v>
      </c>
      <c r="F66" s="25">
        <f t="shared" si="22"/>
        <v>0</v>
      </c>
      <c r="G66" s="25">
        <f t="shared" si="22"/>
        <v>0</v>
      </c>
      <c r="H66" s="25">
        <f t="shared" si="22"/>
        <v>0</v>
      </c>
      <c r="I66" s="25">
        <f t="shared" si="22"/>
        <v>0</v>
      </c>
      <c r="J66" s="25">
        <f t="shared" si="22"/>
        <v>0</v>
      </c>
      <c r="K66" s="25">
        <f t="shared" si="22"/>
        <v>0</v>
      </c>
      <c r="L66" s="25">
        <f t="shared" si="22"/>
        <v>100000</v>
      </c>
      <c r="M66" s="25">
        <f t="shared" si="22"/>
        <v>0</v>
      </c>
      <c r="N66" s="25">
        <f t="shared" si="22"/>
        <v>16000</v>
      </c>
      <c r="O66" s="25">
        <f t="shared" si="22"/>
        <v>0</v>
      </c>
      <c r="P66" s="16">
        <f t="shared" si="0"/>
        <v>116000</v>
      </c>
    </row>
    <row r="67" spans="1:16" s="10" customFormat="1" ht="24.75" customHeight="1" hidden="1">
      <c r="A67" s="42">
        <v>801</v>
      </c>
      <c r="B67" s="23" t="s">
        <v>18</v>
      </c>
      <c r="C67" s="25">
        <v>19268687</v>
      </c>
      <c r="D67" s="25">
        <v>1823317.4</v>
      </c>
      <c r="E67" s="25">
        <v>1823175.4</v>
      </c>
      <c r="F67" s="25">
        <v>3215401.55</v>
      </c>
      <c r="G67" s="25">
        <v>1824235.4</v>
      </c>
      <c r="H67" s="25">
        <v>1959811.15</v>
      </c>
      <c r="I67" s="25">
        <v>1824375.4</v>
      </c>
      <c r="J67" s="25">
        <v>1792325.4</v>
      </c>
      <c r="K67" s="25">
        <v>1912325.4</v>
      </c>
      <c r="L67" s="25">
        <v>1824675.4</v>
      </c>
      <c r="M67" s="25">
        <v>1823175.4</v>
      </c>
      <c r="N67" s="25">
        <v>1868720.65</v>
      </c>
      <c r="O67" s="25">
        <v>1823179.45</v>
      </c>
      <c r="P67" s="25">
        <f t="shared" si="0"/>
        <v>23514717.999999996</v>
      </c>
    </row>
    <row r="68" spans="1:16" s="10" customFormat="1" ht="24.75" customHeight="1" hidden="1">
      <c r="A68" s="43"/>
      <c r="B68" s="23" t="s">
        <v>21</v>
      </c>
      <c r="C68" s="25"/>
      <c r="D68" s="25"/>
      <c r="E68" s="25"/>
      <c r="F68" s="25"/>
      <c r="G68" s="25"/>
      <c r="H68" s="25">
        <f>37023-2096+14100</f>
        <v>49027</v>
      </c>
      <c r="I68" s="25">
        <v>3930</v>
      </c>
      <c r="J68" s="25">
        <v>47884</v>
      </c>
      <c r="K68" s="25"/>
      <c r="L68" s="25"/>
      <c r="M68" s="25"/>
      <c r="N68" s="25">
        <f>3930+821</f>
        <v>4751</v>
      </c>
      <c r="O68" s="25"/>
      <c r="P68" s="25">
        <f t="shared" si="0"/>
        <v>105592</v>
      </c>
    </row>
    <row r="69" spans="1:16" s="18" customFormat="1" ht="24.75" customHeight="1">
      <c r="A69" s="43"/>
      <c r="B69" s="14" t="s">
        <v>18</v>
      </c>
      <c r="C69" s="16"/>
      <c r="D69" s="25">
        <f>SUM(D67:D68)</f>
        <v>1823317.4</v>
      </c>
      <c r="E69" s="25">
        <f aca="true" t="shared" si="23" ref="E69:O69">SUM(E67:E68)</f>
        <v>1823175.4</v>
      </c>
      <c r="F69" s="25">
        <f t="shared" si="23"/>
        <v>3215401.55</v>
      </c>
      <c r="G69" s="25">
        <f t="shared" si="23"/>
        <v>1824235.4</v>
      </c>
      <c r="H69" s="25">
        <f t="shared" si="23"/>
        <v>2008838.15</v>
      </c>
      <c r="I69" s="25">
        <f t="shared" si="23"/>
        <v>1828305.4</v>
      </c>
      <c r="J69" s="25">
        <f t="shared" si="23"/>
        <v>1840209.4</v>
      </c>
      <c r="K69" s="25">
        <f t="shared" si="23"/>
        <v>1912325.4</v>
      </c>
      <c r="L69" s="25">
        <f t="shared" si="23"/>
        <v>1824675.4</v>
      </c>
      <c r="M69" s="25">
        <f t="shared" si="23"/>
        <v>1823175.4</v>
      </c>
      <c r="N69" s="25">
        <f t="shared" si="23"/>
        <v>1873471.65</v>
      </c>
      <c r="O69" s="25">
        <f t="shared" si="23"/>
        <v>1823179.45</v>
      </c>
      <c r="P69" s="16">
        <f t="shared" si="0"/>
        <v>23620309.999999996</v>
      </c>
    </row>
    <row r="70" spans="1:16" s="10" customFormat="1" ht="24.75" customHeight="1" hidden="1">
      <c r="A70" s="43"/>
      <c r="B70" s="23" t="s">
        <v>19</v>
      </c>
      <c r="C70" s="25">
        <f>1680000+5000</f>
        <v>1685000</v>
      </c>
      <c r="D70" s="25">
        <v>0</v>
      </c>
      <c r="E70" s="25">
        <f>4000+5800+4500</f>
        <v>14300</v>
      </c>
      <c r="F70" s="25">
        <v>0</v>
      </c>
      <c r="G70" s="25">
        <v>0</v>
      </c>
      <c r="H70" s="25">
        <v>0</v>
      </c>
      <c r="I70" s="25">
        <v>550000</v>
      </c>
      <c r="J70" s="25">
        <v>0</v>
      </c>
      <c r="K70" s="25">
        <v>0</v>
      </c>
      <c r="L70" s="25">
        <v>655000</v>
      </c>
      <c r="M70" s="25">
        <v>0</v>
      </c>
      <c r="N70" s="25">
        <f>100000+200000+4211816</f>
        <v>4511816</v>
      </c>
      <c r="O70" s="25">
        <v>0</v>
      </c>
      <c r="P70" s="25">
        <f t="shared" si="0"/>
        <v>5731116</v>
      </c>
    </row>
    <row r="71" spans="1:16" s="10" customFormat="1" ht="24.75" customHeight="1" hidden="1">
      <c r="A71" s="43"/>
      <c r="B71" s="23" t="s">
        <v>21</v>
      </c>
      <c r="C71" s="25"/>
      <c r="D71" s="25"/>
      <c r="E71" s="25"/>
      <c r="F71" s="25"/>
      <c r="G71" s="25"/>
      <c r="H71" s="25"/>
      <c r="I71" s="25"/>
      <c r="J71" s="25"/>
      <c r="K71" s="25"/>
      <c r="L71" s="25">
        <v>17400</v>
      </c>
      <c r="M71" s="25"/>
      <c r="N71" s="25">
        <f>127700+85000</f>
        <v>212700</v>
      </c>
      <c r="O71" s="25"/>
      <c r="P71" s="25">
        <f aca="true" t="shared" si="24" ref="P71:P114">SUM(D71:O71)</f>
        <v>230100</v>
      </c>
    </row>
    <row r="72" spans="1:16" s="18" customFormat="1" ht="24.75" customHeight="1">
      <c r="A72" s="44"/>
      <c r="B72" s="14" t="s">
        <v>19</v>
      </c>
      <c r="C72" s="16"/>
      <c r="D72" s="25">
        <f>SUM(D70:D71)</f>
        <v>0</v>
      </c>
      <c r="E72" s="25">
        <f aca="true" t="shared" si="25" ref="E72:O72">SUM(E70:E71)</f>
        <v>14300</v>
      </c>
      <c r="F72" s="25">
        <f t="shared" si="25"/>
        <v>0</v>
      </c>
      <c r="G72" s="25">
        <f t="shared" si="25"/>
        <v>0</v>
      </c>
      <c r="H72" s="25">
        <f t="shared" si="25"/>
        <v>0</v>
      </c>
      <c r="I72" s="25">
        <f t="shared" si="25"/>
        <v>550000</v>
      </c>
      <c r="J72" s="25">
        <f t="shared" si="25"/>
        <v>0</v>
      </c>
      <c r="K72" s="25">
        <f t="shared" si="25"/>
        <v>0</v>
      </c>
      <c r="L72" s="25">
        <f t="shared" si="25"/>
        <v>672400</v>
      </c>
      <c r="M72" s="25">
        <f t="shared" si="25"/>
        <v>0</v>
      </c>
      <c r="N72" s="25">
        <f t="shared" si="25"/>
        <v>4724516</v>
      </c>
      <c r="O72" s="25">
        <f t="shared" si="25"/>
        <v>0</v>
      </c>
      <c r="P72" s="16">
        <f t="shared" si="24"/>
        <v>5961216</v>
      </c>
    </row>
    <row r="73" spans="1:16" s="10" customFormat="1" ht="24.75" customHeight="1" hidden="1">
      <c r="A73" s="42">
        <v>851</v>
      </c>
      <c r="B73" s="23" t="s">
        <v>18</v>
      </c>
      <c r="C73" s="25">
        <v>157098</v>
      </c>
      <c r="D73" s="25">
        <v>9000.25</v>
      </c>
      <c r="E73" s="25">
        <v>9000.25</v>
      </c>
      <c r="F73" s="25">
        <f>1400+9000.25</f>
        <v>10400.25</v>
      </c>
      <c r="G73" s="25">
        <v>9000.25</v>
      </c>
      <c r="H73" s="25">
        <f>5000+9000.25</f>
        <v>14000.25</v>
      </c>
      <c r="I73" s="25">
        <f>1400+9000.25</f>
        <v>10400.25</v>
      </c>
      <c r="J73" s="25">
        <v>9000.25</v>
      </c>
      <c r="K73" s="25">
        <v>9000.25</v>
      </c>
      <c r="L73" s="25">
        <f>1400+9000.25</f>
        <v>10400.25</v>
      </c>
      <c r="M73" s="25">
        <f>5000+9000.25</f>
        <v>14000.25</v>
      </c>
      <c r="N73" s="25">
        <v>9000.25</v>
      </c>
      <c r="O73" s="25">
        <f>1400+9000.25</f>
        <v>10400.25</v>
      </c>
      <c r="P73" s="25">
        <f t="shared" si="24"/>
        <v>123603</v>
      </c>
    </row>
    <row r="74" spans="1:16" s="10" customFormat="1" ht="24.75" customHeight="1" hidden="1">
      <c r="A74" s="43"/>
      <c r="B74" s="23" t="s">
        <v>21</v>
      </c>
      <c r="C74" s="25"/>
      <c r="D74" s="25"/>
      <c r="E74" s="25"/>
      <c r="F74" s="25">
        <v>4755</v>
      </c>
      <c r="G74" s="25">
        <v>4755</v>
      </c>
      <c r="H74" s="25">
        <v>4755</v>
      </c>
      <c r="I74" s="25">
        <v>4755</v>
      </c>
      <c r="J74" s="25">
        <f>20930+4755-6000</f>
        <v>19685</v>
      </c>
      <c r="K74" s="25">
        <v>4755</v>
      </c>
      <c r="L74" s="25">
        <v>4755</v>
      </c>
      <c r="M74" s="25">
        <v>4755</v>
      </c>
      <c r="N74" s="25">
        <v>4755</v>
      </c>
      <c r="O74" s="25">
        <v>4750</v>
      </c>
      <c r="P74" s="25">
        <f t="shared" si="24"/>
        <v>62475</v>
      </c>
    </row>
    <row r="75" spans="1:16" s="18" customFormat="1" ht="24.75" customHeight="1">
      <c r="A75" s="43"/>
      <c r="B75" s="14" t="s">
        <v>18</v>
      </c>
      <c r="C75" s="16"/>
      <c r="D75" s="25">
        <f>SUM(D73:D74)</f>
        <v>9000.25</v>
      </c>
      <c r="E75" s="25">
        <f aca="true" t="shared" si="26" ref="E75:O75">SUM(E73:E74)</f>
        <v>9000.25</v>
      </c>
      <c r="F75" s="25">
        <f t="shared" si="26"/>
        <v>15155.25</v>
      </c>
      <c r="G75" s="25">
        <f t="shared" si="26"/>
        <v>13755.25</v>
      </c>
      <c r="H75" s="25">
        <f t="shared" si="26"/>
        <v>18755.25</v>
      </c>
      <c r="I75" s="25">
        <f t="shared" si="26"/>
        <v>15155.25</v>
      </c>
      <c r="J75" s="25">
        <f t="shared" si="26"/>
        <v>28685.25</v>
      </c>
      <c r="K75" s="25">
        <f t="shared" si="26"/>
        <v>13755.25</v>
      </c>
      <c r="L75" s="25">
        <f t="shared" si="26"/>
        <v>15155.25</v>
      </c>
      <c r="M75" s="25">
        <f t="shared" si="26"/>
        <v>18755.25</v>
      </c>
      <c r="N75" s="25">
        <f t="shared" si="26"/>
        <v>13755.25</v>
      </c>
      <c r="O75" s="25">
        <f t="shared" si="26"/>
        <v>15150.25</v>
      </c>
      <c r="P75" s="16">
        <f t="shared" si="24"/>
        <v>186078</v>
      </c>
    </row>
    <row r="76" spans="1:16" s="11" customFormat="1" ht="24.75" customHeight="1" hidden="1">
      <c r="A76" s="43"/>
      <c r="B76" s="23" t="s">
        <v>19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f t="shared" si="24"/>
        <v>0</v>
      </c>
    </row>
    <row r="77" spans="1:16" s="11" customFormat="1" ht="24.75" customHeight="1" hidden="1">
      <c r="A77" s="43"/>
      <c r="B77" s="23" t="s">
        <v>21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>
        <f t="shared" si="24"/>
        <v>0</v>
      </c>
    </row>
    <row r="78" spans="1:16" s="7" customFormat="1" ht="24.75" customHeight="1">
      <c r="A78" s="44"/>
      <c r="B78" s="14" t="s">
        <v>19</v>
      </c>
      <c r="C78" s="16"/>
      <c r="D78" s="25">
        <f>SUM(D76:D77)</f>
        <v>0</v>
      </c>
      <c r="E78" s="25">
        <f aca="true" t="shared" si="27" ref="E78:P78">SUM(E76:E77)</f>
        <v>0</v>
      </c>
      <c r="F78" s="25">
        <f t="shared" si="27"/>
        <v>0</v>
      </c>
      <c r="G78" s="25">
        <f t="shared" si="27"/>
        <v>0</v>
      </c>
      <c r="H78" s="25">
        <f t="shared" si="27"/>
        <v>0</v>
      </c>
      <c r="I78" s="25">
        <f t="shared" si="27"/>
        <v>0</v>
      </c>
      <c r="J78" s="25">
        <f t="shared" si="27"/>
        <v>0</v>
      </c>
      <c r="K78" s="25">
        <f t="shared" si="27"/>
        <v>0</v>
      </c>
      <c r="L78" s="25">
        <f t="shared" si="27"/>
        <v>0</v>
      </c>
      <c r="M78" s="25">
        <f t="shared" si="27"/>
        <v>0</v>
      </c>
      <c r="N78" s="25">
        <f t="shared" si="27"/>
        <v>0</v>
      </c>
      <c r="O78" s="25">
        <f t="shared" si="27"/>
        <v>0</v>
      </c>
      <c r="P78" s="16">
        <f t="shared" si="27"/>
        <v>0</v>
      </c>
    </row>
    <row r="79" spans="1:16" s="11" customFormat="1" ht="24.75" customHeight="1" hidden="1">
      <c r="A79" s="42">
        <v>852</v>
      </c>
      <c r="B79" s="23" t="s">
        <v>18</v>
      </c>
      <c r="C79" s="25">
        <v>11310148</v>
      </c>
      <c r="D79" s="25">
        <v>938124.75</v>
      </c>
      <c r="E79" s="25">
        <v>938104.75</v>
      </c>
      <c r="F79" s="25">
        <v>938104.75</v>
      </c>
      <c r="G79" s="25">
        <v>938104.75</v>
      </c>
      <c r="H79" s="25">
        <v>940864.75</v>
      </c>
      <c r="I79" s="25">
        <v>938104.75</v>
      </c>
      <c r="J79" s="25">
        <v>938104.75</v>
      </c>
      <c r="K79" s="25">
        <v>938104.75</v>
      </c>
      <c r="L79" s="25">
        <v>938104.75</v>
      </c>
      <c r="M79" s="25">
        <v>940864.75</v>
      </c>
      <c r="N79" s="25">
        <v>938104.75</v>
      </c>
      <c r="O79" s="25">
        <v>938104.75</v>
      </c>
      <c r="P79" s="25">
        <f t="shared" si="24"/>
        <v>11262797</v>
      </c>
    </row>
    <row r="80" spans="1:16" s="11" customFormat="1" ht="24.75" customHeight="1" hidden="1">
      <c r="A80" s="43"/>
      <c r="B80" s="23" t="s">
        <v>21</v>
      </c>
      <c r="C80" s="25"/>
      <c r="D80" s="25"/>
      <c r="E80" s="25">
        <v>54491</v>
      </c>
      <c r="F80" s="25">
        <f>1335+54491</f>
        <v>55826</v>
      </c>
      <c r="G80" s="25">
        <f>1335+54491</f>
        <v>55826</v>
      </c>
      <c r="H80" s="25">
        <f>1335+54491</f>
        <v>55826</v>
      </c>
      <c r="I80" s="25">
        <f>1335+785+54491</f>
        <v>56611</v>
      </c>
      <c r="J80" s="25">
        <f>1335+785+54491+3673+5521</f>
        <v>65805</v>
      </c>
      <c r="K80" s="25">
        <f>1335+785+54491+36702</f>
        <v>93313</v>
      </c>
      <c r="L80" s="25">
        <f>1335+785+54491+5520</f>
        <v>62131</v>
      </c>
      <c r="M80" s="25">
        <f>1335+785+54491+36703</f>
        <v>93314</v>
      </c>
      <c r="N80" s="25">
        <f>1335+785+54491</f>
        <v>56611</v>
      </c>
      <c r="O80" s="25">
        <f>1335-73+1+785+5+54490</f>
        <v>56543</v>
      </c>
      <c r="P80" s="25">
        <f t="shared" si="24"/>
        <v>706297</v>
      </c>
    </row>
    <row r="81" spans="1:16" s="7" customFormat="1" ht="24.75" customHeight="1">
      <c r="A81" s="43"/>
      <c r="B81" s="14" t="s">
        <v>18</v>
      </c>
      <c r="C81" s="16"/>
      <c r="D81" s="25">
        <f>SUM(D79:D80)</f>
        <v>938124.75</v>
      </c>
      <c r="E81" s="25">
        <f aca="true" t="shared" si="28" ref="E81:O81">SUM(E79:E80)</f>
        <v>992595.75</v>
      </c>
      <c r="F81" s="25">
        <f t="shared" si="28"/>
        <v>993930.75</v>
      </c>
      <c r="G81" s="25">
        <f t="shared" si="28"/>
        <v>993930.75</v>
      </c>
      <c r="H81" s="25">
        <f t="shared" si="28"/>
        <v>996690.75</v>
      </c>
      <c r="I81" s="25">
        <f t="shared" si="28"/>
        <v>994715.75</v>
      </c>
      <c r="J81" s="25">
        <f t="shared" si="28"/>
        <v>1003909.75</v>
      </c>
      <c r="K81" s="25">
        <f t="shared" si="28"/>
        <v>1031417.75</v>
      </c>
      <c r="L81" s="25">
        <f t="shared" si="28"/>
        <v>1000235.75</v>
      </c>
      <c r="M81" s="25">
        <f t="shared" si="28"/>
        <v>1034178.75</v>
      </c>
      <c r="N81" s="25">
        <f t="shared" si="28"/>
        <v>994715.75</v>
      </c>
      <c r="O81" s="25">
        <f t="shared" si="28"/>
        <v>994647.75</v>
      </c>
      <c r="P81" s="16">
        <f t="shared" si="24"/>
        <v>11969094</v>
      </c>
    </row>
    <row r="82" spans="1:16" s="11" customFormat="1" ht="24.75" customHeight="1" hidden="1">
      <c r="A82" s="43"/>
      <c r="B82" s="23" t="s">
        <v>19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f t="shared" si="24"/>
        <v>0</v>
      </c>
    </row>
    <row r="83" spans="1:16" s="11" customFormat="1" ht="24.75" customHeight="1" hidden="1">
      <c r="A83" s="43"/>
      <c r="B83" s="23" t="s">
        <v>21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>
        <f t="shared" si="24"/>
        <v>0</v>
      </c>
    </row>
    <row r="84" spans="1:16" s="7" customFormat="1" ht="24.75" customHeight="1">
      <c r="A84" s="44"/>
      <c r="B84" s="14" t="s">
        <v>19</v>
      </c>
      <c r="C84" s="16"/>
      <c r="D84" s="25">
        <f>SUM(D82:D83)</f>
        <v>0</v>
      </c>
      <c r="E84" s="25">
        <f aca="true" t="shared" si="29" ref="E84:P84">SUM(E82:E83)</f>
        <v>0</v>
      </c>
      <c r="F84" s="25">
        <f t="shared" si="29"/>
        <v>0</v>
      </c>
      <c r="G84" s="25">
        <f t="shared" si="29"/>
        <v>0</v>
      </c>
      <c r="H84" s="25">
        <f t="shared" si="29"/>
        <v>0</v>
      </c>
      <c r="I84" s="25">
        <f t="shared" si="29"/>
        <v>0</v>
      </c>
      <c r="J84" s="25">
        <f t="shared" si="29"/>
        <v>0</v>
      </c>
      <c r="K84" s="25">
        <f t="shared" si="29"/>
        <v>0</v>
      </c>
      <c r="L84" s="25">
        <f t="shared" si="29"/>
        <v>0</v>
      </c>
      <c r="M84" s="25">
        <f t="shared" si="29"/>
        <v>0</v>
      </c>
      <c r="N84" s="25">
        <f t="shared" si="29"/>
        <v>0</v>
      </c>
      <c r="O84" s="25">
        <f t="shared" si="29"/>
        <v>0</v>
      </c>
      <c r="P84" s="16">
        <f t="shared" si="29"/>
        <v>0</v>
      </c>
    </row>
    <row r="85" spans="1:16" s="11" customFormat="1" ht="24.75" customHeight="1" hidden="1">
      <c r="A85" s="42">
        <v>853</v>
      </c>
      <c r="B85" s="23" t="s">
        <v>18</v>
      </c>
      <c r="C85" s="25"/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10704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f t="shared" si="24"/>
        <v>10704</v>
      </c>
    </row>
    <row r="86" spans="1:16" s="11" customFormat="1" ht="24.75" customHeight="1" hidden="1">
      <c r="A86" s="43"/>
      <c r="B86" s="23" t="s">
        <v>21</v>
      </c>
      <c r="C86" s="25"/>
      <c r="D86" s="25"/>
      <c r="E86" s="25"/>
      <c r="F86" s="25"/>
      <c r="G86" s="25"/>
      <c r="H86" s="25"/>
      <c r="I86" s="25"/>
      <c r="J86" s="25">
        <v>1133</v>
      </c>
      <c r="K86" s="25"/>
      <c r="L86" s="25"/>
      <c r="M86" s="25"/>
      <c r="N86" s="25"/>
      <c r="O86" s="25"/>
      <c r="P86" s="25">
        <f t="shared" si="24"/>
        <v>1133</v>
      </c>
    </row>
    <row r="87" spans="1:16" s="7" customFormat="1" ht="24.75" customHeight="1">
      <c r="A87" s="43"/>
      <c r="B87" s="14" t="s">
        <v>18</v>
      </c>
      <c r="C87" s="16"/>
      <c r="D87" s="25">
        <f>SUM(D85:D86)</f>
        <v>0</v>
      </c>
      <c r="E87" s="25">
        <f aca="true" t="shared" si="30" ref="E87:O87">SUM(E85:E86)</f>
        <v>0</v>
      </c>
      <c r="F87" s="25">
        <f t="shared" si="30"/>
        <v>0</v>
      </c>
      <c r="G87" s="25">
        <f t="shared" si="30"/>
        <v>0</v>
      </c>
      <c r="H87" s="25">
        <f t="shared" si="30"/>
        <v>0</v>
      </c>
      <c r="I87" s="25">
        <f t="shared" si="30"/>
        <v>0</v>
      </c>
      <c r="J87" s="25">
        <f t="shared" si="30"/>
        <v>11837</v>
      </c>
      <c r="K87" s="25">
        <f t="shared" si="30"/>
        <v>0</v>
      </c>
      <c r="L87" s="25">
        <f t="shared" si="30"/>
        <v>0</v>
      </c>
      <c r="M87" s="25">
        <f t="shared" si="30"/>
        <v>0</v>
      </c>
      <c r="N87" s="25">
        <f t="shared" si="30"/>
        <v>0</v>
      </c>
      <c r="O87" s="25">
        <f t="shared" si="30"/>
        <v>0</v>
      </c>
      <c r="P87" s="16">
        <f t="shared" si="24"/>
        <v>11837</v>
      </c>
    </row>
    <row r="88" spans="1:16" s="11" customFormat="1" ht="24.75" customHeight="1" hidden="1">
      <c r="A88" s="43"/>
      <c r="B88" s="23" t="s">
        <v>19</v>
      </c>
      <c r="C88" s="25"/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f t="shared" si="24"/>
        <v>0</v>
      </c>
    </row>
    <row r="89" spans="1:16" s="11" customFormat="1" ht="24.75" customHeight="1" hidden="1">
      <c r="A89" s="43"/>
      <c r="B89" s="23" t="s">
        <v>21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>
        <f t="shared" si="24"/>
        <v>0</v>
      </c>
    </row>
    <row r="90" spans="1:16" s="7" customFormat="1" ht="24.75" customHeight="1">
      <c r="A90" s="44"/>
      <c r="B90" s="14" t="s">
        <v>19</v>
      </c>
      <c r="C90" s="16"/>
      <c r="D90" s="25">
        <f>SUM(D88:D89)</f>
        <v>0</v>
      </c>
      <c r="E90" s="25">
        <f aca="true" t="shared" si="31" ref="E90:O90">SUM(E88:E89)</f>
        <v>0</v>
      </c>
      <c r="F90" s="25">
        <f t="shared" si="31"/>
        <v>0</v>
      </c>
      <c r="G90" s="25">
        <f t="shared" si="31"/>
        <v>0</v>
      </c>
      <c r="H90" s="25">
        <f t="shared" si="31"/>
        <v>0</v>
      </c>
      <c r="I90" s="25">
        <f t="shared" si="31"/>
        <v>0</v>
      </c>
      <c r="J90" s="25">
        <f t="shared" si="31"/>
        <v>0</v>
      </c>
      <c r="K90" s="25">
        <f t="shared" si="31"/>
        <v>0</v>
      </c>
      <c r="L90" s="25">
        <f t="shared" si="31"/>
        <v>0</v>
      </c>
      <c r="M90" s="25">
        <f t="shared" si="31"/>
        <v>0</v>
      </c>
      <c r="N90" s="25">
        <f t="shared" si="31"/>
        <v>0</v>
      </c>
      <c r="O90" s="25">
        <f t="shared" si="31"/>
        <v>0</v>
      </c>
      <c r="P90" s="16">
        <f t="shared" si="24"/>
        <v>0</v>
      </c>
    </row>
    <row r="91" spans="1:16" s="11" customFormat="1" ht="24.75" customHeight="1" hidden="1">
      <c r="A91" s="42">
        <v>854</v>
      </c>
      <c r="B91" s="23" t="s">
        <v>18</v>
      </c>
      <c r="C91" s="25">
        <v>886944</v>
      </c>
      <c r="D91" s="25">
        <v>67966</v>
      </c>
      <c r="E91" s="25">
        <v>124434</v>
      </c>
      <c r="F91" s="25">
        <v>115813</v>
      </c>
      <c r="G91" s="25">
        <v>67934</v>
      </c>
      <c r="H91" s="25">
        <v>70833</v>
      </c>
      <c r="I91" s="25">
        <v>67934</v>
      </c>
      <c r="J91" s="25">
        <v>67934</v>
      </c>
      <c r="K91" s="25">
        <v>67934</v>
      </c>
      <c r="L91" s="25">
        <v>67934</v>
      </c>
      <c r="M91" s="25">
        <v>67934</v>
      </c>
      <c r="N91" s="25">
        <v>124434</v>
      </c>
      <c r="O91" s="25">
        <v>67939</v>
      </c>
      <c r="P91" s="25">
        <f t="shared" si="24"/>
        <v>979023</v>
      </c>
    </row>
    <row r="92" spans="1:16" s="11" customFormat="1" ht="24.75" customHeight="1" hidden="1">
      <c r="A92" s="43"/>
      <c r="B92" s="23" t="s">
        <v>21</v>
      </c>
      <c r="C92" s="25"/>
      <c r="D92" s="25"/>
      <c r="E92" s="25"/>
      <c r="F92" s="25">
        <v>0</v>
      </c>
      <c r="G92" s="25">
        <v>0</v>
      </c>
      <c r="H92" s="25">
        <v>0</v>
      </c>
      <c r="I92" s="25">
        <f>28000+279792-117</f>
        <v>307675</v>
      </c>
      <c r="J92" s="25">
        <v>-117</v>
      </c>
      <c r="K92" s="25">
        <f>12000-117</f>
        <v>11883</v>
      </c>
      <c r="L92" s="25">
        <v>-117</v>
      </c>
      <c r="M92" s="25">
        <v>-117</v>
      </c>
      <c r="N92" s="25">
        <v>-117</v>
      </c>
      <c r="O92" s="25">
        <f>50-117-2</f>
        <v>-69</v>
      </c>
      <c r="P92" s="25">
        <f t="shared" si="24"/>
        <v>319021</v>
      </c>
    </row>
    <row r="93" spans="1:16" s="7" customFormat="1" ht="24.75" customHeight="1">
      <c r="A93" s="43"/>
      <c r="B93" s="14" t="s">
        <v>18</v>
      </c>
      <c r="C93" s="16"/>
      <c r="D93" s="25">
        <f>SUM(D91:D92)</f>
        <v>67966</v>
      </c>
      <c r="E93" s="25">
        <f aca="true" t="shared" si="32" ref="E93:O93">SUM(E91:E92)</f>
        <v>124434</v>
      </c>
      <c r="F93" s="25">
        <f t="shared" si="32"/>
        <v>115813</v>
      </c>
      <c r="G93" s="25">
        <f t="shared" si="32"/>
        <v>67934</v>
      </c>
      <c r="H93" s="25">
        <f t="shared" si="32"/>
        <v>70833</v>
      </c>
      <c r="I93" s="25">
        <f t="shared" si="32"/>
        <v>375609</v>
      </c>
      <c r="J93" s="25">
        <f t="shared" si="32"/>
        <v>67817</v>
      </c>
      <c r="K93" s="25">
        <f t="shared" si="32"/>
        <v>79817</v>
      </c>
      <c r="L93" s="25">
        <f t="shared" si="32"/>
        <v>67817</v>
      </c>
      <c r="M93" s="25">
        <f t="shared" si="32"/>
        <v>67817</v>
      </c>
      <c r="N93" s="25">
        <f t="shared" si="32"/>
        <v>124317</v>
      </c>
      <c r="O93" s="25">
        <f t="shared" si="32"/>
        <v>67870</v>
      </c>
      <c r="P93" s="16">
        <f t="shared" si="24"/>
        <v>1298044</v>
      </c>
    </row>
    <row r="94" spans="1:16" s="11" customFormat="1" ht="24.75" customHeight="1" hidden="1">
      <c r="A94" s="43"/>
      <c r="B94" s="23" t="s">
        <v>19</v>
      </c>
      <c r="C94" s="25">
        <v>230000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f t="shared" si="24"/>
        <v>0</v>
      </c>
    </row>
    <row r="95" spans="1:16" s="11" customFormat="1" ht="24.75" customHeight="1" hidden="1">
      <c r="A95" s="43"/>
      <c r="B95" s="23" t="s">
        <v>21</v>
      </c>
      <c r="C95" s="25"/>
      <c r="D95" s="25"/>
      <c r="E95" s="25"/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f t="shared" si="24"/>
        <v>0</v>
      </c>
    </row>
    <row r="96" spans="1:16" s="7" customFormat="1" ht="24.75" customHeight="1">
      <c r="A96" s="44"/>
      <c r="B96" s="14" t="s">
        <v>19</v>
      </c>
      <c r="C96" s="16"/>
      <c r="D96" s="25">
        <f>SUM(D94:D95)</f>
        <v>0</v>
      </c>
      <c r="E96" s="25">
        <f aca="true" t="shared" si="33" ref="E96:O96">SUM(E94:E95)</f>
        <v>0</v>
      </c>
      <c r="F96" s="25">
        <f t="shared" si="33"/>
        <v>0</v>
      </c>
      <c r="G96" s="25">
        <f t="shared" si="33"/>
        <v>0</v>
      </c>
      <c r="H96" s="25">
        <f t="shared" si="33"/>
        <v>0</v>
      </c>
      <c r="I96" s="25">
        <f t="shared" si="33"/>
        <v>0</v>
      </c>
      <c r="J96" s="25">
        <f t="shared" si="33"/>
        <v>0</v>
      </c>
      <c r="K96" s="25">
        <f t="shared" si="33"/>
        <v>0</v>
      </c>
      <c r="L96" s="25">
        <f t="shared" si="33"/>
        <v>0</v>
      </c>
      <c r="M96" s="25">
        <f t="shared" si="33"/>
        <v>0</v>
      </c>
      <c r="N96" s="25">
        <f t="shared" si="33"/>
        <v>0</v>
      </c>
      <c r="O96" s="25">
        <f t="shared" si="33"/>
        <v>0</v>
      </c>
      <c r="P96" s="16">
        <f t="shared" si="24"/>
        <v>0</v>
      </c>
    </row>
    <row r="97" spans="1:16" s="11" customFormat="1" ht="24.75" customHeight="1" hidden="1">
      <c r="A97" s="42">
        <v>900</v>
      </c>
      <c r="B97" s="23" t="s">
        <v>18</v>
      </c>
      <c r="C97" s="25">
        <v>1888095</v>
      </c>
      <c r="D97" s="25">
        <v>137992</v>
      </c>
      <c r="E97" s="25">
        <v>255485</v>
      </c>
      <c r="F97" s="25">
        <v>137580</v>
      </c>
      <c r="G97" s="25">
        <v>267191</v>
      </c>
      <c r="H97" s="25">
        <v>137580</v>
      </c>
      <c r="I97" s="25">
        <v>257431</v>
      </c>
      <c r="J97" s="25">
        <v>137580</v>
      </c>
      <c r="K97" s="25">
        <v>255391</v>
      </c>
      <c r="L97" s="25">
        <v>137580</v>
      </c>
      <c r="M97" s="25">
        <v>255391</v>
      </c>
      <c r="N97" s="25">
        <v>137580</v>
      </c>
      <c r="O97" s="25">
        <v>305431</v>
      </c>
      <c r="P97" s="25">
        <f t="shared" si="24"/>
        <v>2422212</v>
      </c>
    </row>
    <row r="98" spans="1:16" s="11" customFormat="1" ht="24.75" customHeight="1" hidden="1">
      <c r="A98" s="43"/>
      <c r="B98" s="23" t="s">
        <v>21</v>
      </c>
      <c r="C98" s="25"/>
      <c r="D98" s="25"/>
      <c r="E98" s="25"/>
      <c r="F98" s="25">
        <f>59000+750+3050</f>
        <v>62800</v>
      </c>
      <c r="G98" s="25">
        <v>35790</v>
      </c>
      <c r="H98" s="25">
        <f>35790+100</f>
        <v>35890</v>
      </c>
      <c r="I98" s="25">
        <f>35790+750</f>
        <v>36540</v>
      </c>
      <c r="J98" s="25">
        <f>122000+35790+6050</f>
        <v>163840</v>
      </c>
      <c r="K98" s="25">
        <f>35790+6050</f>
        <v>41840</v>
      </c>
      <c r="L98" s="25">
        <f>35790+750+6050</f>
        <v>42590</v>
      </c>
      <c r="M98" s="25">
        <f>35790+6050</f>
        <v>41840</v>
      </c>
      <c r="N98" s="25">
        <f>35790+6050</f>
        <v>41840</v>
      </c>
      <c r="O98" s="25">
        <f>35797+750+6050</f>
        <v>42597</v>
      </c>
      <c r="P98" s="25">
        <f t="shared" si="24"/>
        <v>545567</v>
      </c>
    </row>
    <row r="99" spans="1:16" s="7" customFormat="1" ht="24.75" customHeight="1">
      <c r="A99" s="43"/>
      <c r="B99" s="14" t="s">
        <v>18</v>
      </c>
      <c r="C99" s="16"/>
      <c r="D99" s="25">
        <f>SUM(D97:D98)</f>
        <v>137992</v>
      </c>
      <c r="E99" s="25">
        <f>SUM(E97:E98)</f>
        <v>255485</v>
      </c>
      <c r="F99" s="25">
        <f>SUM(F97:F98)</f>
        <v>200380</v>
      </c>
      <c r="G99" s="25">
        <f aca="true" t="shared" si="34" ref="G99:O99">SUM(G97:G98)</f>
        <v>302981</v>
      </c>
      <c r="H99" s="25">
        <f t="shared" si="34"/>
        <v>173470</v>
      </c>
      <c r="I99" s="25">
        <f t="shared" si="34"/>
        <v>293971</v>
      </c>
      <c r="J99" s="25">
        <f t="shared" si="34"/>
        <v>301420</v>
      </c>
      <c r="K99" s="25">
        <f t="shared" si="34"/>
        <v>297231</v>
      </c>
      <c r="L99" s="25">
        <f t="shared" si="34"/>
        <v>180170</v>
      </c>
      <c r="M99" s="25">
        <f t="shared" si="34"/>
        <v>297231</v>
      </c>
      <c r="N99" s="25">
        <f t="shared" si="34"/>
        <v>179420</v>
      </c>
      <c r="O99" s="25">
        <f t="shared" si="34"/>
        <v>348028</v>
      </c>
      <c r="P99" s="16">
        <f t="shared" si="24"/>
        <v>2967779</v>
      </c>
    </row>
    <row r="100" spans="1:18" s="11" customFormat="1" ht="24.75" customHeight="1" hidden="1">
      <c r="A100" s="43"/>
      <c r="B100" s="23" t="s">
        <v>19</v>
      </c>
      <c r="C100" s="25">
        <f>2832567+20000+378000</f>
        <v>3230567</v>
      </c>
      <c r="D100" s="25">
        <v>0</v>
      </c>
      <c r="E100" s="25">
        <v>0</v>
      </c>
      <c r="F100" s="25">
        <v>140000</v>
      </c>
      <c r="G100" s="25">
        <v>0</v>
      </c>
      <c r="H100" s="25">
        <v>0</v>
      </c>
      <c r="I100" s="25">
        <v>250000</v>
      </c>
      <c r="J100" s="25">
        <v>0</v>
      </c>
      <c r="K100" s="25">
        <v>0</v>
      </c>
      <c r="L100" s="25">
        <v>400000</v>
      </c>
      <c r="M100" s="25">
        <v>10000</v>
      </c>
      <c r="N100" s="25">
        <f>65000+5000+5000</f>
        <v>75000</v>
      </c>
      <c r="O100" s="25">
        <v>0</v>
      </c>
      <c r="P100" s="25">
        <f t="shared" si="24"/>
        <v>875000</v>
      </c>
      <c r="R100" s="12"/>
    </row>
    <row r="101" spans="1:18" s="11" customFormat="1" ht="24.75" customHeight="1" hidden="1">
      <c r="A101" s="43"/>
      <c r="B101" s="23" t="s">
        <v>21</v>
      </c>
      <c r="C101" s="25"/>
      <c r="D101" s="25"/>
      <c r="E101" s="25"/>
      <c r="F101" s="25">
        <v>-140000</v>
      </c>
      <c r="G101" s="25"/>
      <c r="H101" s="25"/>
      <c r="I101" s="25">
        <v>-88000</v>
      </c>
      <c r="J101" s="25"/>
      <c r="K101" s="25"/>
      <c r="L101" s="25">
        <f>-317000-59100</f>
        <v>-376100</v>
      </c>
      <c r="M101" s="25"/>
      <c r="N101" s="25"/>
      <c r="O101" s="25"/>
      <c r="P101" s="25">
        <f t="shared" si="24"/>
        <v>-604100</v>
      </c>
      <c r="R101" s="12"/>
    </row>
    <row r="102" spans="1:18" s="7" customFormat="1" ht="24.75" customHeight="1">
      <c r="A102" s="44"/>
      <c r="B102" s="14" t="s">
        <v>19</v>
      </c>
      <c r="C102" s="16"/>
      <c r="D102" s="25">
        <f>SUM(D100:D101)</f>
        <v>0</v>
      </c>
      <c r="E102" s="25">
        <f>SUM(E100:E101)</f>
        <v>0</v>
      </c>
      <c r="F102" s="25">
        <f>SUM(F100:F101)</f>
        <v>0</v>
      </c>
      <c r="G102" s="25">
        <f aca="true" t="shared" si="35" ref="G102:P102">SUM(G100:G101)</f>
        <v>0</v>
      </c>
      <c r="H102" s="25">
        <f t="shared" si="35"/>
        <v>0</v>
      </c>
      <c r="I102" s="25">
        <f t="shared" si="35"/>
        <v>162000</v>
      </c>
      <c r="J102" s="25">
        <f t="shared" si="35"/>
        <v>0</v>
      </c>
      <c r="K102" s="25">
        <f t="shared" si="35"/>
        <v>0</v>
      </c>
      <c r="L102" s="25">
        <f t="shared" si="35"/>
        <v>23900</v>
      </c>
      <c r="M102" s="25">
        <f t="shared" si="35"/>
        <v>10000</v>
      </c>
      <c r="N102" s="25">
        <f t="shared" si="35"/>
        <v>75000</v>
      </c>
      <c r="O102" s="25">
        <f t="shared" si="35"/>
        <v>0</v>
      </c>
      <c r="P102" s="16">
        <f t="shared" si="35"/>
        <v>270900</v>
      </c>
      <c r="R102" s="13"/>
    </row>
    <row r="103" spans="1:16" s="11" customFormat="1" ht="24.75" customHeight="1" hidden="1">
      <c r="A103" s="42">
        <v>921</v>
      </c>
      <c r="B103" s="23" t="s">
        <v>18</v>
      </c>
      <c r="C103" s="25">
        <f>2169980-5000</f>
        <v>2164980</v>
      </c>
      <c r="D103" s="25">
        <v>174825</v>
      </c>
      <c r="E103" s="25">
        <v>174550</v>
      </c>
      <c r="F103" s="25">
        <v>204550</v>
      </c>
      <c r="G103" s="25">
        <v>232550</v>
      </c>
      <c r="H103" s="25">
        <v>189550</v>
      </c>
      <c r="I103" s="25">
        <v>226550</v>
      </c>
      <c r="J103" s="25">
        <v>235550</v>
      </c>
      <c r="K103" s="25">
        <v>190550</v>
      </c>
      <c r="L103" s="25">
        <v>318050</v>
      </c>
      <c r="M103" s="25">
        <v>425550</v>
      </c>
      <c r="N103" s="25">
        <v>194630</v>
      </c>
      <c r="O103" s="25">
        <v>174550</v>
      </c>
      <c r="P103" s="25">
        <f t="shared" si="24"/>
        <v>2741455</v>
      </c>
    </row>
    <row r="104" spans="1:16" s="11" customFormat="1" ht="24.75" customHeight="1" hidden="1">
      <c r="A104" s="43"/>
      <c r="B104" s="23" t="s">
        <v>21</v>
      </c>
      <c r="C104" s="25"/>
      <c r="D104" s="25"/>
      <c r="E104" s="25"/>
      <c r="F104" s="25"/>
      <c r="G104" s="25">
        <v>1000</v>
      </c>
      <c r="H104" s="25"/>
      <c r="I104" s="25">
        <v>2000</v>
      </c>
      <c r="J104" s="25"/>
      <c r="K104" s="25"/>
      <c r="L104" s="25">
        <v>1000</v>
      </c>
      <c r="M104" s="25">
        <v>1000</v>
      </c>
      <c r="N104" s="25">
        <v>3500</v>
      </c>
      <c r="O104" s="25">
        <f>-800+1000</f>
        <v>200</v>
      </c>
      <c r="P104" s="25">
        <f t="shared" si="24"/>
        <v>8700</v>
      </c>
    </row>
    <row r="105" spans="1:16" s="7" customFormat="1" ht="24.75" customHeight="1">
      <c r="A105" s="43"/>
      <c r="B105" s="14" t="s">
        <v>18</v>
      </c>
      <c r="C105" s="16"/>
      <c r="D105" s="25">
        <f>SUM(D103:D104)</f>
        <v>174825</v>
      </c>
      <c r="E105" s="25">
        <f aca="true" t="shared" si="36" ref="E105:O105">SUM(E103:E104)</f>
        <v>174550</v>
      </c>
      <c r="F105" s="25">
        <f t="shared" si="36"/>
        <v>204550</v>
      </c>
      <c r="G105" s="25">
        <f t="shared" si="36"/>
        <v>233550</v>
      </c>
      <c r="H105" s="25">
        <f t="shared" si="36"/>
        <v>189550</v>
      </c>
      <c r="I105" s="25">
        <f t="shared" si="36"/>
        <v>228550</v>
      </c>
      <c r="J105" s="25">
        <f t="shared" si="36"/>
        <v>235550</v>
      </c>
      <c r="K105" s="25">
        <f t="shared" si="36"/>
        <v>190550</v>
      </c>
      <c r="L105" s="25">
        <f t="shared" si="36"/>
        <v>319050</v>
      </c>
      <c r="M105" s="25">
        <f t="shared" si="36"/>
        <v>426550</v>
      </c>
      <c r="N105" s="25">
        <f t="shared" si="36"/>
        <v>198130</v>
      </c>
      <c r="O105" s="25">
        <f t="shared" si="36"/>
        <v>174750</v>
      </c>
      <c r="P105" s="16">
        <f t="shared" si="24"/>
        <v>2750155</v>
      </c>
    </row>
    <row r="106" spans="1:16" s="11" customFormat="1" ht="24.75" customHeight="1" hidden="1">
      <c r="A106" s="43"/>
      <c r="B106" s="23" t="s">
        <v>19</v>
      </c>
      <c r="C106" s="25">
        <v>5000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f t="shared" si="24"/>
        <v>0</v>
      </c>
    </row>
    <row r="107" spans="1:16" s="11" customFormat="1" ht="24.75" customHeight="1" hidden="1">
      <c r="A107" s="43"/>
      <c r="B107" s="23" t="s">
        <v>21</v>
      </c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>
        <f t="shared" si="24"/>
        <v>0</v>
      </c>
    </row>
    <row r="108" spans="1:16" s="7" customFormat="1" ht="24.75" customHeight="1">
      <c r="A108" s="44"/>
      <c r="B108" s="14" t="s">
        <v>19</v>
      </c>
      <c r="C108" s="16"/>
      <c r="D108" s="25">
        <f>SUM(D106:D107)</f>
        <v>0</v>
      </c>
      <c r="E108" s="25">
        <f aca="true" t="shared" si="37" ref="E108:O108">SUM(E106:E107)</f>
        <v>0</v>
      </c>
      <c r="F108" s="25">
        <f t="shared" si="37"/>
        <v>0</v>
      </c>
      <c r="G108" s="25">
        <f t="shared" si="37"/>
        <v>0</v>
      </c>
      <c r="H108" s="25">
        <f t="shared" si="37"/>
        <v>0</v>
      </c>
      <c r="I108" s="25">
        <f t="shared" si="37"/>
        <v>0</v>
      </c>
      <c r="J108" s="25">
        <f t="shared" si="37"/>
        <v>0</v>
      </c>
      <c r="K108" s="25">
        <f t="shared" si="37"/>
        <v>0</v>
      </c>
      <c r="L108" s="25">
        <f t="shared" si="37"/>
        <v>0</v>
      </c>
      <c r="M108" s="25">
        <f t="shared" si="37"/>
        <v>0</v>
      </c>
      <c r="N108" s="25">
        <f t="shared" si="37"/>
        <v>0</v>
      </c>
      <c r="O108" s="25">
        <f t="shared" si="37"/>
        <v>0</v>
      </c>
      <c r="P108" s="16">
        <f t="shared" si="24"/>
        <v>0</v>
      </c>
    </row>
    <row r="109" spans="1:16" s="11" customFormat="1" ht="24.75" customHeight="1" hidden="1">
      <c r="A109" s="46">
        <v>926</v>
      </c>
      <c r="B109" s="23" t="s">
        <v>18</v>
      </c>
      <c r="C109" s="27">
        <v>598390</v>
      </c>
      <c r="D109" s="25">
        <v>0</v>
      </c>
      <c r="E109" s="25">
        <v>30000</v>
      </c>
      <c r="F109" s="25">
        <v>11625</v>
      </c>
      <c r="G109" s="25">
        <v>0</v>
      </c>
      <c r="H109" s="25">
        <v>38975</v>
      </c>
      <c r="I109" s="25">
        <v>60150</v>
      </c>
      <c r="J109" s="25">
        <v>0</v>
      </c>
      <c r="K109" s="25">
        <v>38975</v>
      </c>
      <c r="L109" s="25">
        <v>2650</v>
      </c>
      <c r="M109" s="25">
        <v>0</v>
      </c>
      <c r="N109" s="25">
        <v>38978</v>
      </c>
      <c r="O109" s="25">
        <v>50155</v>
      </c>
      <c r="P109" s="25">
        <f t="shared" si="24"/>
        <v>271508</v>
      </c>
    </row>
    <row r="110" spans="1:16" s="11" customFormat="1" ht="24.75" customHeight="1" hidden="1">
      <c r="A110" s="46"/>
      <c r="B110" s="23" t="s">
        <v>21</v>
      </c>
      <c r="C110" s="27"/>
      <c r="D110" s="25"/>
      <c r="E110" s="25"/>
      <c r="F110" s="25">
        <f>103000+6660</f>
        <v>109660</v>
      </c>
      <c r="G110" s="25">
        <f>57100+6660</f>
        <v>63760</v>
      </c>
      <c r="H110" s="25">
        <f>1500+53400+6660</f>
        <v>61560</v>
      </c>
      <c r="I110" s="25">
        <f>700+26000+6660</f>
        <v>33360</v>
      </c>
      <c r="J110" s="25">
        <v>45000</v>
      </c>
      <c r="K110" s="25">
        <v>14000</v>
      </c>
      <c r="L110" s="25">
        <f>53000+6660+6025</f>
        <v>65685</v>
      </c>
      <c r="M110" s="25">
        <f>29500+6700</f>
        <v>36200</v>
      </c>
      <c r="N110" s="25">
        <v>12000</v>
      </c>
      <c r="O110" s="25">
        <v>7000</v>
      </c>
      <c r="P110" s="25">
        <f t="shared" si="24"/>
        <v>448225</v>
      </c>
    </row>
    <row r="111" spans="1:16" s="7" customFormat="1" ht="24.75" customHeight="1">
      <c r="A111" s="46"/>
      <c r="B111" s="14" t="s">
        <v>18</v>
      </c>
      <c r="C111" s="19"/>
      <c r="D111" s="25">
        <f>SUM(D109:D110)</f>
        <v>0</v>
      </c>
      <c r="E111" s="25">
        <f aca="true" t="shared" si="38" ref="E111:O111">SUM(E109:E110)</f>
        <v>30000</v>
      </c>
      <c r="F111" s="25">
        <f t="shared" si="38"/>
        <v>121285</v>
      </c>
      <c r="G111" s="25">
        <f t="shared" si="38"/>
        <v>63760</v>
      </c>
      <c r="H111" s="25">
        <f t="shared" si="38"/>
        <v>100535</v>
      </c>
      <c r="I111" s="25">
        <f t="shared" si="38"/>
        <v>93510</v>
      </c>
      <c r="J111" s="25">
        <f t="shared" si="38"/>
        <v>45000</v>
      </c>
      <c r="K111" s="25">
        <f t="shared" si="38"/>
        <v>52975</v>
      </c>
      <c r="L111" s="25">
        <f t="shared" si="38"/>
        <v>68335</v>
      </c>
      <c r="M111" s="25">
        <f t="shared" si="38"/>
        <v>36200</v>
      </c>
      <c r="N111" s="25">
        <f t="shared" si="38"/>
        <v>50978</v>
      </c>
      <c r="O111" s="25">
        <f t="shared" si="38"/>
        <v>57155</v>
      </c>
      <c r="P111" s="16">
        <f t="shared" si="24"/>
        <v>719733</v>
      </c>
    </row>
    <row r="112" spans="1:16" s="11" customFormat="1" ht="24.75" customHeight="1" hidden="1">
      <c r="A112" s="46"/>
      <c r="B112" s="23" t="s">
        <v>19</v>
      </c>
      <c r="C112" s="27">
        <v>1120000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1286380</v>
      </c>
      <c r="M112" s="25">
        <v>0</v>
      </c>
      <c r="N112" s="25">
        <f>70000+100000+150000</f>
        <v>320000</v>
      </c>
      <c r="O112" s="25">
        <v>0</v>
      </c>
      <c r="P112" s="25">
        <f t="shared" si="24"/>
        <v>1606380</v>
      </c>
    </row>
    <row r="113" spans="1:16" s="11" customFormat="1" ht="24.75" customHeight="1" hidden="1">
      <c r="A113" s="46"/>
      <c r="B113" s="23" t="s">
        <v>21</v>
      </c>
      <c r="C113" s="28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>
        <f t="shared" si="24"/>
        <v>0</v>
      </c>
    </row>
    <row r="114" spans="1:16" s="7" customFormat="1" ht="24.75" customHeight="1">
      <c r="A114" s="46"/>
      <c r="B114" s="14" t="s">
        <v>19</v>
      </c>
      <c r="C114" s="21"/>
      <c r="D114" s="34">
        <f>SUM(D112:D113)</f>
        <v>0</v>
      </c>
      <c r="E114" s="34">
        <f aca="true" t="shared" si="39" ref="E114:O114">SUM(E112:E113)</f>
        <v>0</v>
      </c>
      <c r="F114" s="34">
        <f t="shared" si="39"/>
        <v>0</v>
      </c>
      <c r="G114" s="34">
        <f t="shared" si="39"/>
        <v>0</v>
      </c>
      <c r="H114" s="34">
        <f t="shared" si="39"/>
        <v>0</v>
      </c>
      <c r="I114" s="34">
        <f t="shared" si="39"/>
        <v>0</v>
      </c>
      <c r="J114" s="34">
        <f t="shared" si="39"/>
        <v>0</v>
      </c>
      <c r="K114" s="34">
        <f t="shared" si="39"/>
        <v>0</v>
      </c>
      <c r="L114" s="34">
        <f t="shared" si="39"/>
        <v>1286380</v>
      </c>
      <c r="M114" s="34">
        <f t="shared" si="39"/>
        <v>0</v>
      </c>
      <c r="N114" s="34">
        <f t="shared" si="39"/>
        <v>320000</v>
      </c>
      <c r="O114" s="34">
        <f t="shared" si="39"/>
        <v>0</v>
      </c>
      <c r="P114" s="22">
        <f t="shared" si="24"/>
        <v>1606380</v>
      </c>
    </row>
    <row r="115" spans="1:16" s="7" customFormat="1" ht="30" customHeight="1" hidden="1">
      <c r="A115" s="45" t="s">
        <v>26</v>
      </c>
      <c r="B115" s="45"/>
      <c r="C115" s="8"/>
      <c r="D115" s="8">
        <f>D109+D103+D97+D91+D85+D79+D73+D67+D61+D55+D49+D43+D37+D31+D25+D19+D13+D7</f>
        <v>3913327.34</v>
      </c>
      <c r="E115" s="8">
        <f aca="true" t="shared" si="40" ref="E115:P115">E109+E103+E97+E91+E85+E79+E73+E67+E61+E55+E49+E43+E37+E31+E25+E19+E13+E7</f>
        <v>4325080.34</v>
      </c>
      <c r="F115" s="8">
        <f t="shared" si="40"/>
        <v>5600560.18</v>
      </c>
      <c r="G115" s="8">
        <f t="shared" si="40"/>
        <v>4202797.34</v>
      </c>
      <c r="H115" s="8">
        <f t="shared" si="40"/>
        <v>4217096.09</v>
      </c>
      <c r="I115" s="8">
        <f t="shared" si="40"/>
        <v>4300715.34</v>
      </c>
      <c r="J115" s="8">
        <f t="shared" si="40"/>
        <v>4069280.34</v>
      </c>
      <c r="K115" s="8">
        <f t="shared" si="40"/>
        <v>4290562.34</v>
      </c>
      <c r="L115" s="8">
        <f t="shared" si="40"/>
        <v>4310364.34</v>
      </c>
      <c r="M115" s="8">
        <f t="shared" si="40"/>
        <v>4665794.34</v>
      </c>
      <c r="N115" s="8">
        <f t="shared" si="40"/>
        <v>4193317.59</v>
      </c>
      <c r="O115" s="8">
        <f t="shared" si="40"/>
        <v>4958088.42</v>
      </c>
      <c r="P115" s="8">
        <f t="shared" si="40"/>
        <v>53046984</v>
      </c>
    </row>
    <row r="116" spans="1:16" s="7" customFormat="1" ht="30" customHeight="1" hidden="1">
      <c r="A116" s="45"/>
      <c r="B116" s="45"/>
      <c r="C116" s="8"/>
      <c r="D116" s="8">
        <f aca="true" t="shared" si="41" ref="D116:P120">D110+D104+D98+D92+D86+D80+D74+D68+D62+D56+D50+D44+D38+D32+D26+D20+D14+D8</f>
        <v>8058</v>
      </c>
      <c r="E116" s="8">
        <f t="shared" si="41"/>
        <v>70593</v>
      </c>
      <c r="F116" s="8">
        <f t="shared" si="41"/>
        <v>252849</v>
      </c>
      <c r="G116" s="8">
        <f t="shared" si="41"/>
        <v>124189</v>
      </c>
      <c r="H116" s="8">
        <f t="shared" si="41"/>
        <v>514648</v>
      </c>
      <c r="I116" s="8">
        <f t="shared" si="41"/>
        <v>407929</v>
      </c>
      <c r="J116" s="8">
        <f t="shared" si="41"/>
        <v>380912</v>
      </c>
      <c r="K116" s="8">
        <f t="shared" si="41"/>
        <v>181606</v>
      </c>
      <c r="L116" s="8">
        <f t="shared" si="41"/>
        <v>125602</v>
      </c>
      <c r="M116" s="8">
        <f t="shared" si="41"/>
        <v>-94358</v>
      </c>
      <c r="N116" s="8">
        <f t="shared" si="41"/>
        <v>93298</v>
      </c>
      <c r="O116" s="8">
        <f t="shared" si="41"/>
        <v>-400404</v>
      </c>
      <c r="P116" s="8">
        <f t="shared" si="41"/>
        <v>1664922</v>
      </c>
    </row>
    <row r="117" spans="1:16" s="7" customFormat="1" ht="30" customHeight="1">
      <c r="A117" s="45"/>
      <c r="B117" s="45"/>
      <c r="C117" s="8"/>
      <c r="D117" s="8">
        <f t="shared" si="41"/>
        <v>3921385.34</v>
      </c>
      <c r="E117" s="8">
        <f t="shared" si="41"/>
        <v>4395673.34</v>
      </c>
      <c r="F117" s="8">
        <f t="shared" si="41"/>
        <v>5853409.18</v>
      </c>
      <c r="G117" s="8">
        <f t="shared" si="41"/>
        <v>4326986.34</v>
      </c>
      <c r="H117" s="8">
        <f t="shared" si="41"/>
        <v>4731744.09</v>
      </c>
      <c r="I117" s="8">
        <f t="shared" si="41"/>
        <v>4708644.34</v>
      </c>
      <c r="J117" s="8">
        <f t="shared" si="41"/>
        <v>4450192.34</v>
      </c>
      <c r="K117" s="8">
        <f t="shared" si="41"/>
        <v>4472168.34</v>
      </c>
      <c r="L117" s="8">
        <f t="shared" si="41"/>
        <v>4435966.34</v>
      </c>
      <c r="M117" s="8">
        <f t="shared" si="41"/>
        <v>4571436.34</v>
      </c>
      <c r="N117" s="8">
        <f t="shared" si="41"/>
        <v>4286615.59</v>
      </c>
      <c r="O117" s="8">
        <f t="shared" si="41"/>
        <v>4557684.42</v>
      </c>
      <c r="P117" s="8">
        <f t="shared" si="41"/>
        <v>54711906</v>
      </c>
    </row>
    <row r="118" spans="1:16" s="7" customFormat="1" ht="30" customHeight="1" hidden="1">
      <c r="A118" s="45" t="s">
        <v>27</v>
      </c>
      <c r="B118" s="45"/>
      <c r="C118" s="8"/>
      <c r="D118" s="8">
        <f t="shared" si="41"/>
        <v>0</v>
      </c>
      <c r="E118" s="8">
        <f t="shared" si="41"/>
        <v>39300</v>
      </c>
      <c r="F118" s="8">
        <f t="shared" si="41"/>
        <v>215000</v>
      </c>
      <c r="G118" s="8">
        <f t="shared" si="41"/>
        <v>0</v>
      </c>
      <c r="H118" s="8">
        <f t="shared" si="41"/>
        <v>0</v>
      </c>
      <c r="I118" s="8">
        <f t="shared" si="41"/>
        <v>894300</v>
      </c>
      <c r="J118" s="8">
        <f t="shared" si="41"/>
        <v>60000</v>
      </c>
      <c r="K118" s="8">
        <f t="shared" si="41"/>
        <v>450000</v>
      </c>
      <c r="L118" s="8">
        <f t="shared" si="41"/>
        <v>2516380</v>
      </c>
      <c r="M118" s="8">
        <f t="shared" si="41"/>
        <v>60000</v>
      </c>
      <c r="N118" s="8">
        <f t="shared" si="41"/>
        <v>6712816</v>
      </c>
      <c r="O118" s="8">
        <f t="shared" si="41"/>
        <v>75000</v>
      </c>
      <c r="P118" s="8">
        <f t="shared" si="41"/>
        <v>11022796</v>
      </c>
    </row>
    <row r="119" spans="1:16" s="7" customFormat="1" ht="30" customHeight="1" hidden="1">
      <c r="A119" s="45"/>
      <c r="B119" s="45"/>
      <c r="C119" s="8"/>
      <c r="D119" s="8">
        <f t="shared" si="41"/>
        <v>0</v>
      </c>
      <c r="E119" s="8">
        <f t="shared" si="41"/>
        <v>-2755</v>
      </c>
      <c r="F119" s="8">
        <f t="shared" si="41"/>
        <v>-140000</v>
      </c>
      <c r="G119" s="8">
        <f t="shared" si="41"/>
        <v>0</v>
      </c>
      <c r="H119" s="8">
        <f t="shared" si="41"/>
        <v>0</v>
      </c>
      <c r="I119" s="8">
        <f t="shared" si="41"/>
        <v>-88000</v>
      </c>
      <c r="J119" s="8">
        <f t="shared" si="41"/>
        <v>-50000</v>
      </c>
      <c r="K119" s="8">
        <f t="shared" si="41"/>
        <v>242705</v>
      </c>
      <c r="L119" s="8">
        <f t="shared" si="41"/>
        <v>-355200</v>
      </c>
      <c r="M119" s="8">
        <f t="shared" si="41"/>
        <v>585803</v>
      </c>
      <c r="N119" s="8">
        <f t="shared" si="41"/>
        <v>-357300</v>
      </c>
      <c r="O119" s="8">
        <f t="shared" si="41"/>
        <v>127220</v>
      </c>
      <c r="P119" s="8">
        <f t="shared" si="41"/>
        <v>-37527</v>
      </c>
    </row>
    <row r="120" spans="1:16" s="7" customFormat="1" ht="30" customHeight="1">
      <c r="A120" s="45"/>
      <c r="B120" s="45"/>
      <c r="C120" s="8"/>
      <c r="D120" s="8">
        <f t="shared" si="41"/>
        <v>0</v>
      </c>
      <c r="E120" s="8">
        <f t="shared" si="41"/>
        <v>36545</v>
      </c>
      <c r="F120" s="8">
        <f t="shared" si="41"/>
        <v>75000</v>
      </c>
      <c r="G120" s="8">
        <f t="shared" si="41"/>
        <v>0</v>
      </c>
      <c r="H120" s="8">
        <f t="shared" si="41"/>
        <v>0</v>
      </c>
      <c r="I120" s="8">
        <f t="shared" si="41"/>
        <v>806300</v>
      </c>
      <c r="J120" s="8">
        <f t="shared" si="41"/>
        <v>10000</v>
      </c>
      <c r="K120" s="8">
        <f t="shared" si="41"/>
        <v>692705</v>
      </c>
      <c r="L120" s="8">
        <f t="shared" si="41"/>
        <v>2161180</v>
      </c>
      <c r="M120" s="8">
        <f t="shared" si="41"/>
        <v>645803</v>
      </c>
      <c r="N120" s="8">
        <f t="shared" si="41"/>
        <v>6355516</v>
      </c>
      <c r="O120" s="8">
        <f t="shared" si="41"/>
        <v>202220</v>
      </c>
      <c r="P120" s="8">
        <f t="shared" si="41"/>
        <v>10985269</v>
      </c>
    </row>
    <row r="121" spans="1:16" s="7" customFormat="1" ht="30" customHeight="1" hidden="1">
      <c r="A121" s="45" t="s">
        <v>25</v>
      </c>
      <c r="B121" s="45"/>
      <c r="C121" s="8"/>
      <c r="D121" s="8">
        <f aca="true" t="shared" si="42" ref="D121:P123">D115+D118</f>
        <v>3913327.34</v>
      </c>
      <c r="E121" s="8">
        <f t="shared" si="42"/>
        <v>4364380.34</v>
      </c>
      <c r="F121" s="8">
        <f t="shared" si="42"/>
        <v>5815560.18</v>
      </c>
      <c r="G121" s="8">
        <f>G115+G118</f>
        <v>4202797.34</v>
      </c>
      <c r="H121" s="8">
        <f aca="true" t="shared" si="43" ref="H121:P121">H115+H118</f>
        <v>4217096.09</v>
      </c>
      <c r="I121" s="8">
        <f t="shared" si="43"/>
        <v>5195015.34</v>
      </c>
      <c r="J121" s="8">
        <f t="shared" si="43"/>
        <v>4129280.34</v>
      </c>
      <c r="K121" s="8">
        <f t="shared" si="43"/>
        <v>4740562.34</v>
      </c>
      <c r="L121" s="8">
        <f t="shared" si="43"/>
        <v>6826744.34</v>
      </c>
      <c r="M121" s="8">
        <f t="shared" si="43"/>
        <v>4725794.34</v>
      </c>
      <c r="N121" s="8">
        <f t="shared" si="43"/>
        <v>10906133.59</v>
      </c>
      <c r="O121" s="8">
        <f t="shared" si="43"/>
        <v>5033088.42</v>
      </c>
      <c r="P121" s="8">
        <f t="shared" si="43"/>
        <v>64069780</v>
      </c>
    </row>
    <row r="122" spans="1:16" s="7" customFormat="1" ht="30" customHeight="1" hidden="1">
      <c r="A122" s="45"/>
      <c r="B122" s="45"/>
      <c r="C122" s="8"/>
      <c r="D122" s="8">
        <f t="shared" si="42"/>
        <v>8058</v>
      </c>
      <c r="E122" s="8">
        <f t="shared" si="42"/>
        <v>67838</v>
      </c>
      <c r="F122" s="8">
        <f t="shared" si="42"/>
        <v>112849</v>
      </c>
      <c r="G122" s="8">
        <f t="shared" si="42"/>
        <v>124189</v>
      </c>
      <c r="H122" s="8">
        <f t="shared" si="42"/>
        <v>514648</v>
      </c>
      <c r="I122" s="8">
        <f t="shared" si="42"/>
        <v>319929</v>
      </c>
      <c r="J122" s="8">
        <f t="shared" si="42"/>
        <v>330912</v>
      </c>
      <c r="K122" s="8">
        <f t="shared" si="42"/>
        <v>424311</v>
      </c>
      <c r="L122" s="8">
        <f t="shared" si="42"/>
        <v>-229598</v>
      </c>
      <c r="M122" s="8">
        <f t="shared" si="42"/>
        <v>491445</v>
      </c>
      <c r="N122" s="8">
        <f t="shared" si="42"/>
        <v>-264002</v>
      </c>
      <c r="O122" s="8">
        <f t="shared" si="42"/>
        <v>-273184</v>
      </c>
      <c r="P122" s="8">
        <f t="shared" si="42"/>
        <v>1627395</v>
      </c>
    </row>
    <row r="123" spans="1:16" s="7" customFormat="1" ht="24" customHeight="1">
      <c r="A123" s="45"/>
      <c r="B123" s="45"/>
      <c r="C123" s="8"/>
      <c r="D123" s="8">
        <f t="shared" si="42"/>
        <v>3921385.34</v>
      </c>
      <c r="E123" s="8">
        <f t="shared" si="42"/>
        <v>4432218.34</v>
      </c>
      <c r="F123" s="8">
        <f t="shared" si="42"/>
        <v>5928409.18</v>
      </c>
      <c r="G123" s="8">
        <f t="shared" si="42"/>
        <v>4326986.34</v>
      </c>
      <c r="H123" s="8">
        <f t="shared" si="42"/>
        <v>4731744.09</v>
      </c>
      <c r="I123" s="8">
        <f t="shared" si="42"/>
        <v>5514944.34</v>
      </c>
      <c r="J123" s="8">
        <f t="shared" si="42"/>
        <v>4460192.34</v>
      </c>
      <c r="K123" s="8">
        <f t="shared" si="42"/>
        <v>5164873.34</v>
      </c>
      <c r="L123" s="8">
        <f t="shared" si="42"/>
        <v>6597146.34</v>
      </c>
      <c r="M123" s="8">
        <f t="shared" si="42"/>
        <v>5217239.34</v>
      </c>
      <c r="N123" s="8">
        <f t="shared" si="42"/>
        <v>10642131.59</v>
      </c>
      <c r="O123" s="8">
        <f t="shared" si="42"/>
        <v>4759904.42</v>
      </c>
      <c r="P123" s="8">
        <f t="shared" si="42"/>
        <v>65697175</v>
      </c>
    </row>
    <row r="124" spans="3:16" ht="12.75">
      <c r="C124" s="3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3"/>
    </row>
  </sheetData>
  <sheetProtection/>
  <mergeCells count="22">
    <mergeCell ref="A121:B123"/>
    <mergeCell ref="A109:A114"/>
    <mergeCell ref="A115:B117"/>
    <mergeCell ref="A118:B120"/>
    <mergeCell ref="A73:A78"/>
    <mergeCell ref="A79:A84"/>
    <mergeCell ref="A85:A90"/>
    <mergeCell ref="A91:A96"/>
    <mergeCell ref="A97:A102"/>
    <mergeCell ref="A103:A108"/>
    <mergeCell ref="A37:A42"/>
    <mergeCell ref="A43:A48"/>
    <mergeCell ref="A49:A54"/>
    <mergeCell ref="A55:A60"/>
    <mergeCell ref="A61:A66"/>
    <mergeCell ref="A67:A72"/>
    <mergeCell ref="A5:P5"/>
    <mergeCell ref="A7:A12"/>
    <mergeCell ref="A13:A18"/>
    <mergeCell ref="A19:A24"/>
    <mergeCell ref="A25:A30"/>
    <mergeCell ref="A31:A36"/>
  </mergeCells>
  <printOptions/>
  <pageMargins left="0.2755905511811024" right="0.1968503937007874" top="0.984251968503937" bottom="0.984251968503937" header="0.5118110236220472" footer="0.5118110236220472"/>
  <pageSetup horizontalDpi="300" verticalDpi="300" orientation="landscape" paperSize="9" scale="8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Tomasz Witkowski</cp:lastModifiedBy>
  <cp:lastPrinted>2010-07-27T07:31:43Z</cp:lastPrinted>
  <dcterms:created xsi:type="dcterms:W3CDTF">1997-02-26T13:46:56Z</dcterms:created>
  <dcterms:modified xsi:type="dcterms:W3CDTF">2010-07-30T10:21:33Z</dcterms:modified>
  <cp:category/>
  <cp:version/>
  <cp:contentType/>
  <cp:contentStatus/>
</cp:coreProperties>
</file>