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 " sheetId="5" r:id="rId5"/>
    <sheet name="ZĄŁ. NR 4." sheetId="6" r:id="rId6"/>
    <sheet name="ZĄŁ. NR 5. (2)" sheetId="7" r:id="rId7"/>
    <sheet name="ZAŁ. NR 7" sheetId="8" r:id="rId8"/>
    <sheet name="ZAŁ. NR 9" sheetId="9" r:id="rId9"/>
    <sheet name="ZAŁ. NR 6." sheetId="10" r:id="rId10"/>
    <sheet name="Arkusz2" sheetId="11" r:id="rId11"/>
    <sheet name="Arkusz1" sheetId="12" r:id="rId12"/>
  </sheets>
  <definedNames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3">'ZAŁ. NR 4'!$7:$7</definedName>
    <definedName name="_xlnm.Print_Titles" localSheetId="4">'ZAŁ. NR 5 '!$6:$6</definedName>
    <definedName name="_xlnm.Print_Titles" localSheetId="7">'ZAŁ. NR 7'!$6:$6</definedName>
    <definedName name="_xlnm.Print_Titles" localSheetId="5">'ZĄŁ. NR 4.'!$6:$6</definedName>
    <definedName name="_xlnm.Print_Titles" localSheetId="6">'ZĄŁ. NR 5. (2)'!$6:$6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18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<sst xmlns="http://schemas.openxmlformats.org/spreadsheetml/2006/main" count="1559" uniqueCount="540">
  <si>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</si>
  <si>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</si>
  <si>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</si>
  <si>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</si>
  <si>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</si>
  <si>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</si>
  <si>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</si>
  <si>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</si>
  <si>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</si>
  <si>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</si>
  <si>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</si>
  <si>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</si>
  <si>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</si>
  <si>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</si>
  <si>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</si>
  <si>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</si>
  <si>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</si>
  <si>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</si>
  <si>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</si>
  <si>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</si>
  <si>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</si>
  <si>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</si>
  <si>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</si>
  <si>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</si>
  <si>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</si>
  <si>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</si>
  <si>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</si>
  <si>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</si>
  <si>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</si>
  <si>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</si>
  <si>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</si>
  <si>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</si>
  <si>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</si>
  <si>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</si>
  <si>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</si>
  <si>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</si>
  <si>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</si>
  <si>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</si>
  <si>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</si>
  <si>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</si>
  <si>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</si>
  <si>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</si>
  <si>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</si>
  <si>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</si>
  <si>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</si>
  <si>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</si>
  <si>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</si>
  <si>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</si>
  <si>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</si>
  <si>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</si>
  <si>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</si>
  <si>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</si>
  <si>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</si>
  <si>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</si>
  <si>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</si>
  <si>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</si>
  <si>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</si>
  <si>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</si>
  <si>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</si>
  <si>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</si>
  <si>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</si>
  <si>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</si>
  <si>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</si>
  <si>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</si>
  <si>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</si>
  <si>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</si>
  <si>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</si>
  <si>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</si>
  <si>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</si>
  <si>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</si>
  <si>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</si>
  <si>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</si>
  <si>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</si>
  <si>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</si>
  <si>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</si>
  <si>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</si>
  <si>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</si>
  <si>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</si>
  <si>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</si>
  <si>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</si>
  <si>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</si>
  <si>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</si>
  <si>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</si>
  <si>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</si>
  <si>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</si>
  <si>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</si>
  <si>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</si>
  <si>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</si>
  <si>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</si>
  <si>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</si>
  <si>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</si>
  <si>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</si>
  <si>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</si>
  <si>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</si>
  <si>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</si>
  <si>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</si>
  <si>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</si>
  <si>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</si>
  <si>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</si>
  <si>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</si>
  <si>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</si>
  <si>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</si>
  <si>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</si>
  <si>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</si>
  <si>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</si>
  <si>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</si>
  <si>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</si>
  <si>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</si>
  <si>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</si>
  <si>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</si>
  <si>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</si>
  <si>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</si>
  <si>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</si>
  <si>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</si>
  <si>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</si>
  <si>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</si>
  <si>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</si>
  <si>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</si>
  <si>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</si>
  <si>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</si>
  <si>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</si>
  <si>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</si>
  <si>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</si>
  <si>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</si>
  <si>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</si>
  <si>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</si>
  <si>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</si>
  <si>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</si>
  <si>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</si>
  <si>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</si>
  <si>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</si>
  <si>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</si>
  <si>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</si>
  <si>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</si>
  <si>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</si>
  <si>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</si>
  <si>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</si>
  <si>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</si>
  <si>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</si>
  <si>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</si>
  <si>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</si>
  <si>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</si>
  <si>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</si>
  <si>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</si>
  <si>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</si>
  <si>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</si>
  <si>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</si>
  <si>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</si>
  <si>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</si>
  <si>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</si>
  <si>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</si>
  <si>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</si>
  <si>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</si>
  <si>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</si>
  <si>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</si>
  <si>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</si>
  <si>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</si>
  <si>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</si>
  <si>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</si>
  <si>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</si>
  <si>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</si>
  <si>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</si>
  <si>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</si>
  <si>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</si>
  <si>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</si>
  <si>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</si>
  <si>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</si>
  <si>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</si>
  <si>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</si>
  <si>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</si>
  <si>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</si>
  <si>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</si>
  <si>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</si>
  <si>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</si>
  <si>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</si>
  <si>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</si>
  <si>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</si>
  <si>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</si>
  <si>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</si>
  <si>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</si>
  <si>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</si>
  <si>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</si>
  <si>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</si>
  <si>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</si>
  <si>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</si>
  <si>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</si>
  <si>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</si>
  <si>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</si>
  <si>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</si>
  <si>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</si>
  <si>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</si>
  <si>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</si>
  <si>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</si>
  <si>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</si>
  <si>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</si>
  <si>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</si>
  <si>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</si>
  <si>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</si>
  <si>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</si>
  <si>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</si>
  <si>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</si>
  <si>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</si>
  <si>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</si>
  <si>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</si>
  <si>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</si>
  <si>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</si>
  <si>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</si>
  <si>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</si>
  <si>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</si>
  <si>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</si>
  <si>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</si>
  <si>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</si>
  <si>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</si>
  <si>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</si>
  <si>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</si>
  <si>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</si>
  <si>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</si>
  <si>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</si>
  <si>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</si>
  <si>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</si>
  <si>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</si>
  <si>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</si>
  <si>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>0760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</si>
  <si>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</si>
  <si>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</si>
  <si>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</si>
  <si>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</si>
  <si>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</si>
  <si>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fundusz obrotowy na koniec roku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</si>
  <si>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</si>
  <si>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</si>
  <si>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</si>
  <si>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</si>
  <si>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</si>
  <si>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</si>
  <si>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1.</t>
  </si>
  <si>
    <t>Urząd Miejski Trzcianki</t>
  </si>
  <si>
    <t>3.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</si>
  <si>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</si>
  <si>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</si>
  <si>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</si>
  <si>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</si>
  <si>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</si>
  <si>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</si>
  <si>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</si>
  <si>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</si>
  <si>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</si>
  <si>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</si>
  <si>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</si>
  <si>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</si>
  <si>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</si>
  <si>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</si>
  <si>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</si>
  <si>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</si>
  <si>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</si>
  <si>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</si>
  <si>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</si>
  <si>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</si>
  <si>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</si>
  <si>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</si>
  <si>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</si>
  <si>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</si>
  <si>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</si>
  <si>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</si>
  <si>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</si>
  <si>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</si>
  <si>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</si>
  <si>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</si>
  <si>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zakup worków na nieczystości</t>
  </si>
  <si>
    <t>zakup drzew i krzewów</t>
  </si>
  <si>
    <t>popularyzacja wiedzy o środowisku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</si>
  <si>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</si>
  <si>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</si>
  <si>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</si>
  <si>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</si>
  <si>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</si>
  <si>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</si>
  <si>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koszty prowadzenia rachunku bankowego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</si>
  <si>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</si>
  <si>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</si>
  <si>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</si>
  <si>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</si>
  <si>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</si>
  <si>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</si>
  <si>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</si>
  <si>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</si>
  <si>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</si>
  <si>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</si>
  <si>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</si>
  <si>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</si>
  <si>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2.</t>
  </si>
  <si>
    <t>Wykupy nieruchomości (obowiązkowe wykupy działek pod drogi)</t>
  </si>
  <si>
    <t>2009-2010</t>
  </si>
  <si>
    <t>2009-2011</t>
  </si>
  <si>
    <t xml:space="preserve">lata finansowania </t>
  </si>
  <si>
    <t>budowa bazy rekreacyjno - sportowej</t>
  </si>
  <si>
    <t>ochrona środowiska, uzbrojenia terenów</t>
  </si>
  <si>
    <t>dotacja celowa na pomoc finansową udzielaną między jednostkami samorządu terytorialnego na dofinansowanie własnych zadań bieżących</t>
  </si>
  <si>
    <t>wykup nieruchomości i działek po zmianach w planie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</si>
  <si>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</si>
  <si>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</si>
  <si>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</si>
  <si>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</si>
  <si>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</si>
  <si>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</si>
  <si>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</si>
  <si>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</si>
  <si>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</si>
  <si>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</si>
  <si>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</si>
  <si>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</si>
  <si>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</si>
  <si>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</si>
  <si>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</si>
  <si>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</si>
  <si>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</si>
  <si>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</si>
  <si>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</si>
  <si>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</si>
  <si>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</si>
  <si>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</si>
  <si>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</si>
  <si>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zjazdu z ul. Sikorskiego do bloków na ul. Sikorskiego 25-27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</si>
  <si>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</si>
  <si>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</si>
  <si>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</si>
  <si>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</si>
  <si>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</si>
  <si>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</si>
  <si>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</si>
  <si>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</si>
  <si>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działalność instytucji kultury - porozumienie</t>
  </si>
  <si>
    <t>zakup taśmy przeciwko szkodnikom drzew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</si>
  <si>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</si>
  <si>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</si>
  <si>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</si>
  <si>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</si>
  <si>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</si>
  <si>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</si>
  <si>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</si>
  <si>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</si>
  <si>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</si>
  <si>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</si>
  <si>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 xml:space="preserve">Publiczne Gimnazjum Katolickie im. św. Siostry Faustyny w Trzciance  </t>
  </si>
  <si>
    <t>zakup wyparzacza do kuchni (SP Łomnica)</t>
  </si>
  <si>
    <t>Wydatki na wieloletnie programy inwestycyjne w latach 2010 - 2012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</si>
  <si>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</si>
  <si>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</si>
  <si>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2010-2012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</si>
  <si>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</si>
  <si>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</si>
  <si>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</si>
  <si>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</si>
  <si>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</si>
  <si>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</si>
  <si>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>I etap budowy ścieżki pieszo - rowerowej od przejazdu PKP i dalej  wzdłuż torów kolejowych i wiaduktu do ulicy asfaltowej przy cmentarzu komunalnym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</si>
  <si>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</si>
  <si>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</si>
  <si>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</si>
  <si>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</si>
  <si>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</si>
  <si>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</si>
  <si>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</si>
  <si>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</si>
  <si>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</si>
  <si>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</si>
  <si>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rezerwa na dofinansowanie zakupu samochodu dla Państwowej Straży Pożarnej w Czarnkowie dla Jednostki Ratowniczo - Gaśniczej w Trzciance</t>
  </si>
  <si>
    <t>zakup zamiatarki do boiska sztucznego (SP Nr 3)</t>
  </si>
  <si>
    <t>PT rozbudowy cmentarza komunalnego w Trzciance</t>
  </si>
  <si>
    <t>4.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</si>
  <si>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</si>
  <si>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</si>
  <si>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</si>
  <si>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</si>
  <si>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</si>
  <si>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</si>
  <si>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</si>
  <si>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</si>
  <si>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</si>
  <si>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</si>
  <si>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</si>
  <si>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</si>
  <si>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</si>
  <si>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</si>
  <si>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</si>
  <si>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</si>
  <si>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</si>
  <si>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</si>
  <si>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</si>
  <si>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</si>
  <si>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</si>
  <si>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</si>
  <si>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</si>
  <si>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</si>
  <si>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</si>
  <si>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4 do Zarządzenia Nr 19/10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</si>
  <si>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</si>
  <si>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</si>
  <si>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</si>
  <si>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</si>
  <si>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plan przed 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</si>
  <si>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</si>
  <si>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</si>
  <si>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</si>
  <si>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</si>
  <si>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</si>
  <si>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>pozostałe zadania w zakresie kultury</t>
  </si>
  <si>
    <t>Wydatki związane z realizacją zadań wspólnych realizowanych w drodze umów lub porozumień między jednostkami samorządu terytorialnego - plan na 2010 rok</t>
  </si>
  <si>
    <t>Załącznik Nr 7 do Uchwały Nr XXXVII/266/09</t>
  </si>
  <si>
    <t xml:space="preserve">Rady Miejskiej Trzcianki z dnia 17 grudnia 2009 r. </t>
  </si>
  <si>
    <t>Załącznik Nr 6 do Uchwały Nr XXXVII/266/09</t>
  </si>
  <si>
    <t>powiat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</si>
  <si>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</si>
  <si>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</si>
  <si>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</si>
  <si>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</si>
  <si>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</si>
  <si>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pomoc finansowa powiatowi czarnkowsko - trzcianeckiemu z przeznaczenime dla Zarzadu Dróg Powiatowych na wspólne finansowanie przebudowy chodnika przy drodze powiatowej nr 1332P: ulica 22 Lipca w Białej</t>
  </si>
  <si>
    <t>drogi publiczne powiatowe</t>
  </si>
  <si>
    <t>zmn.</t>
  </si>
  <si>
    <t>pl.zabaw</t>
  </si>
  <si>
    <t>pomoc finansowa powiatowi czarnkowsko - trzcianeckiemu z przeznaczenime dla Zarzadu Dróg Powiatowych na wspólne finansowanie wykonanie chodnika przy drodze powiatowej nr 1328P w Łomnicy</t>
  </si>
  <si>
    <t>zarządzanie kryzysowe</t>
  </si>
  <si>
    <t>Siedlisko</t>
  </si>
  <si>
    <t>G 1</t>
  </si>
  <si>
    <t xml:space="preserve">Wydatki  </t>
  </si>
  <si>
    <t>Wpływy i wydatki związane z gromadzeniem środków z opłat i kar za korzystanie ze środowiska</t>
  </si>
  <si>
    <t>Wpływy</t>
  </si>
  <si>
    <t>współdziałanie przy realizacji zadania z zakresu promocji poprzez kulturę</t>
  </si>
  <si>
    <t>Gmina Piła</t>
  </si>
  <si>
    <t xml:space="preserve">refundacja kosztów ponoszonych przez gminę Piła na dzieci będące mieszkańcami gminy Trzcianka a uczęszczające do pilskich niepublicznych przedszkoli </t>
  </si>
  <si>
    <t>dotacje celowe przekazane gminie na zadania bieżące realizowane na podstawie porozumień  (umów) między jednostkami samorządu terytorialnego</t>
  </si>
  <si>
    <t>zielonoświątkowcy</t>
  </si>
  <si>
    <t>zakup kontenerów na pety, makulaturę i szkło</t>
  </si>
  <si>
    <t>0960</t>
  </si>
  <si>
    <t>Załącznik Nr 9</t>
  </si>
  <si>
    <t>pomoc finansowa dla Powiatu Czarnkowsko - Trzcianeckiego z przeznaczeniem dla zarządu Dróg Powiatowych w Czarnkowie na wspólne finansowanie przebudowy chodnika przy drodze powiatowej w Białej - 75.000 zł i w Łomnicy - 25.000 zł</t>
  </si>
  <si>
    <t>1. dotacje na zadania inwestycyjne</t>
  </si>
  <si>
    <t>2. dotacje na zadania bieżące</t>
  </si>
  <si>
    <t xml:space="preserve">podsumowanie </t>
  </si>
  <si>
    <t>podsumowanie</t>
  </si>
  <si>
    <t xml:space="preserve">razem 1. i 2. </t>
  </si>
  <si>
    <t>1. dotacje na zadania bieżące</t>
  </si>
  <si>
    <t>projekt techniczny sieci wodno - kanalizacyjnej w rejonie ulic Reymonta, Grottgera, Krzywoustego, Chrobrego, do jeziora Sarcz oraz osiedle Poniatowskiego</t>
  </si>
  <si>
    <t>Rozbudowa gimnazjum i sali sportowej przy Gimnazjum 
w Siedlisku</t>
  </si>
  <si>
    <t>Termomodernizacja obiektów oświatowych i kultury (Gimnzazjum Nr 1 i Nr 2, Szkoła Podstawowa 
Nr 2 i Nr 3)</t>
  </si>
  <si>
    <t>szkolenie dzieci i mlodzieży prowadzone przez kluby sportowe na terenie gminy Trzcianka</t>
  </si>
  <si>
    <t>MKS SAPA Lubuszanin</t>
  </si>
  <si>
    <t xml:space="preserve">MKS MDK </t>
  </si>
  <si>
    <t>UKS Fortuna Biała</t>
  </si>
  <si>
    <t xml:space="preserve">szkolenie dzieci i młodzieży prowadzone przez uczniowskie kluby sportowe </t>
  </si>
  <si>
    <t>UKS Forma G 1</t>
  </si>
  <si>
    <t xml:space="preserve">UKS Kajak G 1 </t>
  </si>
  <si>
    <t>UKS Dysk SP 3</t>
  </si>
  <si>
    <t>UKS Relax SP 2</t>
  </si>
  <si>
    <t>LKS Zuch Rychlik</t>
  </si>
  <si>
    <t>propagowanie kultury fizycznej i sportu wśród dzieci i młodzieży zamieszkałej na terenach wiejskich poprzez prowadzenie zajęć oraz udział w zawodach o zasięgu gminnym, regionalnym oraz ogólnopolskim</t>
  </si>
  <si>
    <t>organizacja imprez sportowych na terenie gminy</t>
  </si>
  <si>
    <t>Stowarzyszenie Przyjaźni Niesłyszącym</t>
  </si>
  <si>
    <t>propagowanie kultury fizycznej i sportu wśród dzieci i młodzieży niepełnosprawnej zamieszakłej na terenie gminy</t>
  </si>
  <si>
    <t>Stowarzyszenie "Olimpijczyk"</t>
  </si>
  <si>
    <t>TSD</t>
  </si>
  <si>
    <t>organizacja rajdów turystycznych i krajoznawczych</t>
  </si>
  <si>
    <t>Stowarzyszenie Pomagajmy Dzieciom</t>
  </si>
  <si>
    <t>Klub Sportów Motorowych i Motorowodnych</t>
  </si>
  <si>
    <t>Fedracja Podnoszenia Ciężarów</t>
  </si>
  <si>
    <t>Stowarzyszenie Sprawni Razem</t>
  </si>
  <si>
    <t xml:space="preserve">ZHP </t>
  </si>
  <si>
    <t>Załącznik Nr 6 do Uchwały Nr XXXIX/278/10</t>
  </si>
  <si>
    <t>Rady Miejskiej Trzcianki z dnia 25 marca 2010 r. zmieniający</t>
  </si>
  <si>
    <t>Załącznik Nr 5 do Uchwały Nr XXXIX/278/10</t>
  </si>
  <si>
    <t>Załącznik Nr 4 do Uchwały Nr XXXIX/278/10</t>
  </si>
  <si>
    <t>Załącznik Nr 3 do Uchwały Nr XXXIX/278/10</t>
  </si>
  <si>
    <t>Załącznik Nr 2 do Uchwały Nr XXXIX/278/10</t>
  </si>
  <si>
    <t>Załącznik Nr 1 do Uchwały Nr XXXIX/278/10</t>
  </si>
  <si>
    <t>Załącznik Nr 7  do Uchwały Nr XXXIX/278/10</t>
  </si>
  <si>
    <t>do Uchwały Nr XXXIX/278/10</t>
  </si>
  <si>
    <t>z dnia 25 marca 2010 r.</t>
  </si>
  <si>
    <t>wynagordzenia bezosobowe</t>
  </si>
  <si>
    <t>dotacja celowa z budżetu na finansowanie lub dofinansowanie zadań zleconych do realizacji stowarzyszeniom</t>
  </si>
  <si>
    <t>otrzymane spadki, zapisy i darowizny w postaci pieniężnej</t>
  </si>
  <si>
    <t>budowa placu zabaw przy 
Szkole Podstawowej nr 3</t>
  </si>
  <si>
    <t>5.</t>
  </si>
  <si>
    <t>Budowa sali przy 
Gimnazjum Nr 2</t>
  </si>
  <si>
    <t>Budowa pływalni przy Gimnazjum nr 1</t>
  </si>
  <si>
    <t>Załącznik Nr 8 do Uchwały Nr XXXIX/278/10</t>
  </si>
  <si>
    <t xml:space="preserve">Rady Miejskiej Trzcianki z dnia 25 marca 2010 r. </t>
  </si>
  <si>
    <t>Rady Miejskiej Trzcianki z dnia 25 marca 2010 r.</t>
  </si>
  <si>
    <t>Rady Miejskiej Trzcianki z dnia ……... 2010 r. zmieniający</t>
  </si>
  <si>
    <t>Rady Miejskiej Trzcianki z dnia …….. 2010 r. zmieniający</t>
  </si>
  <si>
    <t xml:space="preserve">Załącznik Nr 5 do Uchwały Nr </t>
  </si>
  <si>
    <t>stołówki szkolne i przedszkolne</t>
  </si>
  <si>
    <t>wpływy z opłat za zezwolenia na sprzedaż napojów alkoholowych</t>
  </si>
  <si>
    <t>grzywny, mandaty i inne kary pieniężne od osób fizycznych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</si>
  <si>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</si>
  <si>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</si>
  <si>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 xml:space="preserve">Załącznik Nr 7  do Uchwały Nr </t>
  </si>
  <si>
    <t>pomo materialna dla uczniów</t>
  </si>
  <si>
    <t>0360</t>
  </si>
  <si>
    <t>podatek od spadków i darowizn</t>
  </si>
  <si>
    <t>przekształcenia</t>
  </si>
  <si>
    <t>spadki i darowizny</t>
  </si>
  <si>
    <t>pod.czynności c pr.</t>
  </si>
  <si>
    <t>dotacaj 85415.2030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</si>
  <si>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</si>
  <si>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</si>
  <si>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 xml:space="preserve">Załącznik Nr 6 do Uchwały Nr </t>
  </si>
  <si>
    <t>Załącznik Nr 1 do Uchwały Nr XL/290/10</t>
  </si>
  <si>
    <t>Rady Miejskiej Trzcianki z dnia 22 kwietnia 2010 r. zmieniający</t>
  </si>
  <si>
    <t>Załącznik Nr 5 do Uchwały Nr XL/290/10</t>
  </si>
  <si>
    <t>Załącznik Nr 2 do Uchwały Nr XL/290/10</t>
  </si>
  <si>
    <t>Załącznik Nr 4 do Uchwały Nr XL/290/10</t>
  </si>
  <si>
    <t>Załącznik Nr 3 do Uchwały Nr XL/290/10</t>
  </si>
  <si>
    <t xml:space="preserve">Rady Miejskiej Trzcianki z dnia 22 kwietnia 2010 r. </t>
  </si>
  <si>
    <t>Rady Miejskiej Trzcianki z dnia 22 kwietnia 2010 r.</t>
  </si>
  <si>
    <t>dotacje celowe otrzymane z budżetu państwa na realizację inwestycji i zakupów inwestycyjnych własnych gmin (związków gmin)</t>
  </si>
  <si>
    <t>85295.2030.</t>
  </si>
  <si>
    <t>85219.2030</t>
  </si>
  <si>
    <t>80101.2030</t>
  </si>
  <si>
    <t>80101.6330</t>
  </si>
  <si>
    <t>Załącznik Nr 1 do Zarządzenia Nr 52/10</t>
  </si>
  <si>
    <t>Burmistrza Trzcianki z dnia 12 maja 2010 r. zmieniający</t>
  </si>
  <si>
    <t>Załącznik Nr 2 do Zarządzenia Nr 52/10</t>
  </si>
  <si>
    <t>Załącznik Nr 3 do Zarządzenia Nr 52/10</t>
  </si>
  <si>
    <t>Załącznik Nr 4 do Zarządzenia Nr 52/10</t>
  </si>
  <si>
    <t>Załącznik Nr 5 do Zarządzenia Nr 52/10</t>
  </si>
  <si>
    <t>Załącznik Nr 6 do Zarządzenia Nr 19/10</t>
  </si>
  <si>
    <t xml:space="preserve">Załącznik Nr  do uchwały Nr </t>
  </si>
  <si>
    <t>Rady Miejskiej Trzcianki z dnia ……….. 2010 r. zmieniający</t>
  </si>
  <si>
    <t>Załącznik Nr 9 do Uchwały Nr XXXVII/266/09</t>
  </si>
  <si>
    <t xml:space="preserve">Dochody i wydatki na rok 2010 z tytułu opłat za wydawanie zezwoleń na sprzedaż napojów alkoholowych oraz wydatki na realizację zadań określonych w programie profilaktyki i rozwiązywania problemów alkoholowych - plan po zmianach </t>
  </si>
  <si>
    <t xml:space="preserve">Dochody z tytułu opłat za wydawanie zezwoleń na sprzedaż napojów alkoholowych </t>
  </si>
  <si>
    <t>Dochody od osób prawnych, od osób fizycznych i od innych jednostek nie posiadających osobowości prawnej</t>
  </si>
  <si>
    <t xml:space="preserve">wpływy z innych opłat stanowiacych dochody jednostek samorządu terytorialnego na podstawie ustaw </t>
  </si>
  <si>
    <t>wpływy z opłat za wydawanie zezwoleń na sprzedaż alkoholu</t>
  </si>
  <si>
    <t xml:space="preserve">Wydatki na realizację zadań określonych w programie profilaktyki i rozwiązywania problemów alkoholowych </t>
  </si>
  <si>
    <t xml:space="preserve">      Ochrona zdrowia</t>
  </si>
  <si>
    <t>dotacja celowa na pomoc finansową udzielana między jednostkami samorządu terytorialnego na dofinansowanie własnych zadań bieżących</t>
  </si>
  <si>
    <t xml:space="preserve">wynagrodzenia bezosobowe </t>
  </si>
  <si>
    <t>opłaty z tytułu zakupu usług telekomunikacyjnych telefonii stacjonarnej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</si>
</sst>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8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sz val="7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left" vertical="center" wrapText="1" inden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 quotePrefix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indent="1"/>
    </xf>
    <xf numFmtId="164" fontId="2" fillId="2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24" borderId="11" xfId="0" applyFont="1" applyFill="1" applyBorder="1" applyAlignment="1" quotePrefix="1">
      <alignment horizontal="center" vertical="center"/>
    </xf>
    <xf numFmtId="0" fontId="2" fillId="24" borderId="16" xfId="0" applyFont="1" applyFill="1" applyBorder="1" applyAlignment="1">
      <alignment horizontal="left" vertical="center" wrapText="1" indent="1"/>
    </xf>
    <xf numFmtId="4" fontId="2" fillId="24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 quotePrefix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13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 indent="1"/>
    </xf>
    <xf numFmtId="0" fontId="2" fillId="24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24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24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3" fillId="24" borderId="10" xfId="0" applyFont="1" applyFill="1" applyBorder="1" applyAlignment="1" quotePrefix="1">
      <alignment horizontal="center" vertical="center" wrapText="1"/>
    </xf>
    <xf numFmtId="0" fontId="33" fillId="24" borderId="1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 quotePrefix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34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 vertical="center"/>
    </xf>
    <xf numFmtId="4" fontId="33" fillId="24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4" fontId="35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" fontId="3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" fontId="35" fillId="0" borderId="0" xfId="0" applyNumberFormat="1" applyFont="1" applyAlignment="1">
      <alignment/>
    </xf>
    <xf numFmtId="0" fontId="5" fillId="24" borderId="10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 indent="1"/>
    </xf>
    <xf numFmtId="164" fontId="5" fillId="2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5.25390625" style="8" customWidth="1"/>
    <col min="2" max="2" width="7.25390625" style="8" bestFit="1" customWidth="1"/>
    <col min="3" max="3" width="4.375" style="8" bestFit="1" customWidth="1"/>
    <col min="4" max="4" width="34.375" style="8" customWidth="1"/>
    <col min="5" max="5" width="14.875" style="31" hidden="1" customWidth="1"/>
    <col min="6" max="6" width="9.875" style="31" hidden="1" customWidth="1"/>
    <col min="7" max="7" width="40.25390625" style="31" hidden="1" customWidth="1"/>
    <col min="8" max="8" width="6.875" style="31" hidden="1" customWidth="1"/>
    <col min="9" max="12" width="14.875" style="31" hidden="1" customWidth="1"/>
    <col min="13" max="15" width="14.875" style="31" customWidth="1"/>
  </cols>
  <sheetData>
    <row r="1" spans="1:15" ht="12.75">
      <c r="A1" s="60"/>
      <c r="B1" s="60"/>
      <c r="C1" s="60"/>
      <c r="D1" s="60"/>
      <c r="E1" s="61" t="s">
        <v>373</v>
      </c>
      <c r="F1" s="61"/>
      <c r="G1" s="61" t="s">
        <v>391</v>
      </c>
      <c r="H1" s="61"/>
      <c r="I1" s="61" t="s">
        <v>474</v>
      </c>
      <c r="J1" s="61"/>
      <c r="K1" s="61" t="s">
        <v>507</v>
      </c>
      <c r="L1" s="61"/>
      <c r="M1" s="61" t="s">
        <v>520</v>
      </c>
      <c r="N1" s="61"/>
      <c r="O1" s="61"/>
    </row>
    <row r="2" spans="1:15" ht="12.75">
      <c r="A2" s="60"/>
      <c r="B2" s="60"/>
      <c r="C2" s="60"/>
      <c r="D2" s="60"/>
      <c r="E2" s="61" t="s">
        <v>374</v>
      </c>
      <c r="F2" s="61"/>
      <c r="G2" s="61" t="s">
        <v>389</v>
      </c>
      <c r="H2" s="61"/>
      <c r="I2" s="61" t="s">
        <v>469</v>
      </c>
      <c r="J2" s="61"/>
      <c r="K2" s="61" t="s">
        <v>508</v>
      </c>
      <c r="L2" s="61"/>
      <c r="M2" s="61" t="s">
        <v>521</v>
      </c>
      <c r="N2" s="61"/>
      <c r="O2" s="61"/>
    </row>
    <row r="3" spans="1:15" ht="12.75">
      <c r="A3" s="60"/>
      <c r="B3" s="60"/>
      <c r="C3" s="60"/>
      <c r="D3" s="60"/>
      <c r="E3" s="61" t="s">
        <v>375</v>
      </c>
      <c r="F3" s="61"/>
      <c r="G3" s="61" t="s">
        <v>373</v>
      </c>
      <c r="H3" s="61"/>
      <c r="I3" s="61" t="s">
        <v>391</v>
      </c>
      <c r="J3" s="61"/>
      <c r="K3" s="61" t="s">
        <v>474</v>
      </c>
      <c r="L3" s="61"/>
      <c r="M3" s="61" t="s">
        <v>507</v>
      </c>
      <c r="N3" s="61"/>
      <c r="O3" s="61"/>
    </row>
    <row r="4" spans="1:15" ht="12.75">
      <c r="A4" s="60"/>
      <c r="B4" s="60"/>
      <c r="C4" s="60"/>
      <c r="D4" s="60"/>
      <c r="E4" s="61" t="s">
        <v>376</v>
      </c>
      <c r="F4" s="61"/>
      <c r="G4" s="61" t="s">
        <v>381</v>
      </c>
      <c r="H4" s="61"/>
      <c r="I4" s="61" t="s">
        <v>401</v>
      </c>
      <c r="J4" s="61"/>
      <c r="K4" s="61" t="s">
        <v>486</v>
      </c>
      <c r="L4" s="61"/>
      <c r="M4" s="61" t="s">
        <v>513</v>
      </c>
      <c r="N4" s="61"/>
      <c r="O4" s="61"/>
    </row>
    <row r="5" spans="1:15" ht="18.75" customHeight="1">
      <c r="A5" s="145" t="s">
        <v>340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s="8" customFormat="1" ht="24.75" customHeight="1">
      <c r="A6" s="6" t="s">
        <v>0</v>
      </c>
      <c r="B6" s="5" t="s">
        <v>1</v>
      </c>
      <c r="C6" s="23" t="s">
        <v>2</v>
      </c>
      <c r="D6" s="6" t="s">
        <v>3</v>
      </c>
      <c r="E6" s="9" t="s">
        <v>142</v>
      </c>
      <c r="F6" s="9" t="s">
        <v>349</v>
      </c>
      <c r="G6" s="130" t="s">
        <v>143</v>
      </c>
      <c r="H6" s="9" t="s">
        <v>349</v>
      </c>
      <c r="I6" s="130" t="s">
        <v>398</v>
      </c>
      <c r="J6" s="9" t="s">
        <v>349</v>
      </c>
      <c r="K6" s="130" t="s">
        <v>143</v>
      </c>
      <c r="L6" s="9" t="s">
        <v>349</v>
      </c>
      <c r="M6" s="130" t="s">
        <v>143</v>
      </c>
      <c r="N6" s="9" t="s">
        <v>349</v>
      </c>
      <c r="O6" s="130" t="s">
        <v>370</v>
      </c>
    </row>
    <row r="7" spans="1:15" s="8" customFormat="1" ht="20.25" customHeight="1">
      <c r="A7" s="105" t="s">
        <v>4</v>
      </c>
      <c r="B7" s="5"/>
      <c r="C7" s="23"/>
      <c r="D7" s="142" t="s">
        <v>5</v>
      </c>
      <c r="E7" s="19">
        <f aca="true" t="shared" si="0" ref="E7:O7">SUM(E8)</f>
        <v>639800</v>
      </c>
      <c r="F7" s="19">
        <f t="shared" si="0"/>
        <v>0</v>
      </c>
      <c r="G7" s="19">
        <f t="shared" si="0"/>
        <v>639800</v>
      </c>
      <c r="H7" s="19">
        <f t="shared" si="0"/>
        <v>0</v>
      </c>
      <c r="I7" s="19">
        <f t="shared" si="0"/>
        <v>639800</v>
      </c>
      <c r="J7" s="19">
        <f t="shared" si="0"/>
        <v>0</v>
      </c>
      <c r="K7" s="19">
        <f t="shared" si="0"/>
        <v>639800</v>
      </c>
      <c r="L7" s="19">
        <f t="shared" si="0"/>
        <v>0</v>
      </c>
      <c r="M7" s="19">
        <f t="shared" si="0"/>
        <v>639800</v>
      </c>
      <c r="N7" s="19">
        <f t="shared" si="0"/>
        <v>0</v>
      </c>
      <c r="O7" s="19">
        <f t="shared" si="0"/>
        <v>639800</v>
      </c>
    </row>
    <row r="8" spans="1:15" s="27" customFormat="1" ht="18.75" customHeight="1">
      <c r="A8" s="82"/>
      <c r="B8" s="80" t="s">
        <v>253</v>
      </c>
      <c r="C8" s="84"/>
      <c r="D8" s="143" t="s">
        <v>6</v>
      </c>
      <c r="E8" s="89">
        <f aca="true" t="shared" si="1" ref="E8:K8">SUM(E9:E10)</f>
        <v>639800</v>
      </c>
      <c r="F8" s="89">
        <f t="shared" si="1"/>
        <v>0</v>
      </c>
      <c r="G8" s="89">
        <f t="shared" si="1"/>
        <v>639800</v>
      </c>
      <c r="H8" s="89">
        <f t="shared" si="1"/>
        <v>0</v>
      </c>
      <c r="I8" s="89">
        <f t="shared" si="1"/>
        <v>639800</v>
      </c>
      <c r="J8" s="89">
        <f t="shared" si="1"/>
        <v>0</v>
      </c>
      <c r="K8" s="89">
        <f t="shared" si="1"/>
        <v>639800</v>
      </c>
      <c r="L8" s="89">
        <f>SUM(L9:L10)</f>
        <v>0</v>
      </c>
      <c r="M8" s="89">
        <f>SUM(M9:M10)</f>
        <v>639800</v>
      </c>
      <c r="N8" s="89">
        <f>SUM(N9:N10)</f>
        <v>0</v>
      </c>
      <c r="O8" s="89">
        <f>SUM(O9:O10)</f>
        <v>639800</v>
      </c>
    </row>
    <row r="9" spans="1:15" s="27" customFormat="1" ht="67.5">
      <c r="A9" s="82"/>
      <c r="B9" s="51"/>
      <c r="C9" s="83" t="s">
        <v>161</v>
      </c>
      <c r="D9" s="81" t="s">
        <v>55</v>
      </c>
      <c r="E9" s="89">
        <f>110000+9800</f>
        <v>119800</v>
      </c>
      <c r="F9" s="89"/>
      <c r="G9" s="89">
        <f>SUM(E9:F9)</f>
        <v>119800</v>
      </c>
      <c r="H9" s="89"/>
      <c r="I9" s="89">
        <f>SUM(G9:H9)</f>
        <v>119800</v>
      </c>
      <c r="J9" s="89"/>
      <c r="K9" s="89">
        <f>SUM(I9:J9)</f>
        <v>119800</v>
      </c>
      <c r="L9" s="89"/>
      <c r="M9" s="89">
        <f>SUM(K9:L9)</f>
        <v>119800</v>
      </c>
      <c r="N9" s="89"/>
      <c r="O9" s="89">
        <f>SUM(M9:N9)</f>
        <v>119800</v>
      </c>
    </row>
    <row r="10" spans="1:15" s="27" customFormat="1" ht="33.75">
      <c r="A10" s="82"/>
      <c r="B10" s="51"/>
      <c r="C10" s="83" t="s">
        <v>254</v>
      </c>
      <c r="D10" s="81" t="s">
        <v>255</v>
      </c>
      <c r="E10" s="89">
        <v>520000</v>
      </c>
      <c r="F10" s="89"/>
      <c r="G10" s="89">
        <f>SUM(E10:F10)</f>
        <v>520000</v>
      </c>
      <c r="H10" s="89"/>
      <c r="I10" s="89">
        <f>SUM(G10:H10)</f>
        <v>520000</v>
      </c>
      <c r="J10" s="89"/>
      <c r="K10" s="89">
        <f>SUM(I10:J10)</f>
        <v>520000</v>
      </c>
      <c r="L10" s="89"/>
      <c r="M10" s="89">
        <f>SUM(K10:L10)</f>
        <v>520000</v>
      </c>
      <c r="N10" s="89"/>
      <c r="O10" s="89">
        <f>SUM(M10:N10)</f>
        <v>520000</v>
      </c>
    </row>
    <row r="11" spans="1:15" s="7" customFormat="1" ht="18.75" customHeight="1">
      <c r="A11" s="32" t="s">
        <v>8</v>
      </c>
      <c r="B11" s="3"/>
      <c r="C11" s="4"/>
      <c r="D11" s="33" t="s">
        <v>9</v>
      </c>
      <c r="E11" s="62">
        <f aca="true" t="shared" si="2" ref="E11:O11">SUM(E12,)</f>
        <v>4836700</v>
      </c>
      <c r="F11" s="62">
        <f t="shared" si="2"/>
        <v>0</v>
      </c>
      <c r="G11" s="62">
        <f t="shared" si="2"/>
        <v>4836700</v>
      </c>
      <c r="H11" s="62">
        <f t="shared" si="2"/>
        <v>0</v>
      </c>
      <c r="I11" s="62">
        <f t="shared" si="2"/>
        <v>4836700</v>
      </c>
      <c r="J11" s="62">
        <f t="shared" si="2"/>
        <v>30000</v>
      </c>
      <c r="K11" s="62">
        <f t="shared" si="2"/>
        <v>4866700</v>
      </c>
      <c r="L11" s="62">
        <f t="shared" si="2"/>
        <v>131000</v>
      </c>
      <c r="M11" s="62">
        <f t="shared" si="2"/>
        <v>4997700</v>
      </c>
      <c r="N11" s="62">
        <f t="shared" si="2"/>
        <v>0</v>
      </c>
      <c r="O11" s="62">
        <f t="shared" si="2"/>
        <v>4997700</v>
      </c>
    </row>
    <row r="12" spans="1:15" s="27" customFormat="1" ht="19.5" customHeight="1">
      <c r="A12" s="76"/>
      <c r="B12" s="77" t="s">
        <v>10</v>
      </c>
      <c r="C12" s="84"/>
      <c r="D12" s="81" t="s">
        <v>148</v>
      </c>
      <c r="E12" s="75">
        <f>SUM(E13:E17)</f>
        <v>4836700</v>
      </c>
      <c r="F12" s="75">
        <f>SUM(F13:F17)</f>
        <v>0</v>
      </c>
      <c r="G12" s="75">
        <f>SUM(G13:G17)</f>
        <v>4836700</v>
      </c>
      <c r="H12" s="75">
        <f>SUM(H13:H17)</f>
        <v>0</v>
      </c>
      <c r="I12" s="75">
        <f aca="true" t="shared" si="3" ref="I12:O12">SUM(I13:I18)</f>
        <v>4836700</v>
      </c>
      <c r="J12" s="75">
        <f t="shared" si="3"/>
        <v>30000</v>
      </c>
      <c r="K12" s="75">
        <f t="shared" si="3"/>
        <v>4866700</v>
      </c>
      <c r="L12" s="75">
        <f t="shared" si="3"/>
        <v>131000</v>
      </c>
      <c r="M12" s="75">
        <f t="shared" si="3"/>
        <v>4997700</v>
      </c>
      <c r="N12" s="75">
        <f t="shared" si="3"/>
        <v>0</v>
      </c>
      <c r="O12" s="75">
        <f t="shared" si="3"/>
        <v>4997700</v>
      </c>
    </row>
    <row r="13" spans="1:15" s="27" customFormat="1" ht="24" customHeight="1">
      <c r="A13" s="76"/>
      <c r="B13" s="51"/>
      <c r="C13" s="83" t="s">
        <v>160</v>
      </c>
      <c r="D13" s="81" t="s">
        <v>211</v>
      </c>
      <c r="E13" s="75">
        <v>120000</v>
      </c>
      <c r="F13" s="75"/>
      <c r="G13" s="75">
        <f>SUM(E13:F13)</f>
        <v>120000</v>
      </c>
      <c r="H13" s="75"/>
      <c r="I13" s="75">
        <f>SUM(G13:H13)</f>
        <v>120000</v>
      </c>
      <c r="J13" s="75"/>
      <c r="K13" s="75">
        <f aca="true" t="shared" si="4" ref="K13:K18">SUM(I13:J13)</f>
        <v>120000</v>
      </c>
      <c r="L13" s="75"/>
      <c r="M13" s="75">
        <f aca="true" t="shared" si="5" ref="M13:M18">SUM(K13:L13)</f>
        <v>120000</v>
      </c>
      <c r="N13" s="75"/>
      <c r="O13" s="75">
        <f aca="true" t="shared" si="6" ref="O13:O18">SUM(M13:N13)</f>
        <v>120000</v>
      </c>
    </row>
    <row r="14" spans="1:15" s="27" customFormat="1" ht="67.5">
      <c r="A14" s="76"/>
      <c r="B14" s="51"/>
      <c r="C14" s="78" t="s">
        <v>161</v>
      </c>
      <c r="D14" s="81" t="s">
        <v>55</v>
      </c>
      <c r="E14" s="75">
        <f>1850000+16000+82000+8000+4000</f>
        <v>1960000</v>
      </c>
      <c r="F14" s="75"/>
      <c r="G14" s="75">
        <f>SUM(E14:F14)</f>
        <v>1960000</v>
      </c>
      <c r="H14" s="75"/>
      <c r="I14" s="75">
        <f>SUM(G14:H14)</f>
        <v>1960000</v>
      </c>
      <c r="J14" s="75"/>
      <c r="K14" s="75">
        <f t="shared" si="4"/>
        <v>1960000</v>
      </c>
      <c r="L14" s="75"/>
      <c r="M14" s="75">
        <f t="shared" si="5"/>
        <v>1960000</v>
      </c>
      <c r="N14" s="75"/>
      <c r="O14" s="75">
        <f t="shared" si="6"/>
        <v>1960000</v>
      </c>
    </row>
    <row r="15" spans="1:15" s="27" customFormat="1" ht="45">
      <c r="A15" s="76"/>
      <c r="B15" s="51"/>
      <c r="C15" s="78" t="s">
        <v>222</v>
      </c>
      <c r="D15" s="81" t="s">
        <v>261</v>
      </c>
      <c r="E15" s="75">
        <v>30000</v>
      </c>
      <c r="F15" s="75"/>
      <c r="G15" s="75">
        <f>SUM(E15:F15)</f>
        <v>30000</v>
      </c>
      <c r="H15" s="75"/>
      <c r="I15" s="75">
        <f>SUM(G15:H15)</f>
        <v>30000</v>
      </c>
      <c r="J15" s="75"/>
      <c r="K15" s="75">
        <f t="shared" si="4"/>
        <v>30000</v>
      </c>
      <c r="L15" s="75">
        <f>177000-46000</f>
        <v>131000</v>
      </c>
      <c r="M15" s="75">
        <f t="shared" si="5"/>
        <v>161000</v>
      </c>
      <c r="N15" s="75"/>
      <c r="O15" s="75">
        <f t="shared" si="6"/>
        <v>161000</v>
      </c>
    </row>
    <row r="16" spans="1:15" s="27" customFormat="1" ht="24" customHeight="1">
      <c r="A16" s="76"/>
      <c r="B16" s="51"/>
      <c r="C16" s="78" t="s">
        <v>254</v>
      </c>
      <c r="D16" s="81" t="s">
        <v>255</v>
      </c>
      <c r="E16" s="75">
        <f>150000+450000+1300000+800000+9900+4800+2000</f>
        <v>2716700</v>
      </c>
      <c r="F16" s="75"/>
      <c r="G16" s="75">
        <f>SUM(E16:F16)</f>
        <v>2716700</v>
      </c>
      <c r="H16" s="75"/>
      <c r="I16" s="75">
        <f>SUM(G16:H16)</f>
        <v>2716700</v>
      </c>
      <c r="J16" s="75"/>
      <c r="K16" s="75">
        <f t="shared" si="4"/>
        <v>2716700</v>
      </c>
      <c r="L16" s="75"/>
      <c r="M16" s="75">
        <f t="shared" si="5"/>
        <v>2716700</v>
      </c>
      <c r="N16" s="75"/>
      <c r="O16" s="75">
        <f t="shared" si="6"/>
        <v>2716700</v>
      </c>
    </row>
    <row r="17" spans="1:15" s="27" customFormat="1" ht="21.75" customHeight="1">
      <c r="A17" s="76"/>
      <c r="B17" s="51"/>
      <c r="C17" s="78" t="s">
        <v>162</v>
      </c>
      <c r="D17" s="81" t="s">
        <v>11</v>
      </c>
      <c r="E17" s="75">
        <v>10000</v>
      </c>
      <c r="F17" s="75"/>
      <c r="G17" s="75">
        <f>SUM(E17:F17)</f>
        <v>10000</v>
      </c>
      <c r="H17" s="75"/>
      <c r="I17" s="75">
        <f>SUM(G17:H17)</f>
        <v>10000</v>
      </c>
      <c r="J17" s="75"/>
      <c r="K17" s="75">
        <f t="shared" si="4"/>
        <v>10000</v>
      </c>
      <c r="L17" s="75"/>
      <c r="M17" s="75">
        <f t="shared" si="5"/>
        <v>10000</v>
      </c>
      <c r="N17" s="75"/>
      <c r="O17" s="75">
        <f t="shared" si="6"/>
        <v>10000</v>
      </c>
    </row>
    <row r="18" spans="1:15" s="27" customFormat="1" ht="21.75" customHeight="1">
      <c r="A18" s="76"/>
      <c r="B18" s="51"/>
      <c r="C18" s="78" t="s">
        <v>434</v>
      </c>
      <c r="D18" s="81" t="s">
        <v>480</v>
      </c>
      <c r="E18" s="75"/>
      <c r="F18" s="75"/>
      <c r="G18" s="75"/>
      <c r="H18" s="75"/>
      <c r="I18" s="75">
        <v>0</v>
      </c>
      <c r="J18" s="75">
        <v>30000</v>
      </c>
      <c r="K18" s="75">
        <f t="shared" si="4"/>
        <v>30000</v>
      </c>
      <c r="L18" s="75"/>
      <c r="M18" s="75">
        <f t="shared" si="5"/>
        <v>30000</v>
      </c>
      <c r="N18" s="75"/>
      <c r="O18" s="75">
        <f t="shared" si="6"/>
        <v>30000</v>
      </c>
    </row>
    <row r="19" spans="1:15" s="7" customFormat="1" ht="20.25" customHeight="1">
      <c r="A19" s="32" t="s">
        <v>15</v>
      </c>
      <c r="B19" s="3"/>
      <c r="C19" s="4"/>
      <c r="D19" s="33" t="s">
        <v>16</v>
      </c>
      <c r="E19" s="62">
        <f aca="true" t="shared" si="7" ref="E19:K19">SUM(E20,E22)</f>
        <v>168600</v>
      </c>
      <c r="F19" s="62">
        <f t="shared" si="7"/>
        <v>0</v>
      </c>
      <c r="G19" s="62">
        <f t="shared" si="7"/>
        <v>168600</v>
      </c>
      <c r="H19" s="62">
        <f t="shared" si="7"/>
        <v>0</v>
      </c>
      <c r="I19" s="62">
        <f t="shared" si="7"/>
        <v>168600</v>
      </c>
      <c r="J19" s="62">
        <f t="shared" si="7"/>
        <v>0</v>
      </c>
      <c r="K19" s="62">
        <f t="shared" si="7"/>
        <v>168600</v>
      </c>
      <c r="L19" s="62">
        <f>SUM(L20,L22)</f>
        <v>0</v>
      </c>
      <c r="M19" s="62">
        <f>SUM(M20,M22)</f>
        <v>168600</v>
      </c>
      <c r="N19" s="62">
        <f>SUM(N20,N22)</f>
        <v>0</v>
      </c>
      <c r="O19" s="62">
        <f>SUM(O20,O22)</f>
        <v>168600</v>
      </c>
    </row>
    <row r="20" spans="1:15" s="27" customFormat="1" ht="18.75" customHeight="1">
      <c r="A20" s="76"/>
      <c r="B20" s="77">
        <v>75011</v>
      </c>
      <c r="C20" s="84"/>
      <c r="D20" s="81" t="s">
        <v>17</v>
      </c>
      <c r="E20" s="75">
        <f aca="true" t="shared" si="8" ref="E20:O20">SUM(E21:E21)</f>
        <v>156600</v>
      </c>
      <c r="F20" s="75">
        <f t="shared" si="8"/>
        <v>0</v>
      </c>
      <c r="G20" s="75">
        <f t="shared" si="8"/>
        <v>156600</v>
      </c>
      <c r="H20" s="75">
        <f t="shared" si="8"/>
        <v>0</v>
      </c>
      <c r="I20" s="75">
        <f t="shared" si="8"/>
        <v>156600</v>
      </c>
      <c r="J20" s="75">
        <f t="shared" si="8"/>
        <v>0</v>
      </c>
      <c r="K20" s="75">
        <f t="shared" si="8"/>
        <v>156600</v>
      </c>
      <c r="L20" s="75">
        <f t="shared" si="8"/>
        <v>0</v>
      </c>
      <c r="M20" s="75">
        <f t="shared" si="8"/>
        <v>156600</v>
      </c>
      <c r="N20" s="75">
        <f t="shared" si="8"/>
        <v>0</v>
      </c>
      <c r="O20" s="75">
        <f t="shared" si="8"/>
        <v>156600</v>
      </c>
    </row>
    <row r="21" spans="1:15" s="27" customFormat="1" ht="56.25">
      <c r="A21" s="76"/>
      <c r="B21" s="51"/>
      <c r="C21" s="78">
        <v>2010</v>
      </c>
      <c r="D21" s="81" t="s">
        <v>212</v>
      </c>
      <c r="E21" s="89">
        <v>156600</v>
      </c>
      <c r="F21" s="89"/>
      <c r="G21" s="89">
        <f>SUM(E21:F21)</f>
        <v>156600</v>
      </c>
      <c r="H21" s="89"/>
      <c r="I21" s="89">
        <f>SUM(G21:H21)</f>
        <v>156600</v>
      </c>
      <c r="J21" s="89"/>
      <c r="K21" s="89">
        <f>SUM(I21:J21)</f>
        <v>156600</v>
      </c>
      <c r="L21" s="89"/>
      <c r="M21" s="89">
        <f>SUM(K21:L21)</f>
        <v>156600</v>
      </c>
      <c r="N21" s="89"/>
      <c r="O21" s="89">
        <f>SUM(M21:N21)</f>
        <v>156600</v>
      </c>
    </row>
    <row r="22" spans="1:15" s="27" customFormat="1" ht="24" customHeight="1">
      <c r="A22" s="76"/>
      <c r="B22" s="51">
        <v>75023</v>
      </c>
      <c r="C22" s="78"/>
      <c r="D22" s="41" t="s">
        <v>19</v>
      </c>
      <c r="E22" s="75">
        <f aca="true" t="shared" si="9" ref="E22:O22">SUM(E23)</f>
        <v>12000</v>
      </c>
      <c r="F22" s="75">
        <f t="shared" si="9"/>
        <v>0</v>
      </c>
      <c r="G22" s="75">
        <f t="shared" si="9"/>
        <v>12000</v>
      </c>
      <c r="H22" s="75">
        <f t="shared" si="9"/>
        <v>0</v>
      </c>
      <c r="I22" s="75">
        <f t="shared" si="9"/>
        <v>12000</v>
      </c>
      <c r="J22" s="75">
        <f t="shared" si="9"/>
        <v>0</v>
      </c>
      <c r="K22" s="75">
        <f t="shared" si="9"/>
        <v>12000</v>
      </c>
      <c r="L22" s="75">
        <f t="shared" si="9"/>
        <v>0</v>
      </c>
      <c r="M22" s="75">
        <f t="shared" si="9"/>
        <v>12000</v>
      </c>
      <c r="N22" s="75">
        <f t="shared" si="9"/>
        <v>0</v>
      </c>
      <c r="O22" s="75">
        <f t="shared" si="9"/>
        <v>12000</v>
      </c>
    </row>
    <row r="23" spans="1:15" s="27" customFormat="1" ht="21.75" customHeight="1">
      <c r="A23" s="76"/>
      <c r="B23" s="51"/>
      <c r="C23" s="78" t="s">
        <v>163</v>
      </c>
      <c r="D23" s="81" t="s">
        <v>12</v>
      </c>
      <c r="E23" s="75">
        <v>12000</v>
      </c>
      <c r="F23" s="75"/>
      <c r="G23" s="75">
        <f>SUM(E23:F23)</f>
        <v>12000</v>
      </c>
      <c r="H23" s="75"/>
      <c r="I23" s="75">
        <f>SUM(G23:H23)</f>
        <v>12000</v>
      </c>
      <c r="J23" s="75"/>
      <c r="K23" s="75">
        <f>SUM(I23:J23)</f>
        <v>12000</v>
      </c>
      <c r="L23" s="75"/>
      <c r="M23" s="75">
        <f>SUM(K23:L23)</f>
        <v>12000</v>
      </c>
      <c r="N23" s="75"/>
      <c r="O23" s="75">
        <f>SUM(M23:N23)</f>
        <v>12000</v>
      </c>
    </row>
    <row r="24" spans="1:15" s="7" customFormat="1" ht="36">
      <c r="A24" s="32">
        <v>751</v>
      </c>
      <c r="B24" s="5"/>
      <c r="C24" s="23"/>
      <c r="D24" s="33" t="s">
        <v>20</v>
      </c>
      <c r="E24" s="62">
        <f aca="true" t="shared" si="10" ref="E24:O25">SUM(E25)</f>
        <v>3952</v>
      </c>
      <c r="F24" s="62">
        <f t="shared" si="10"/>
        <v>0</v>
      </c>
      <c r="G24" s="62">
        <f t="shared" si="10"/>
        <v>3952</v>
      </c>
      <c r="H24" s="62">
        <f t="shared" si="10"/>
        <v>0</v>
      </c>
      <c r="I24" s="62">
        <f t="shared" si="10"/>
        <v>3952</v>
      </c>
      <c r="J24" s="62">
        <f t="shared" si="10"/>
        <v>0</v>
      </c>
      <c r="K24" s="62">
        <f t="shared" si="10"/>
        <v>3952</v>
      </c>
      <c r="L24" s="62">
        <f t="shared" si="10"/>
        <v>0</v>
      </c>
      <c r="M24" s="62">
        <f t="shared" si="10"/>
        <v>3952</v>
      </c>
      <c r="N24" s="62">
        <f t="shared" si="10"/>
        <v>0</v>
      </c>
      <c r="O24" s="62">
        <f t="shared" si="10"/>
        <v>3952</v>
      </c>
    </row>
    <row r="25" spans="1:15" s="27" customFormat="1" ht="22.5">
      <c r="A25" s="82"/>
      <c r="B25" s="77">
        <v>75101</v>
      </c>
      <c r="C25" s="84"/>
      <c r="D25" s="81" t="s">
        <v>21</v>
      </c>
      <c r="E25" s="75">
        <f t="shared" si="10"/>
        <v>3952</v>
      </c>
      <c r="F25" s="75">
        <f t="shared" si="10"/>
        <v>0</v>
      </c>
      <c r="G25" s="75">
        <f t="shared" si="10"/>
        <v>3952</v>
      </c>
      <c r="H25" s="75">
        <f t="shared" si="10"/>
        <v>0</v>
      </c>
      <c r="I25" s="75">
        <f t="shared" si="10"/>
        <v>3952</v>
      </c>
      <c r="J25" s="75">
        <f t="shared" si="10"/>
        <v>0</v>
      </c>
      <c r="K25" s="75">
        <f t="shared" si="10"/>
        <v>3952</v>
      </c>
      <c r="L25" s="75">
        <f t="shared" si="10"/>
        <v>0</v>
      </c>
      <c r="M25" s="75">
        <f t="shared" si="10"/>
        <v>3952</v>
      </c>
      <c r="N25" s="75">
        <f t="shared" si="10"/>
        <v>0</v>
      </c>
      <c r="O25" s="75">
        <f t="shared" si="10"/>
        <v>3952</v>
      </c>
    </row>
    <row r="26" spans="1:15" s="27" customFormat="1" ht="56.25">
      <c r="A26" s="82"/>
      <c r="B26" s="77"/>
      <c r="C26" s="84">
        <v>2010</v>
      </c>
      <c r="D26" s="81" t="s">
        <v>212</v>
      </c>
      <c r="E26" s="75">
        <v>3952</v>
      </c>
      <c r="F26" s="75"/>
      <c r="G26" s="75">
        <f>SUM(E26:F26)</f>
        <v>3952</v>
      </c>
      <c r="H26" s="75"/>
      <c r="I26" s="75">
        <f>SUM(G26:H26)</f>
        <v>3952</v>
      </c>
      <c r="J26" s="75"/>
      <c r="K26" s="75">
        <f>SUM(I26:J26)</f>
        <v>3952</v>
      </c>
      <c r="L26" s="75"/>
      <c r="M26" s="75">
        <f>SUM(K26:L26)</f>
        <v>3952</v>
      </c>
      <c r="N26" s="75"/>
      <c r="O26" s="75">
        <f>SUM(M26:N26)</f>
        <v>3952</v>
      </c>
    </row>
    <row r="27" spans="1:15" s="7" customFormat="1" ht="30" customHeight="1">
      <c r="A27" s="32" t="s">
        <v>22</v>
      </c>
      <c r="B27" s="3"/>
      <c r="C27" s="4"/>
      <c r="D27" s="33" t="s">
        <v>23</v>
      </c>
      <c r="E27" s="62">
        <f aca="true" t="shared" si="11" ref="E27:O27">SUM(E28)</f>
        <v>5500</v>
      </c>
      <c r="F27" s="62">
        <f t="shared" si="11"/>
        <v>0</v>
      </c>
      <c r="G27" s="62">
        <f t="shared" si="11"/>
        <v>5500</v>
      </c>
      <c r="H27" s="62">
        <f t="shared" si="11"/>
        <v>0</v>
      </c>
      <c r="I27" s="62">
        <f t="shared" si="11"/>
        <v>5500</v>
      </c>
      <c r="J27" s="62">
        <f t="shared" si="11"/>
        <v>0</v>
      </c>
      <c r="K27" s="62">
        <f t="shared" si="11"/>
        <v>5500</v>
      </c>
      <c r="L27" s="62">
        <f t="shared" si="11"/>
        <v>0</v>
      </c>
      <c r="M27" s="62">
        <f t="shared" si="11"/>
        <v>5500</v>
      </c>
      <c r="N27" s="62">
        <f t="shared" si="11"/>
        <v>0</v>
      </c>
      <c r="O27" s="62">
        <f t="shared" si="11"/>
        <v>5500</v>
      </c>
    </row>
    <row r="28" spans="1:15" s="27" customFormat="1" ht="24" customHeight="1">
      <c r="A28" s="82"/>
      <c r="B28" s="77" t="s">
        <v>24</v>
      </c>
      <c r="C28" s="84"/>
      <c r="D28" s="81" t="s">
        <v>25</v>
      </c>
      <c r="E28" s="75">
        <f aca="true" t="shared" si="12" ref="E28:K28">SUM(E29:E30)</f>
        <v>5500</v>
      </c>
      <c r="F28" s="75">
        <f t="shared" si="12"/>
        <v>0</v>
      </c>
      <c r="G28" s="75">
        <f t="shared" si="12"/>
        <v>5500</v>
      </c>
      <c r="H28" s="75">
        <f t="shared" si="12"/>
        <v>0</v>
      </c>
      <c r="I28" s="75">
        <f t="shared" si="12"/>
        <v>5500</v>
      </c>
      <c r="J28" s="75">
        <f t="shared" si="12"/>
        <v>0</v>
      </c>
      <c r="K28" s="75">
        <f t="shared" si="12"/>
        <v>5500</v>
      </c>
      <c r="L28" s="75">
        <f>SUM(L29:L30)</f>
        <v>0</v>
      </c>
      <c r="M28" s="75">
        <f>SUM(M29:M30)</f>
        <v>5500</v>
      </c>
      <c r="N28" s="75">
        <f>SUM(N29:N30)</f>
        <v>0</v>
      </c>
      <c r="O28" s="75">
        <f>SUM(O29:O30)</f>
        <v>5500</v>
      </c>
    </row>
    <row r="29" spans="1:15" s="27" customFormat="1" ht="21.75" customHeight="1">
      <c r="A29" s="82"/>
      <c r="B29" s="51"/>
      <c r="C29" s="78" t="s">
        <v>164</v>
      </c>
      <c r="D29" s="81" t="s">
        <v>493</v>
      </c>
      <c r="E29" s="75">
        <v>5000</v>
      </c>
      <c r="F29" s="75"/>
      <c r="G29" s="75">
        <f>SUM(E29:F29)</f>
        <v>5000</v>
      </c>
      <c r="H29" s="75"/>
      <c r="I29" s="75">
        <f>SUM(G29:H29)</f>
        <v>5000</v>
      </c>
      <c r="J29" s="75"/>
      <c r="K29" s="75">
        <f>SUM(I29:J29)</f>
        <v>5000</v>
      </c>
      <c r="L29" s="75"/>
      <c r="M29" s="75">
        <f>SUM(K29:L29)</f>
        <v>5000</v>
      </c>
      <c r="N29" s="75"/>
      <c r="O29" s="75">
        <f>SUM(M29:N29)</f>
        <v>5000</v>
      </c>
    </row>
    <row r="30" spans="1:15" s="27" customFormat="1" ht="21.75" customHeight="1">
      <c r="A30" s="82"/>
      <c r="B30" s="51"/>
      <c r="C30" s="78" t="s">
        <v>162</v>
      </c>
      <c r="D30" s="81" t="s">
        <v>11</v>
      </c>
      <c r="E30" s="75">
        <v>500</v>
      </c>
      <c r="F30" s="75"/>
      <c r="G30" s="75">
        <f>SUM(E30:F30)</f>
        <v>500</v>
      </c>
      <c r="H30" s="75"/>
      <c r="I30" s="75">
        <f>SUM(G30:H30)</f>
        <v>500</v>
      </c>
      <c r="J30" s="75"/>
      <c r="K30" s="75">
        <f>SUM(I30:J30)</f>
        <v>500</v>
      </c>
      <c r="L30" s="75"/>
      <c r="M30" s="75">
        <f>SUM(K30:L30)</f>
        <v>500</v>
      </c>
      <c r="N30" s="75"/>
      <c r="O30" s="75">
        <f>SUM(M30:N30)</f>
        <v>500</v>
      </c>
    </row>
    <row r="31" spans="1:15" s="7" customFormat="1" ht="52.5" customHeight="1">
      <c r="A31" s="32" t="s">
        <v>26</v>
      </c>
      <c r="B31" s="3"/>
      <c r="C31" s="4"/>
      <c r="D31" s="33" t="s">
        <v>153</v>
      </c>
      <c r="E31" s="62">
        <f aca="true" t="shared" si="13" ref="E31:K31">SUM(E32,E35,E43,E53,E59,)</f>
        <v>22599894</v>
      </c>
      <c r="F31" s="62">
        <f t="shared" si="13"/>
        <v>0</v>
      </c>
      <c r="G31" s="62">
        <f t="shared" si="13"/>
        <v>22599894</v>
      </c>
      <c r="H31" s="62">
        <f t="shared" si="13"/>
        <v>0</v>
      </c>
      <c r="I31" s="62">
        <f t="shared" si="13"/>
        <v>22599894</v>
      </c>
      <c r="J31" s="62">
        <f t="shared" si="13"/>
        <v>284818</v>
      </c>
      <c r="K31" s="62">
        <f t="shared" si="13"/>
        <v>22884712</v>
      </c>
      <c r="L31" s="62">
        <f>SUM(L32,L35,L43,L53,L59,)</f>
        <v>45904</v>
      </c>
      <c r="M31" s="62">
        <f>SUM(M32,M35,M43,M53,M59,)</f>
        <v>22930616</v>
      </c>
      <c r="N31" s="62">
        <f>SUM(N32,N35,N43,N53,N59,)</f>
        <v>0</v>
      </c>
      <c r="O31" s="62">
        <f>SUM(O32,O35,O43,O53,O59,)</f>
        <v>22930616</v>
      </c>
    </row>
    <row r="32" spans="1:15" s="27" customFormat="1" ht="24" customHeight="1">
      <c r="A32" s="76"/>
      <c r="B32" s="51">
        <v>75601</v>
      </c>
      <c r="C32" s="84"/>
      <c r="D32" s="81" t="s">
        <v>27</v>
      </c>
      <c r="E32" s="75">
        <f aca="true" t="shared" si="14" ref="E32:K32">SUM(E33:E34)</f>
        <v>41500</v>
      </c>
      <c r="F32" s="75">
        <f t="shared" si="14"/>
        <v>0</v>
      </c>
      <c r="G32" s="75">
        <f t="shared" si="14"/>
        <v>41500</v>
      </c>
      <c r="H32" s="75">
        <f t="shared" si="14"/>
        <v>0</v>
      </c>
      <c r="I32" s="75">
        <f t="shared" si="14"/>
        <v>41500</v>
      </c>
      <c r="J32" s="75">
        <f t="shared" si="14"/>
        <v>0</v>
      </c>
      <c r="K32" s="75">
        <f t="shared" si="14"/>
        <v>41500</v>
      </c>
      <c r="L32" s="75">
        <f>SUM(L33:L34)</f>
        <v>0</v>
      </c>
      <c r="M32" s="75">
        <f>SUM(M33:M34)</f>
        <v>41500</v>
      </c>
      <c r="N32" s="75">
        <f>SUM(N33:N34)</f>
        <v>0</v>
      </c>
      <c r="O32" s="75">
        <f>SUM(O33:O34)</f>
        <v>41500</v>
      </c>
    </row>
    <row r="33" spans="1:15" s="27" customFormat="1" ht="24" customHeight="1">
      <c r="A33" s="76"/>
      <c r="B33" s="51"/>
      <c r="C33" s="83" t="s">
        <v>165</v>
      </c>
      <c r="D33" s="81" t="s">
        <v>28</v>
      </c>
      <c r="E33" s="75">
        <v>40000</v>
      </c>
      <c r="F33" s="75"/>
      <c r="G33" s="75">
        <f>SUM(E33:F33)</f>
        <v>40000</v>
      </c>
      <c r="H33" s="75"/>
      <c r="I33" s="75">
        <f>SUM(G33:H33)</f>
        <v>40000</v>
      </c>
      <c r="J33" s="75"/>
      <c r="K33" s="75">
        <f>SUM(I33:J33)</f>
        <v>40000</v>
      </c>
      <c r="L33" s="75"/>
      <c r="M33" s="75">
        <f>SUM(K33:L33)</f>
        <v>40000</v>
      </c>
      <c r="N33" s="75"/>
      <c r="O33" s="75">
        <f>SUM(M33:N33)</f>
        <v>40000</v>
      </c>
    </row>
    <row r="34" spans="1:15" s="27" customFormat="1" ht="24" customHeight="1">
      <c r="A34" s="76"/>
      <c r="B34" s="51"/>
      <c r="C34" s="83" t="s">
        <v>166</v>
      </c>
      <c r="D34" s="81" t="s">
        <v>35</v>
      </c>
      <c r="E34" s="75">
        <v>1500</v>
      </c>
      <c r="F34" s="75"/>
      <c r="G34" s="75">
        <f>SUM(E34:F34)</f>
        <v>1500</v>
      </c>
      <c r="H34" s="75"/>
      <c r="I34" s="75">
        <f>SUM(G34:H34)</f>
        <v>1500</v>
      </c>
      <c r="J34" s="75"/>
      <c r="K34" s="75">
        <f>SUM(I34:J34)</f>
        <v>1500</v>
      </c>
      <c r="L34" s="75"/>
      <c r="M34" s="75">
        <f>SUM(K34:L34)</f>
        <v>1500</v>
      </c>
      <c r="N34" s="75"/>
      <c r="O34" s="75">
        <f>SUM(M34:N34)</f>
        <v>1500</v>
      </c>
    </row>
    <row r="35" spans="1:15" s="27" customFormat="1" ht="46.5" customHeight="1">
      <c r="A35" s="76"/>
      <c r="B35" s="77" t="s">
        <v>29</v>
      </c>
      <c r="C35" s="84"/>
      <c r="D35" s="81" t="s">
        <v>190</v>
      </c>
      <c r="E35" s="75">
        <f aca="true" t="shared" si="15" ref="E35:K35">SUM(E36:E42)</f>
        <v>7409319</v>
      </c>
      <c r="F35" s="75">
        <f t="shared" si="15"/>
        <v>0</v>
      </c>
      <c r="G35" s="75">
        <f t="shared" si="15"/>
        <v>7409319</v>
      </c>
      <c r="H35" s="75">
        <f t="shared" si="15"/>
        <v>0</v>
      </c>
      <c r="I35" s="75">
        <f t="shared" si="15"/>
        <v>7409319</v>
      </c>
      <c r="J35" s="75">
        <f t="shared" si="15"/>
        <v>162701</v>
      </c>
      <c r="K35" s="75">
        <f t="shared" si="15"/>
        <v>7572020</v>
      </c>
      <c r="L35" s="75">
        <f>SUM(L36:L42)</f>
        <v>40000</v>
      </c>
      <c r="M35" s="75">
        <f>SUM(M36:M42)</f>
        <v>7612020</v>
      </c>
      <c r="N35" s="75">
        <f>SUM(N36:N42)</f>
        <v>0</v>
      </c>
      <c r="O35" s="75">
        <f>SUM(O36:O42)</f>
        <v>7612020</v>
      </c>
    </row>
    <row r="36" spans="1:15" s="27" customFormat="1" ht="21.75" customHeight="1">
      <c r="A36" s="76"/>
      <c r="B36" s="77"/>
      <c r="C36" s="78" t="s">
        <v>167</v>
      </c>
      <c r="D36" s="81" t="s">
        <v>30</v>
      </c>
      <c r="E36" s="75">
        <v>6712218</v>
      </c>
      <c r="F36" s="75"/>
      <c r="G36" s="75">
        <f aca="true" t="shared" si="16" ref="G36:G42">SUM(E36:F36)</f>
        <v>6712218</v>
      </c>
      <c r="H36" s="75"/>
      <c r="I36" s="75">
        <f aca="true" t="shared" si="17" ref="I36:I42">SUM(G36:H36)</f>
        <v>6712218</v>
      </c>
      <c r="J36" s="75">
        <f>40254+58897+58631</f>
        <v>157782</v>
      </c>
      <c r="K36" s="75">
        <f aca="true" t="shared" si="18" ref="K36:K42">SUM(I36:J36)</f>
        <v>6870000</v>
      </c>
      <c r="L36" s="75"/>
      <c r="M36" s="75">
        <f aca="true" t="shared" si="19" ref="M36:M42">SUM(K36:L36)</f>
        <v>6870000</v>
      </c>
      <c r="N36" s="75"/>
      <c r="O36" s="75">
        <f aca="true" t="shared" si="20" ref="O36:O42">SUM(M36:N36)</f>
        <v>6870000</v>
      </c>
    </row>
    <row r="37" spans="1:15" s="27" customFormat="1" ht="21.75" customHeight="1">
      <c r="A37" s="76"/>
      <c r="B37" s="77"/>
      <c r="C37" s="78" t="s">
        <v>168</v>
      </c>
      <c r="D37" s="81" t="s">
        <v>31</v>
      </c>
      <c r="E37" s="75">
        <v>26903</v>
      </c>
      <c r="F37" s="75"/>
      <c r="G37" s="75">
        <f t="shared" si="16"/>
        <v>26903</v>
      </c>
      <c r="H37" s="75"/>
      <c r="I37" s="75">
        <f t="shared" si="17"/>
        <v>26903</v>
      </c>
      <c r="J37" s="75"/>
      <c r="K37" s="75">
        <f t="shared" si="18"/>
        <v>26903</v>
      </c>
      <c r="L37" s="75"/>
      <c r="M37" s="75">
        <f t="shared" si="19"/>
        <v>26903</v>
      </c>
      <c r="N37" s="75"/>
      <c r="O37" s="75">
        <f t="shared" si="20"/>
        <v>26903</v>
      </c>
    </row>
    <row r="38" spans="1:15" s="27" customFormat="1" ht="21.75" customHeight="1">
      <c r="A38" s="76"/>
      <c r="B38" s="77"/>
      <c r="C38" s="78" t="s">
        <v>169</v>
      </c>
      <c r="D38" s="81" t="s">
        <v>32</v>
      </c>
      <c r="E38" s="75">
        <v>318660</v>
      </c>
      <c r="F38" s="75"/>
      <c r="G38" s="75">
        <f t="shared" si="16"/>
        <v>318660</v>
      </c>
      <c r="H38" s="75"/>
      <c r="I38" s="75">
        <f t="shared" si="17"/>
        <v>318660</v>
      </c>
      <c r="J38" s="75">
        <f>1660+1720+1539</f>
        <v>4919</v>
      </c>
      <c r="K38" s="75">
        <f t="shared" si="18"/>
        <v>323579</v>
      </c>
      <c r="L38" s="75"/>
      <c r="M38" s="75">
        <f t="shared" si="19"/>
        <v>323579</v>
      </c>
      <c r="N38" s="75"/>
      <c r="O38" s="75">
        <f t="shared" si="20"/>
        <v>323579</v>
      </c>
    </row>
    <row r="39" spans="1:15" s="27" customFormat="1" ht="21.75" customHeight="1">
      <c r="A39" s="76"/>
      <c r="B39" s="77"/>
      <c r="C39" s="78" t="s">
        <v>170</v>
      </c>
      <c r="D39" s="81" t="s">
        <v>33</v>
      </c>
      <c r="E39" s="75">
        <v>60000</v>
      </c>
      <c r="F39" s="75"/>
      <c r="G39" s="75">
        <f t="shared" si="16"/>
        <v>60000</v>
      </c>
      <c r="H39" s="75"/>
      <c r="I39" s="75">
        <f t="shared" si="17"/>
        <v>60000</v>
      </c>
      <c r="J39" s="75"/>
      <c r="K39" s="75">
        <f t="shared" si="18"/>
        <v>60000</v>
      </c>
      <c r="L39" s="75"/>
      <c r="M39" s="75">
        <f t="shared" si="19"/>
        <v>60000</v>
      </c>
      <c r="N39" s="75"/>
      <c r="O39" s="75">
        <f t="shared" si="20"/>
        <v>60000</v>
      </c>
    </row>
    <row r="40" spans="1:15" s="27" customFormat="1" ht="21.75" customHeight="1">
      <c r="A40" s="76"/>
      <c r="B40" s="77"/>
      <c r="C40" s="78" t="s">
        <v>173</v>
      </c>
      <c r="D40" s="81" t="s">
        <v>37</v>
      </c>
      <c r="E40" s="75"/>
      <c r="F40" s="75"/>
      <c r="G40" s="75"/>
      <c r="H40" s="75"/>
      <c r="I40" s="75"/>
      <c r="J40" s="75"/>
      <c r="K40" s="75">
        <v>0</v>
      </c>
      <c r="L40" s="75">
        <v>40000</v>
      </c>
      <c r="M40" s="75">
        <f t="shared" si="19"/>
        <v>40000</v>
      </c>
      <c r="N40" s="75"/>
      <c r="O40" s="75">
        <f t="shared" si="20"/>
        <v>40000</v>
      </c>
    </row>
    <row r="41" spans="1:15" s="27" customFormat="1" ht="24" customHeight="1">
      <c r="A41" s="76"/>
      <c r="B41" s="77"/>
      <c r="C41" s="73" t="s">
        <v>166</v>
      </c>
      <c r="D41" s="70" t="s">
        <v>200</v>
      </c>
      <c r="E41" s="85">
        <v>26000</v>
      </c>
      <c r="F41" s="85"/>
      <c r="G41" s="75">
        <f t="shared" si="16"/>
        <v>26000</v>
      </c>
      <c r="H41" s="85"/>
      <c r="I41" s="75">
        <f t="shared" si="17"/>
        <v>26000</v>
      </c>
      <c r="J41" s="85"/>
      <c r="K41" s="75">
        <f t="shared" si="18"/>
        <v>26000</v>
      </c>
      <c r="L41" s="85"/>
      <c r="M41" s="75">
        <f t="shared" si="19"/>
        <v>26000</v>
      </c>
      <c r="N41" s="85"/>
      <c r="O41" s="75">
        <f t="shared" si="20"/>
        <v>26000</v>
      </c>
    </row>
    <row r="42" spans="1:15" s="27" customFormat="1" ht="24" customHeight="1">
      <c r="A42" s="76"/>
      <c r="B42" s="77"/>
      <c r="C42" s="78">
        <v>2680</v>
      </c>
      <c r="D42" s="81" t="s">
        <v>262</v>
      </c>
      <c r="E42" s="75">
        <v>265538</v>
      </c>
      <c r="F42" s="75"/>
      <c r="G42" s="75">
        <f t="shared" si="16"/>
        <v>265538</v>
      </c>
      <c r="H42" s="75"/>
      <c r="I42" s="75">
        <f t="shared" si="17"/>
        <v>265538</v>
      </c>
      <c r="J42" s="75"/>
      <c r="K42" s="75">
        <f t="shared" si="18"/>
        <v>265538</v>
      </c>
      <c r="L42" s="75"/>
      <c r="M42" s="75">
        <f t="shared" si="19"/>
        <v>265538</v>
      </c>
      <c r="N42" s="75"/>
      <c r="O42" s="75">
        <f t="shared" si="20"/>
        <v>265538</v>
      </c>
    </row>
    <row r="43" spans="1:15" s="27" customFormat="1" ht="56.25">
      <c r="A43" s="76"/>
      <c r="B43" s="77">
        <v>75616</v>
      </c>
      <c r="C43" s="78"/>
      <c r="D43" s="81" t="s">
        <v>287</v>
      </c>
      <c r="E43" s="75">
        <f aca="true" t="shared" si="21" ref="E43:K43">SUM(E44:E52)</f>
        <v>3801789</v>
      </c>
      <c r="F43" s="75">
        <f t="shared" si="21"/>
        <v>0</v>
      </c>
      <c r="G43" s="75">
        <f t="shared" si="21"/>
        <v>3801789</v>
      </c>
      <c r="H43" s="75">
        <f t="shared" si="21"/>
        <v>0</v>
      </c>
      <c r="I43" s="75">
        <f t="shared" si="21"/>
        <v>3801789</v>
      </c>
      <c r="J43" s="75">
        <f t="shared" si="21"/>
        <v>0</v>
      </c>
      <c r="K43" s="75">
        <f t="shared" si="21"/>
        <v>3801789</v>
      </c>
      <c r="L43" s="75">
        <f>SUM(L44:L52)</f>
        <v>5904</v>
      </c>
      <c r="M43" s="75">
        <f>SUM(M44:M52)</f>
        <v>3807693</v>
      </c>
      <c r="N43" s="75">
        <f>SUM(N44:N52)</f>
        <v>0</v>
      </c>
      <c r="O43" s="75">
        <f>SUM(O44:O52)</f>
        <v>3807693</v>
      </c>
    </row>
    <row r="44" spans="1:15" s="27" customFormat="1" ht="21.75" customHeight="1">
      <c r="A44" s="76"/>
      <c r="B44" s="77"/>
      <c r="C44" s="78" t="s">
        <v>167</v>
      </c>
      <c r="D44" s="81" t="s">
        <v>30</v>
      </c>
      <c r="E44" s="75">
        <v>2460154</v>
      </c>
      <c r="F44" s="75"/>
      <c r="G44" s="75">
        <f>SUM(E44:F44)</f>
        <v>2460154</v>
      </c>
      <c r="H44" s="75"/>
      <c r="I44" s="75">
        <f>SUM(G44:H44)</f>
        <v>2460154</v>
      </c>
      <c r="J44" s="75"/>
      <c r="K44" s="75">
        <f>SUM(I44:J44)</f>
        <v>2460154</v>
      </c>
      <c r="L44" s="75"/>
      <c r="M44" s="75">
        <f>SUM(K44:L44)</f>
        <v>2460154</v>
      </c>
      <c r="N44" s="75"/>
      <c r="O44" s="75">
        <f>SUM(M44:N44)</f>
        <v>2460154</v>
      </c>
    </row>
    <row r="45" spans="1:15" s="27" customFormat="1" ht="21.75" customHeight="1">
      <c r="A45" s="76"/>
      <c r="B45" s="77"/>
      <c r="C45" s="78" t="s">
        <v>168</v>
      </c>
      <c r="D45" s="81" t="s">
        <v>31</v>
      </c>
      <c r="E45" s="75">
        <v>348755</v>
      </c>
      <c r="F45" s="75"/>
      <c r="G45" s="75">
        <f aca="true" t="shared" si="22" ref="G45:G52">SUM(E45:F45)</f>
        <v>348755</v>
      </c>
      <c r="H45" s="75"/>
      <c r="I45" s="75">
        <f aca="true" t="shared" si="23" ref="I45:I52">SUM(G45:H45)</f>
        <v>348755</v>
      </c>
      <c r="J45" s="75"/>
      <c r="K45" s="75">
        <f aca="true" t="shared" si="24" ref="K45:K52">SUM(I45:J45)</f>
        <v>348755</v>
      </c>
      <c r="L45" s="75"/>
      <c r="M45" s="75">
        <f aca="true" t="shared" si="25" ref="M45:M52">SUM(K45:L45)</f>
        <v>348755</v>
      </c>
      <c r="N45" s="75"/>
      <c r="O45" s="75">
        <f aca="true" t="shared" si="26" ref="O45:O52">SUM(M45:N45)</f>
        <v>348755</v>
      </c>
    </row>
    <row r="46" spans="1:15" s="27" customFormat="1" ht="21.75" customHeight="1">
      <c r="A46" s="76"/>
      <c r="B46" s="77"/>
      <c r="C46" s="78" t="s">
        <v>169</v>
      </c>
      <c r="D46" s="81" t="s">
        <v>32</v>
      </c>
      <c r="E46" s="75">
        <v>7880</v>
      </c>
      <c r="F46" s="75"/>
      <c r="G46" s="75">
        <f t="shared" si="22"/>
        <v>7880</v>
      </c>
      <c r="H46" s="75"/>
      <c r="I46" s="75">
        <f t="shared" si="23"/>
        <v>7880</v>
      </c>
      <c r="J46" s="75"/>
      <c r="K46" s="75">
        <f t="shared" si="24"/>
        <v>7880</v>
      </c>
      <c r="L46" s="75"/>
      <c r="M46" s="75">
        <f t="shared" si="25"/>
        <v>7880</v>
      </c>
      <c r="N46" s="75"/>
      <c r="O46" s="75">
        <f t="shared" si="26"/>
        <v>7880</v>
      </c>
    </row>
    <row r="47" spans="1:15" s="27" customFormat="1" ht="21.75" customHeight="1">
      <c r="A47" s="76"/>
      <c r="B47" s="77"/>
      <c r="C47" s="78" t="s">
        <v>170</v>
      </c>
      <c r="D47" s="81" t="s">
        <v>33</v>
      </c>
      <c r="E47" s="75">
        <v>250000</v>
      </c>
      <c r="F47" s="75"/>
      <c r="G47" s="75">
        <f t="shared" si="22"/>
        <v>250000</v>
      </c>
      <c r="H47" s="75"/>
      <c r="I47" s="75">
        <f t="shared" si="23"/>
        <v>250000</v>
      </c>
      <c r="J47" s="75"/>
      <c r="K47" s="75">
        <f t="shared" si="24"/>
        <v>250000</v>
      </c>
      <c r="L47" s="75"/>
      <c r="M47" s="75">
        <f t="shared" si="25"/>
        <v>250000</v>
      </c>
      <c r="N47" s="75"/>
      <c r="O47" s="75">
        <f t="shared" si="26"/>
        <v>250000</v>
      </c>
    </row>
    <row r="48" spans="1:15" s="27" customFormat="1" ht="21.75" customHeight="1">
      <c r="A48" s="76"/>
      <c r="B48" s="77"/>
      <c r="C48" s="78" t="s">
        <v>498</v>
      </c>
      <c r="D48" s="81" t="s">
        <v>499</v>
      </c>
      <c r="E48" s="75"/>
      <c r="F48" s="75"/>
      <c r="G48" s="75"/>
      <c r="H48" s="75"/>
      <c r="I48" s="75"/>
      <c r="J48" s="75"/>
      <c r="K48" s="75">
        <v>0</v>
      </c>
      <c r="L48" s="75">
        <v>5904</v>
      </c>
      <c r="M48" s="75">
        <f t="shared" si="25"/>
        <v>5904</v>
      </c>
      <c r="N48" s="75"/>
      <c r="O48" s="75">
        <f t="shared" si="26"/>
        <v>5904</v>
      </c>
    </row>
    <row r="49" spans="1:15" s="27" customFormat="1" ht="21.75" customHeight="1">
      <c r="A49" s="76"/>
      <c r="B49" s="77"/>
      <c r="C49" s="78" t="s">
        <v>278</v>
      </c>
      <c r="D49" s="81" t="s">
        <v>279</v>
      </c>
      <c r="E49" s="75">
        <v>10000</v>
      </c>
      <c r="F49" s="75"/>
      <c r="G49" s="75">
        <f t="shared" si="22"/>
        <v>10000</v>
      </c>
      <c r="H49" s="75"/>
      <c r="I49" s="75">
        <f t="shared" si="23"/>
        <v>10000</v>
      </c>
      <c r="J49" s="75"/>
      <c r="K49" s="75">
        <f t="shared" si="24"/>
        <v>10000</v>
      </c>
      <c r="L49" s="75"/>
      <c r="M49" s="75">
        <f t="shared" si="25"/>
        <v>10000</v>
      </c>
      <c r="N49" s="75"/>
      <c r="O49" s="75">
        <f t="shared" si="26"/>
        <v>10000</v>
      </c>
    </row>
    <row r="50" spans="1:15" s="27" customFormat="1" ht="21.75" customHeight="1">
      <c r="A50" s="76"/>
      <c r="B50" s="77"/>
      <c r="C50" s="78" t="s">
        <v>171</v>
      </c>
      <c r="D50" s="81" t="s">
        <v>36</v>
      </c>
      <c r="E50" s="75">
        <v>70000</v>
      </c>
      <c r="F50" s="75"/>
      <c r="G50" s="75">
        <f t="shared" si="22"/>
        <v>70000</v>
      </c>
      <c r="H50" s="75"/>
      <c r="I50" s="75">
        <f t="shared" si="23"/>
        <v>70000</v>
      </c>
      <c r="J50" s="75"/>
      <c r="K50" s="75">
        <f t="shared" si="24"/>
        <v>70000</v>
      </c>
      <c r="L50" s="75"/>
      <c r="M50" s="75">
        <f t="shared" si="25"/>
        <v>70000</v>
      </c>
      <c r="N50" s="75"/>
      <c r="O50" s="75">
        <f t="shared" si="26"/>
        <v>70000</v>
      </c>
    </row>
    <row r="51" spans="1:15" s="27" customFormat="1" ht="21.75" customHeight="1">
      <c r="A51" s="76"/>
      <c r="B51" s="77"/>
      <c r="C51" s="78" t="s">
        <v>173</v>
      </c>
      <c r="D51" s="81" t="s">
        <v>37</v>
      </c>
      <c r="E51" s="75">
        <v>600000</v>
      </c>
      <c r="F51" s="75"/>
      <c r="G51" s="75">
        <f t="shared" si="22"/>
        <v>600000</v>
      </c>
      <c r="H51" s="75"/>
      <c r="I51" s="75">
        <f t="shared" si="23"/>
        <v>600000</v>
      </c>
      <c r="J51" s="75"/>
      <c r="K51" s="75">
        <f t="shared" si="24"/>
        <v>600000</v>
      </c>
      <c r="L51" s="75"/>
      <c r="M51" s="75">
        <f t="shared" si="25"/>
        <v>600000</v>
      </c>
      <c r="N51" s="75"/>
      <c r="O51" s="75">
        <f t="shared" si="26"/>
        <v>600000</v>
      </c>
    </row>
    <row r="52" spans="1:15" s="27" customFormat="1" ht="24" customHeight="1">
      <c r="A52" s="76"/>
      <c r="B52" s="77"/>
      <c r="C52" s="78" t="s">
        <v>166</v>
      </c>
      <c r="D52" s="81" t="s">
        <v>200</v>
      </c>
      <c r="E52" s="75">
        <v>55000</v>
      </c>
      <c r="F52" s="75"/>
      <c r="G52" s="75">
        <f t="shared" si="22"/>
        <v>55000</v>
      </c>
      <c r="H52" s="75"/>
      <c r="I52" s="75">
        <f t="shared" si="23"/>
        <v>55000</v>
      </c>
      <c r="J52" s="75"/>
      <c r="K52" s="75">
        <f t="shared" si="24"/>
        <v>55000</v>
      </c>
      <c r="L52" s="75"/>
      <c r="M52" s="75">
        <f t="shared" si="25"/>
        <v>55000</v>
      </c>
      <c r="N52" s="75"/>
      <c r="O52" s="75">
        <f t="shared" si="26"/>
        <v>55000</v>
      </c>
    </row>
    <row r="53" spans="1:15" s="27" customFormat="1" ht="33.75">
      <c r="A53" s="76"/>
      <c r="B53" s="77" t="s">
        <v>38</v>
      </c>
      <c r="C53" s="84"/>
      <c r="D53" s="81" t="s">
        <v>39</v>
      </c>
      <c r="E53" s="75">
        <f>SUM(E54:E57)</f>
        <v>727000</v>
      </c>
      <c r="F53" s="75">
        <f>SUM(F54:F57)</f>
        <v>0</v>
      </c>
      <c r="G53" s="75">
        <f>SUM(G54:G57)</f>
        <v>727000</v>
      </c>
      <c r="H53" s="75">
        <f>SUM(H54:H57)</f>
        <v>0</v>
      </c>
      <c r="I53" s="75">
        <f aca="true" t="shared" si="27" ref="I53:O53">SUM(I54:I58)</f>
        <v>727000</v>
      </c>
      <c r="J53" s="75">
        <f t="shared" si="27"/>
        <v>122117</v>
      </c>
      <c r="K53" s="75">
        <f t="shared" si="27"/>
        <v>849117</v>
      </c>
      <c r="L53" s="75">
        <f t="shared" si="27"/>
        <v>0</v>
      </c>
      <c r="M53" s="75">
        <f t="shared" si="27"/>
        <v>849117</v>
      </c>
      <c r="N53" s="75">
        <f t="shared" si="27"/>
        <v>0</v>
      </c>
      <c r="O53" s="75">
        <f t="shared" si="27"/>
        <v>849117</v>
      </c>
    </row>
    <row r="54" spans="1:15" s="27" customFormat="1" ht="21.75" customHeight="1">
      <c r="A54" s="76"/>
      <c r="B54" s="77"/>
      <c r="C54" s="78" t="s">
        <v>174</v>
      </c>
      <c r="D54" s="81" t="s">
        <v>40</v>
      </c>
      <c r="E54" s="75">
        <v>150000</v>
      </c>
      <c r="F54" s="75"/>
      <c r="G54" s="75">
        <f>SUM(E54:F54)</f>
        <v>150000</v>
      </c>
      <c r="H54" s="75"/>
      <c r="I54" s="75">
        <f>SUM(G54:H54)</f>
        <v>150000</v>
      </c>
      <c r="J54" s="75"/>
      <c r="K54" s="75">
        <f>SUM(I54:J54)</f>
        <v>150000</v>
      </c>
      <c r="L54" s="75"/>
      <c r="M54" s="75">
        <f>SUM(K54:L54)</f>
        <v>150000</v>
      </c>
      <c r="N54" s="75"/>
      <c r="O54" s="75">
        <f>SUM(M54:N54)</f>
        <v>150000</v>
      </c>
    </row>
    <row r="55" spans="1:15" s="27" customFormat="1" ht="21.75" customHeight="1">
      <c r="A55" s="76"/>
      <c r="B55" s="77"/>
      <c r="C55" s="78" t="s">
        <v>172</v>
      </c>
      <c r="D55" s="81" t="s">
        <v>34</v>
      </c>
      <c r="E55" s="75">
        <v>20000</v>
      </c>
      <c r="F55" s="75"/>
      <c r="G55" s="75">
        <f>SUM(E55:F55)</f>
        <v>20000</v>
      </c>
      <c r="H55" s="75"/>
      <c r="I55" s="75">
        <f>SUM(G55:H55)</f>
        <v>20000</v>
      </c>
      <c r="J55" s="75"/>
      <c r="K55" s="75">
        <f>SUM(I55:J55)</f>
        <v>20000</v>
      </c>
      <c r="L55" s="75"/>
      <c r="M55" s="75">
        <f>SUM(K55:L55)</f>
        <v>20000</v>
      </c>
      <c r="N55" s="75"/>
      <c r="O55" s="75">
        <f>SUM(M55:N55)</f>
        <v>20000</v>
      </c>
    </row>
    <row r="56" spans="1:15" s="27" customFormat="1" ht="24" customHeight="1">
      <c r="A56" s="76"/>
      <c r="B56" s="77"/>
      <c r="C56" s="78" t="s">
        <v>178</v>
      </c>
      <c r="D56" s="81" t="s">
        <v>492</v>
      </c>
      <c r="E56" s="75">
        <v>330000</v>
      </c>
      <c r="F56" s="75"/>
      <c r="G56" s="75">
        <f>SUM(E56:F56)</f>
        <v>330000</v>
      </c>
      <c r="H56" s="75"/>
      <c r="I56" s="75">
        <f>SUM(G56:H56)</f>
        <v>330000</v>
      </c>
      <c r="J56" s="75"/>
      <c r="K56" s="75">
        <f>SUM(I56:J56)</f>
        <v>330000</v>
      </c>
      <c r="L56" s="75"/>
      <c r="M56" s="75">
        <f>SUM(K56:L56)</f>
        <v>330000</v>
      </c>
      <c r="N56" s="75"/>
      <c r="O56" s="75">
        <f>SUM(M56:N56)</f>
        <v>330000</v>
      </c>
    </row>
    <row r="57" spans="1:15" s="27" customFormat="1" ht="45">
      <c r="A57" s="76"/>
      <c r="B57" s="77"/>
      <c r="C57" s="78" t="s">
        <v>159</v>
      </c>
      <c r="D57" s="81" t="s">
        <v>7</v>
      </c>
      <c r="E57" s="75">
        <f>30000+17000+180000</f>
        <v>227000</v>
      </c>
      <c r="F57" s="75"/>
      <c r="G57" s="75">
        <f>SUM(E57:F57)</f>
        <v>227000</v>
      </c>
      <c r="H57" s="75"/>
      <c r="I57" s="75">
        <f>SUM(G57:H57)</f>
        <v>227000</v>
      </c>
      <c r="J57" s="75"/>
      <c r="K57" s="75">
        <f>SUM(I57:J57)</f>
        <v>227000</v>
      </c>
      <c r="L57" s="75"/>
      <c r="M57" s="75">
        <f>SUM(K57:L57)</f>
        <v>227000</v>
      </c>
      <c r="N57" s="75"/>
      <c r="O57" s="75">
        <f>SUM(M57:N57)</f>
        <v>227000</v>
      </c>
    </row>
    <row r="58" spans="1:15" s="27" customFormat="1" ht="18.75" customHeight="1">
      <c r="A58" s="76"/>
      <c r="B58" s="77"/>
      <c r="C58" s="78" t="s">
        <v>163</v>
      </c>
      <c r="D58" s="41" t="s">
        <v>12</v>
      </c>
      <c r="E58" s="75"/>
      <c r="F58" s="75"/>
      <c r="G58" s="75"/>
      <c r="H58" s="75"/>
      <c r="I58" s="75">
        <v>0</v>
      </c>
      <c r="J58" s="75">
        <v>122117</v>
      </c>
      <c r="K58" s="75">
        <f>SUM(I58:J58)</f>
        <v>122117</v>
      </c>
      <c r="L58" s="75"/>
      <c r="M58" s="75">
        <f>SUM(K58:L58)</f>
        <v>122117</v>
      </c>
      <c r="N58" s="75"/>
      <c r="O58" s="75">
        <f>SUM(M58:N58)</f>
        <v>122117</v>
      </c>
    </row>
    <row r="59" spans="1:15" s="27" customFormat="1" ht="22.5">
      <c r="A59" s="76"/>
      <c r="B59" s="77" t="s">
        <v>41</v>
      </c>
      <c r="C59" s="84"/>
      <c r="D59" s="81" t="s">
        <v>42</v>
      </c>
      <c r="E59" s="75">
        <f aca="true" t="shared" si="28" ref="E59:K59">SUM(E60:E61)</f>
        <v>10620286</v>
      </c>
      <c r="F59" s="75">
        <f t="shared" si="28"/>
        <v>0</v>
      </c>
      <c r="G59" s="75">
        <f t="shared" si="28"/>
        <v>10620286</v>
      </c>
      <c r="H59" s="75">
        <f t="shared" si="28"/>
        <v>0</v>
      </c>
      <c r="I59" s="75">
        <f t="shared" si="28"/>
        <v>10620286</v>
      </c>
      <c r="J59" s="75">
        <f t="shared" si="28"/>
        <v>0</v>
      </c>
      <c r="K59" s="75">
        <f t="shared" si="28"/>
        <v>10620286</v>
      </c>
      <c r="L59" s="75">
        <f>SUM(L60:L61)</f>
        <v>0</v>
      </c>
      <c r="M59" s="75">
        <f>SUM(M60:M61)</f>
        <v>10620286</v>
      </c>
      <c r="N59" s="75">
        <f>SUM(N60:N61)</f>
        <v>0</v>
      </c>
      <c r="O59" s="75">
        <f>SUM(O60:O61)</f>
        <v>10620286</v>
      </c>
    </row>
    <row r="60" spans="1:15" s="27" customFormat="1" ht="21.75" customHeight="1">
      <c r="A60" s="76"/>
      <c r="B60" s="77"/>
      <c r="C60" s="78" t="s">
        <v>175</v>
      </c>
      <c r="D60" s="81" t="s">
        <v>43</v>
      </c>
      <c r="E60" s="75">
        <v>9720286</v>
      </c>
      <c r="F60" s="75"/>
      <c r="G60" s="75">
        <f>SUM(E60:F60)</f>
        <v>9720286</v>
      </c>
      <c r="H60" s="75"/>
      <c r="I60" s="75">
        <f>SUM(G60:H60)</f>
        <v>9720286</v>
      </c>
      <c r="J60" s="75"/>
      <c r="K60" s="75">
        <f>SUM(I60:J60)</f>
        <v>9720286</v>
      </c>
      <c r="L60" s="75"/>
      <c r="M60" s="75">
        <f>SUM(K60:L60)</f>
        <v>9720286</v>
      </c>
      <c r="N60" s="75"/>
      <c r="O60" s="75">
        <f>SUM(M60:N60)</f>
        <v>9720286</v>
      </c>
    </row>
    <row r="61" spans="1:15" s="27" customFormat="1" ht="21.75" customHeight="1">
      <c r="A61" s="76"/>
      <c r="B61" s="77"/>
      <c r="C61" s="78" t="s">
        <v>176</v>
      </c>
      <c r="D61" s="81" t="s">
        <v>44</v>
      </c>
      <c r="E61" s="75">
        <v>900000</v>
      </c>
      <c r="F61" s="75"/>
      <c r="G61" s="75">
        <f>SUM(E61:F61)</f>
        <v>900000</v>
      </c>
      <c r="H61" s="75"/>
      <c r="I61" s="75">
        <f>SUM(G61:H61)</f>
        <v>900000</v>
      </c>
      <c r="J61" s="75"/>
      <c r="K61" s="75">
        <f>SUM(I61:J61)</f>
        <v>900000</v>
      </c>
      <c r="L61" s="75"/>
      <c r="M61" s="75">
        <f>SUM(K61:L61)</f>
        <v>900000</v>
      </c>
      <c r="N61" s="75"/>
      <c r="O61" s="75">
        <f>SUM(M61:N61)</f>
        <v>900000</v>
      </c>
    </row>
    <row r="62" spans="1:15" s="7" customFormat="1" ht="20.25" customHeight="1">
      <c r="A62" s="32" t="s">
        <v>45</v>
      </c>
      <c r="B62" s="3"/>
      <c r="C62" s="4"/>
      <c r="D62" s="33" t="s">
        <v>46</v>
      </c>
      <c r="E62" s="62">
        <f aca="true" t="shared" si="29" ref="E62:K62">SUM(E63,E65,E67,E69)</f>
        <v>20284538</v>
      </c>
      <c r="F62" s="62">
        <f t="shared" si="29"/>
        <v>0</v>
      </c>
      <c r="G62" s="62">
        <f t="shared" si="29"/>
        <v>20284538</v>
      </c>
      <c r="H62" s="62">
        <f t="shared" si="29"/>
        <v>0</v>
      </c>
      <c r="I62" s="62">
        <f t="shared" si="29"/>
        <v>20284538</v>
      </c>
      <c r="J62" s="62">
        <f t="shared" si="29"/>
        <v>-614458</v>
      </c>
      <c r="K62" s="62">
        <f t="shared" si="29"/>
        <v>19670080</v>
      </c>
      <c r="L62" s="62">
        <f>SUM(L63,L65,L67,L69)</f>
        <v>-20684</v>
      </c>
      <c r="M62" s="62">
        <f>SUM(M63,M65,M67,M69)</f>
        <v>19649396</v>
      </c>
      <c r="N62" s="62">
        <f>SUM(N63,N65,N67,N69)</f>
        <v>0</v>
      </c>
      <c r="O62" s="62">
        <f>SUM(O63,O65,O67,O69)</f>
        <v>19649396</v>
      </c>
    </row>
    <row r="63" spans="1:15" s="27" customFormat="1" ht="22.5">
      <c r="A63" s="76"/>
      <c r="B63" s="77" t="s">
        <v>47</v>
      </c>
      <c r="C63" s="84"/>
      <c r="D63" s="81" t="s">
        <v>48</v>
      </c>
      <c r="E63" s="75">
        <f aca="true" t="shared" si="30" ref="E63:O63">SUM(E64)</f>
        <v>14653848</v>
      </c>
      <c r="F63" s="75">
        <f t="shared" si="30"/>
        <v>0</v>
      </c>
      <c r="G63" s="75">
        <f t="shared" si="30"/>
        <v>14653848</v>
      </c>
      <c r="H63" s="75">
        <f t="shared" si="30"/>
        <v>0</v>
      </c>
      <c r="I63" s="75">
        <f t="shared" si="30"/>
        <v>14653848</v>
      </c>
      <c r="J63" s="75">
        <f t="shared" si="30"/>
        <v>-614458</v>
      </c>
      <c r="K63" s="75">
        <f t="shared" si="30"/>
        <v>14039390</v>
      </c>
      <c r="L63" s="75">
        <f t="shared" si="30"/>
        <v>0</v>
      </c>
      <c r="M63" s="75">
        <f t="shared" si="30"/>
        <v>14039390</v>
      </c>
      <c r="N63" s="75">
        <f t="shared" si="30"/>
        <v>0</v>
      </c>
      <c r="O63" s="75">
        <f t="shared" si="30"/>
        <v>14039390</v>
      </c>
    </row>
    <row r="64" spans="1:15" s="27" customFormat="1" ht="21.75" customHeight="1">
      <c r="A64" s="76"/>
      <c r="B64" s="77"/>
      <c r="C64" s="78">
        <v>2920</v>
      </c>
      <c r="D64" s="81" t="s">
        <v>49</v>
      </c>
      <c r="E64" s="75">
        <v>14653848</v>
      </c>
      <c r="F64" s="75"/>
      <c r="G64" s="75">
        <f>SUM(E64:F64)</f>
        <v>14653848</v>
      </c>
      <c r="H64" s="75"/>
      <c r="I64" s="75">
        <f>SUM(G64:H64)</f>
        <v>14653848</v>
      </c>
      <c r="J64" s="75">
        <v>-614458</v>
      </c>
      <c r="K64" s="75">
        <f>SUM(I64:J64)</f>
        <v>14039390</v>
      </c>
      <c r="L64" s="75"/>
      <c r="M64" s="75">
        <f>SUM(K64:L64)</f>
        <v>14039390</v>
      </c>
      <c r="N64" s="75"/>
      <c r="O64" s="75">
        <f>SUM(M64:N64)</f>
        <v>14039390</v>
      </c>
    </row>
    <row r="65" spans="1:15" s="27" customFormat="1" ht="21.75" customHeight="1">
      <c r="A65" s="76"/>
      <c r="B65" s="77" t="s">
        <v>185</v>
      </c>
      <c r="C65" s="84"/>
      <c r="D65" s="81" t="s">
        <v>184</v>
      </c>
      <c r="E65" s="75">
        <f aca="true" t="shared" si="31" ref="E65:O65">SUM(E66)</f>
        <v>5007478</v>
      </c>
      <c r="F65" s="75">
        <f t="shared" si="31"/>
        <v>0</v>
      </c>
      <c r="G65" s="75">
        <f t="shared" si="31"/>
        <v>5007478</v>
      </c>
      <c r="H65" s="75">
        <f t="shared" si="31"/>
        <v>0</v>
      </c>
      <c r="I65" s="75">
        <f t="shared" si="31"/>
        <v>5007478</v>
      </c>
      <c r="J65" s="75">
        <f t="shared" si="31"/>
        <v>0</v>
      </c>
      <c r="K65" s="75">
        <f t="shared" si="31"/>
        <v>5007478</v>
      </c>
      <c r="L65" s="75">
        <f t="shared" si="31"/>
        <v>-20684</v>
      </c>
      <c r="M65" s="75">
        <f t="shared" si="31"/>
        <v>4986794</v>
      </c>
      <c r="N65" s="75">
        <f t="shared" si="31"/>
        <v>0</v>
      </c>
      <c r="O65" s="75">
        <f t="shared" si="31"/>
        <v>4986794</v>
      </c>
    </row>
    <row r="66" spans="1:15" s="27" customFormat="1" ht="21.75" customHeight="1">
      <c r="A66" s="76"/>
      <c r="B66" s="77"/>
      <c r="C66" s="78">
        <v>2920</v>
      </c>
      <c r="D66" s="81" t="s">
        <v>49</v>
      </c>
      <c r="E66" s="75">
        <f>2651991+2355487</f>
        <v>5007478</v>
      </c>
      <c r="F66" s="75"/>
      <c r="G66" s="75">
        <f>SUM(E66:F66)</f>
        <v>5007478</v>
      </c>
      <c r="H66" s="75"/>
      <c r="I66" s="75">
        <f>SUM(G66:H66)</f>
        <v>5007478</v>
      </c>
      <c r="J66" s="75"/>
      <c r="K66" s="75">
        <f>SUM(I66:J66)</f>
        <v>5007478</v>
      </c>
      <c r="L66" s="75">
        <v>-20684</v>
      </c>
      <c r="M66" s="75">
        <f>SUM(K66:L66)</f>
        <v>4986794</v>
      </c>
      <c r="N66" s="75"/>
      <c r="O66" s="75">
        <f>SUM(M66:N66)</f>
        <v>4986794</v>
      </c>
    </row>
    <row r="67" spans="1:15" s="27" customFormat="1" ht="21" customHeight="1">
      <c r="A67" s="76"/>
      <c r="B67" s="77">
        <v>75814</v>
      </c>
      <c r="C67" s="84"/>
      <c r="D67" s="81" t="s">
        <v>50</v>
      </c>
      <c r="E67" s="75">
        <f aca="true" t="shared" si="32" ref="E67:O67">SUM(E68)</f>
        <v>10000</v>
      </c>
      <c r="F67" s="75">
        <f t="shared" si="32"/>
        <v>0</v>
      </c>
      <c r="G67" s="75">
        <f t="shared" si="32"/>
        <v>10000</v>
      </c>
      <c r="H67" s="75">
        <f t="shared" si="32"/>
        <v>0</v>
      </c>
      <c r="I67" s="75">
        <f t="shared" si="32"/>
        <v>10000</v>
      </c>
      <c r="J67" s="75">
        <f t="shared" si="32"/>
        <v>0</v>
      </c>
      <c r="K67" s="75">
        <f t="shared" si="32"/>
        <v>10000</v>
      </c>
      <c r="L67" s="75">
        <f t="shared" si="32"/>
        <v>0</v>
      </c>
      <c r="M67" s="75">
        <f t="shared" si="32"/>
        <v>10000</v>
      </c>
      <c r="N67" s="75">
        <f t="shared" si="32"/>
        <v>0</v>
      </c>
      <c r="O67" s="75">
        <f t="shared" si="32"/>
        <v>10000</v>
      </c>
    </row>
    <row r="68" spans="1:15" s="27" customFormat="1" ht="21.75" customHeight="1">
      <c r="A68" s="76"/>
      <c r="B68" s="77"/>
      <c r="C68" s="78" t="s">
        <v>162</v>
      </c>
      <c r="D68" s="81" t="s">
        <v>11</v>
      </c>
      <c r="E68" s="75">
        <v>10000</v>
      </c>
      <c r="F68" s="75"/>
      <c r="G68" s="75">
        <f>SUM(E68:F68)</f>
        <v>10000</v>
      </c>
      <c r="H68" s="75"/>
      <c r="I68" s="75">
        <f>SUM(G68:H68)</f>
        <v>10000</v>
      </c>
      <c r="J68" s="75"/>
      <c r="K68" s="75">
        <f>SUM(I68:J68)</f>
        <v>10000</v>
      </c>
      <c r="L68" s="75"/>
      <c r="M68" s="75">
        <f>SUM(K68:L68)</f>
        <v>10000</v>
      </c>
      <c r="N68" s="75"/>
      <c r="O68" s="75">
        <f>SUM(M68:N68)</f>
        <v>10000</v>
      </c>
    </row>
    <row r="69" spans="1:15" s="27" customFormat="1" ht="24.75" customHeight="1">
      <c r="A69" s="76"/>
      <c r="B69" s="77" t="s">
        <v>215</v>
      </c>
      <c r="C69" s="84"/>
      <c r="D69" s="81" t="s">
        <v>216</v>
      </c>
      <c r="E69" s="75">
        <f aca="true" t="shared" si="33" ref="E69:O69">SUM(E70)</f>
        <v>613212</v>
      </c>
      <c r="F69" s="75">
        <f t="shared" si="33"/>
        <v>0</v>
      </c>
      <c r="G69" s="75">
        <f t="shared" si="33"/>
        <v>613212</v>
      </c>
      <c r="H69" s="75">
        <f t="shared" si="33"/>
        <v>0</v>
      </c>
      <c r="I69" s="75">
        <f t="shared" si="33"/>
        <v>613212</v>
      </c>
      <c r="J69" s="75">
        <f t="shared" si="33"/>
        <v>0</v>
      </c>
      <c r="K69" s="75">
        <f t="shared" si="33"/>
        <v>613212</v>
      </c>
      <c r="L69" s="75">
        <f t="shared" si="33"/>
        <v>0</v>
      </c>
      <c r="M69" s="75">
        <f t="shared" si="33"/>
        <v>613212</v>
      </c>
      <c r="N69" s="75">
        <f t="shared" si="33"/>
        <v>0</v>
      </c>
      <c r="O69" s="75">
        <f t="shared" si="33"/>
        <v>613212</v>
      </c>
    </row>
    <row r="70" spans="1:15" s="27" customFormat="1" ht="21.75" customHeight="1">
      <c r="A70" s="76"/>
      <c r="B70" s="77"/>
      <c r="C70" s="78">
        <v>2920</v>
      </c>
      <c r="D70" s="81" t="s">
        <v>49</v>
      </c>
      <c r="E70" s="75">
        <v>613212</v>
      </c>
      <c r="F70" s="75"/>
      <c r="G70" s="75">
        <f>SUM(E70:F70)</f>
        <v>613212</v>
      </c>
      <c r="H70" s="75"/>
      <c r="I70" s="75">
        <f>SUM(G70:H70)</f>
        <v>613212</v>
      </c>
      <c r="J70" s="75"/>
      <c r="K70" s="75">
        <f>SUM(I70:J70)</f>
        <v>613212</v>
      </c>
      <c r="L70" s="75"/>
      <c r="M70" s="75">
        <f>SUM(K70:L70)</f>
        <v>613212</v>
      </c>
      <c r="N70" s="75"/>
      <c r="O70" s="75">
        <f>SUM(M70:N70)</f>
        <v>613212</v>
      </c>
    </row>
    <row r="71" spans="1:15" s="27" customFormat="1" ht="20.25" customHeight="1">
      <c r="A71" s="36" t="s">
        <v>109</v>
      </c>
      <c r="B71" s="37"/>
      <c r="C71" s="38"/>
      <c r="D71" s="39" t="s">
        <v>110</v>
      </c>
      <c r="E71" s="62">
        <f aca="true" t="shared" si="34" ref="E71:K71">SUM(E72,E80,E82,E87)</f>
        <v>189496</v>
      </c>
      <c r="F71" s="62">
        <f t="shared" si="34"/>
        <v>0</v>
      </c>
      <c r="G71" s="62">
        <f t="shared" si="34"/>
        <v>189496</v>
      </c>
      <c r="H71" s="62">
        <f t="shared" si="34"/>
        <v>0</v>
      </c>
      <c r="I71" s="62">
        <f t="shared" si="34"/>
        <v>189496</v>
      </c>
      <c r="J71" s="62">
        <f t="shared" si="34"/>
        <v>28869</v>
      </c>
      <c r="K71" s="62">
        <f t="shared" si="34"/>
        <v>218365</v>
      </c>
      <c r="L71" s="62">
        <f>SUM(L72,L80,L82,L87)</f>
        <v>0</v>
      </c>
      <c r="M71" s="62">
        <f>SUM(M72,M80,M82,M87)</f>
        <v>218365</v>
      </c>
      <c r="N71" s="62">
        <f>SUM(N72,N80,N82,N87)</f>
        <v>75816</v>
      </c>
      <c r="O71" s="62">
        <f>SUM(O72,O80,O82,O87)</f>
        <v>294181</v>
      </c>
    </row>
    <row r="72" spans="1:15" s="27" customFormat="1" ht="20.25" customHeight="1">
      <c r="A72" s="71"/>
      <c r="B72" s="86" t="s">
        <v>111</v>
      </c>
      <c r="C72" s="90"/>
      <c r="D72" s="41" t="s">
        <v>51</v>
      </c>
      <c r="E72" s="75">
        <f aca="true" t="shared" si="35" ref="E72:K72">SUM(E73:E78)</f>
        <v>54673</v>
      </c>
      <c r="F72" s="75">
        <f t="shared" si="35"/>
        <v>0</v>
      </c>
      <c r="G72" s="75">
        <f t="shared" si="35"/>
        <v>54673</v>
      </c>
      <c r="H72" s="75">
        <f t="shared" si="35"/>
        <v>0</v>
      </c>
      <c r="I72" s="75">
        <f t="shared" si="35"/>
        <v>54673</v>
      </c>
      <c r="J72" s="75">
        <f t="shared" si="35"/>
        <v>27690</v>
      </c>
      <c r="K72" s="75">
        <f t="shared" si="35"/>
        <v>82363</v>
      </c>
      <c r="L72" s="75">
        <f>SUM(L73:L78)</f>
        <v>0</v>
      </c>
      <c r="M72" s="75">
        <f>SUM(M73:M79)</f>
        <v>82363</v>
      </c>
      <c r="N72" s="75">
        <f>SUM(N73:N79)</f>
        <v>75816</v>
      </c>
      <c r="O72" s="75">
        <f>SUM(O73:O79)</f>
        <v>158179</v>
      </c>
    </row>
    <row r="73" spans="1:15" s="27" customFormat="1" ht="20.25" customHeight="1">
      <c r="A73" s="86"/>
      <c r="B73" s="86"/>
      <c r="C73" s="87" t="s">
        <v>183</v>
      </c>
      <c r="D73" s="41" t="s">
        <v>144</v>
      </c>
      <c r="E73" s="75">
        <v>700</v>
      </c>
      <c r="F73" s="75"/>
      <c r="G73" s="75">
        <f>SUM(E73:F73)</f>
        <v>700</v>
      </c>
      <c r="H73" s="75"/>
      <c r="I73" s="75">
        <f>SUM(G73:H73)</f>
        <v>700</v>
      </c>
      <c r="J73" s="75"/>
      <c r="K73" s="75">
        <f>SUM(I73:J73)</f>
        <v>700</v>
      </c>
      <c r="L73" s="75"/>
      <c r="M73" s="75">
        <f>SUM(K73:L73)</f>
        <v>700</v>
      </c>
      <c r="N73" s="75"/>
      <c r="O73" s="75">
        <f aca="true" t="shared" si="36" ref="O73:O79">SUM(M73:N73)</f>
        <v>700</v>
      </c>
    </row>
    <row r="74" spans="1:15" s="27" customFormat="1" ht="67.5">
      <c r="A74" s="86"/>
      <c r="B74" s="71"/>
      <c r="C74" s="87" t="s">
        <v>161</v>
      </c>
      <c r="D74" s="41" t="s">
        <v>55</v>
      </c>
      <c r="E74" s="75">
        <v>40800</v>
      </c>
      <c r="F74" s="75"/>
      <c r="G74" s="75">
        <f>SUM(E74:F74)</f>
        <v>40800</v>
      </c>
      <c r="H74" s="75"/>
      <c r="I74" s="75">
        <f>SUM(G74:H74)</f>
        <v>40800</v>
      </c>
      <c r="J74" s="75">
        <v>3801</v>
      </c>
      <c r="K74" s="75">
        <f>SUM(I74:J74)</f>
        <v>44601</v>
      </c>
      <c r="L74" s="75"/>
      <c r="M74" s="75">
        <f>SUM(K74:L74)</f>
        <v>44601</v>
      </c>
      <c r="N74" s="75"/>
      <c r="O74" s="75">
        <f t="shared" si="36"/>
        <v>44601</v>
      </c>
    </row>
    <row r="75" spans="1:15" s="27" customFormat="1" ht="23.25" customHeight="1">
      <c r="A75" s="86"/>
      <c r="B75" s="71"/>
      <c r="C75" s="126" t="s">
        <v>162</v>
      </c>
      <c r="D75" s="70" t="s">
        <v>11</v>
      </c>
      <c r="E75" s="75">
        <v>1091</v>
      </c>
      <c r="F75" s="75"/>
      <c r="G75" s="75">
        <f>SUM(E75:F75)</f>
        <v>1091</v>
      </c>
      <c r="H75" s="75"/>
      <c r="I75" s="75">
        <f>SUM(G75:H75)</f>
        <v>1091</v>
      </c>
      <c r="J75" s="75">
        <v>15</v>
      </c>
      <c r="K75" s="75">
        <f>SUM(I75:J75)</f>
        <v>1106</v>
      </c>
      <c r="L75" s="75"/>
      <c r="M75" s="75">
        <f>SUM(K75:L75)</f>
        <v>1106</v>
      </c>
      <c r="N75" s="75"/>
      <c r="O75" s="75">
        <f t="shared" si="36"/>
        <v>1106</v>
      </c>
    </row>
    <row r="76" spans="1:15" s="27" customFormat="1" ht="20.25" customHeight="1">
      <c r="A76" s="86"/>
      <c r="B76" s="71"/>
      <c r="C76" s="126" t="s">
        <v>163</v>
      </c>
      <c r="D76" s="41" t="s">
        <v>12</v>
      </c>
      <c r="E76" s="75">
        <v>7300</v>
      </c>
      <c r="F76" s="75"/>
      <c r="G76" s="75">
        <f>SUM(E76:F76)</f>
        <v>7300</v>
      </c>
      <c r="H76" s="75"/>
      <c r="I76" s="75">
        <f>SUM(G76:H76)</f>
        <v>7300</v>
      </c>
      <c r="J76" s="75">
        <v>20970</v>
      </c>
      <c r="K76" s="75">
        <f>SUM(I76:J76)</f>
        <v>28270</v>
      </c>
      <c r="L76" s="75"/>
      <c r="M76" s="75">
        <f>SUM(K76:L76)</f>
        <v>28270</v>
      </c>
      <c r="N76" s="75"/>
      <c r="O76" s="75">
        <f t="shared" si="36"/>
        <v>28270</v>
      </c>
    </row>
    <row r="77" spans="1:15" s="27" customFormat="1" ht="33.75">
      <c r="A77" s="86"/>
      <c r="B77" s="71"/>
      <c r="C77" s="126">
        <v>2030</v>
      </c>
      <c r="D77" s="81" t="s">
        <v>213</v>
      </c>
      <c r="E77" s="75"/>
      <c r="F77" s="75"/>
      <c r="G77" s="75"/>
      <c r="H77" s="75"/>
      <c r="I77" s="75"/>
      <c r="J77" s="75"/>
      <c r="K77" s="75"/>
      <c r="L77" s="75"/>
      <c r="M77" s="75">
        <v>0</v>
      </c>
      <c r="N77" s="75">
        <v>11966</v>
      </c>
      <c r="O77" s="75">
        <f t="shared" si="36"/>
        <v>11966</v>
      </c>
    </row>
    <row r="78" spans="1:15" s="27" customFormat="1" ht="45">
      <c r="A78" s="86"/>
      <c r="B78" s="71"/>
      <c r="C78" s="126">
        <v>2310</v>
      </c>
      <c r="D78" s="41" t="s">
        <v>227</v>
      </c>
      <c r="E78" s="75">
        <v>4782</v>
      </c>
      <c r="F78" s="75"/>
      <c r="G78" s="75">
        <f>SUM(E78:F78)</f>
        <v>4782</v>
      </c>
      <c r="H78" s="75"/>
      <c r="I78" s="75">
        <f>SUM(G78:H78)</f>
        <v>4782</v>
      </c>
      <c r="J78" s="75">
        <v>2904</v>
      </c>
      <c r="K78" s="75">
        <f>SUM(I78:J78)</f>
        <v>7686</v>
      </c>
      <c r="L78" s="75"/>
      <c r="M78" s="75">
        <f>SUM(K78:L78)</f>
        <v>7686</v>
      </c>
      <c r="N78" s="75"/>
      <c r="O78" s="75">
        <f t="shared" si="36"/>
        <v>7686</v>
      </c>
    </row>
    <row r="79" spans="1:15" s="27" customFormat="1" ht="45">
      <c r="A79" s="86"/>
      <c r="B79" s="71"/>
      <c r="C79" s="126">
        <v>6330</v>
      </c>
      <c r="D79" s="41" t="s">
        <v>515</v>
      </c>
      <c r="E79" s="75"/>
      <c r="F79" s="75"/>
      <c r="G79" s="75"/>
      <c r="H79" s="75"/>
      <c r="I79" s="75"/>
      <c r="J79" s="75"/>
      <c r="K79" s="75"/>
      <c r="L79" s="75"/>
      <c r="M79" s="75">
        <v>0</v>
      </c>
      <c r="N79" s="75">
        <v>63850</v>
      </c>
      <c r="O79" s="75">
        <f t="shared" si="36"/>
        <v>63850</v>
      </c>
    </row>
    <row r="80" spans="1:15" s="27" customFormat="1" ht="19.5" customHeight="1">
      <c r="A80" s="76"/>
      <c r="B80" s="77">
        <v>80104</v>
      </c>
      <c r="C80" s="78"/>
      <c r="D80" s="41" t="s">
        <v>124</v>
      </c>
      <c r="E80" s="75">
        <f aca="true" t="shared" si="37" ref="E80:O80">SUM(E81)</f>
        <v>2000</v>
      </c>
      <c r="F80" s="75">
        <f t="shared" si="37"/>
        <v>0</v>
      </c>
      <c r="G80" s="75">
        <f t="shared" si="37"/>
        <v>2000</v>
      </c>
      <c r="H80" s="75">
        <f t="shared" si="37"/>
        <v>0</v>
      </c>
      <c r="I80" s="75">
        <f t="shared" si="37"/>
        <v>2000</v>
      </c>
      <c r="J80" s="75">
        <f t="shared" si="37"/>
        <v>0</v>
      </c>
      <c r="K80" s="75">
        <f t="shared" si="37"/>
        <v>2000</v>
      </c>
      <c r="L80" s="75">
        <f t="shared" si="37"/>
        <v>0</v>
      </c>
      <c r="M80" s="75">
        <f t="shared" si="37"/>
        <v>2000</v>
      </c>
      <c r="N80" s="75">
        <f t="shared" si="37"/>
        <v>0</v>
      </c>
      <c r="O80" s="75">
        <f t="shared" si="37"/>
        <v>2000</v>
      </c>
    </row>
    <row r="81" spans="1:15" s="27" customFormat="1" ht="67.5">
      <c r="A81" s="76"/>
      <c r="B81" s="77"/>
      <c r="C81" s="78" t="s">
        <v>161</v>
      </c>
      <c r="D81" s="41" t="s">
        <v>55</v>
      </c>
      <c r="E81" s="75">
        <v>2000</v>
      </c>
      <c r="F81" s="75"/>
      <c r="G81" s="75">
        <f>SUM(E81:F81)</f>
        <v>2000</v>
      </c>
      <c r="H81" s="75"/>
      <c r="I81" s="75">
        <f>SUM(G81:H81)</f>
        <v>2000</v>
      </c>
      <c r="J81" s="75"/>
      <c r="K81" s="75">
        <f>SUM(I81:J81)</f>
        <v>2000</v>
      </c>
      <c r="L81" s="75"/>
      <c r="M81" s="75">
        <f>SUM(K81:L81)</f>
        <v>2000</v>
      </c>
      <c r="N81" s="75"/>
      <c r="O81" s="75">
        <f>SUM(M81:N81)</f>
        <v>2000</v>
      </c>
    </row>
    <row r="82" spans="1:15" s="27" customFormat="1" ht="18.75" customHeight="1">
      <c r="A82" s="76"/>
      <c r="B82" s="77">
        <v>80110</v>
      </c>
      <c r="C82" s="78"/>
      <c r="D82" s="41" t="s">
        <v>52</v>
      </c>
      <c r="E82" s="75">
        <f aca="true" t="shared" si="38" ref="E82:K82">SUM(E83:E86)</f>
        <v>9121</v>
      </c>
      <c r="F82" s="75">
        <f t="shared" si="38"/>
        <v>0</v>
      </c>
      <c r="G82" s="75">
        <f t="shared" si="38"/>
        <v>9121</v>
      </c>
      <c r="H82" s="75">
        <f t="shared" si="38"/>
        <v>0</v>
      </c>
      <c r="I82" s="75">
        <f t="shared" si="38"/>
        <v>9121</v>
      </c>
      <c r="J82" s="75">
        <f t="shared" si="38"/>
        <v>501</v>
      </c>
      <c r="K82" s="75">
        <f t="shared" si="38"/>
        <v>9622</v>
      </c>
      <c r="L82" s="75">
        <f>SUM(L83:L86)</f>
        <v>0</v>
      </c>
      <c r="M82" s="75">
        <f>SUM(M83:M86)</f>
        <v>9622</v>
      </c>
      <c r="N82" s="75">
        <f>SUM(N83:N86)</f>
        <v>0</v>
      </c>
      <c r="O82" s="75">
        <f>SUM(O83:O86)</f>
        <v>9622</v>
      </c>
    </row>
    <row r="83" spans="1:15" s="27" customFormat="1" ht="18.75" customHeight="1">
      <c r="A83" s="76"/>
      <c r="B83" s="77"/>
      <c r="C83" s="87" t="s">
        <v>183</v>
      </c>
      <c r="D83" s="41" t="s">
        <v>144</v>
      </c>
      <c r="E83" s="75">
        <v>100</v>
      </c>
      <c r="F83" s="75"/>
      <c r="G83" s="75">
        <f>SUM(E83:F83)</f>
        <v>100</v>
      </c>
      <c r="H83" s="75"/>
      <c r="I83" s="75">
        <f>SUM(G83:H83)</f>
        <v>100</v>
      </c>
      <c r="J83" s="75"/>
      <c r="K83" s="75">
        <f>SUM(I83:J83)</f>
        <v>100</v>
      </c>
      <c r="L83" s="75"/>
      <c r="M83" s="75">
        <f>SUM(K83:L83)</f>
        <v>100</v>
      </c>
      <c r="N83" s="75"/>
      <c r="O83" s="75">
        <f>SUM(M83:N83)</f>
        <v>100</v>
      </c>
    </row>
    <row r="84" spans="1:15" s="27" customFormat="1" ht="67.5">
      <c r="A84" s="76"/>
      <c r="B84" s="77"/>
      <c r="C84" s="78" t="s">
        <v>161</v>
      </c>
      <c r="D84" s="41" t="s">
        <v>55</v>
      </c>
      <c r="E84" s="75">
        <v>8000</v>
      </c>
      <c r="F84" s="75"/>
      <c r="G84" s="75">
        <f>SUM(E84:F84)</f>
        <v>8000</v>
      </c>
      <c r="H84" s="75"/>
      <c r="I84" s="75">
        <f>SUM(G84:H84)</f>
        <v>8000</v>
      </c>
      <c r="J84" s="75"/>
      <c r="K84" s="75">
        <f>SUM(I84:J84)</f>
        <v>8000</v>
      </c>
      <c r="L84" s="75"/>
      <c r="M84" s="75">
        <f>SUM(K84:L84)</f>
        <v>8000</v>
      </c>
      <c r="N84" s="75"/>
      <c r="O84" s="75">
        <f>SUM(M84:N84)</f>
        <v>8000</v>
      </c>
    </row>
    <row r="85" spans="1:15" s="27" customFormat="1" ht="22.5" customHeight="1">
      <c r="A85" s="76"/>
      <c r="B85" s="77"/>
      <c r="C85" s="78" t="s">
        <v>162</v>
      </c>
      <c r="D85" s="70" t="s">
        <v>11</v>
      </c>
      <c r="E85" s="75">
        <v>21</v>
      </c>
      <c r="F85" s="75"/>
      <c r="G85" s="75">
        <f>SUM(E85:F85)</f>
        <v>21</v>
      </c>
      <c r="H85" s="75"/>
      <c r="I85" s="75">
        <f>SUM(G85:H85)</f>
        <v>21</v>
      </c>
      <c r="J85" s="75">
        <v>1</v>
      </c>
      <c r="K85" s="75">
        <f>SUM(I85:J85)</f>
        <v>22</v>
      </c>
      <c r="L85" s="75"/>
      <c r="M85" s="75">
        <f>SUM(K85:L85)</f>
        <v>22</v>
      </c>
      <c r="N85" s="75"/>
      <c r="O85" s="75">
        <f>SUM(M85:N85)</f>
        <v>22</v>
      </c>
    </row>
    <row r="86" spans="1:15" s="27" customFormat="1" ht="16.5" customHeight="1">
      <c r="A86" s="76"/>
      <c r="B86" s="77"/>
      <c r="C86" s="78" t="s">
        <v>163</v>
      </c>
      <c r="D86" s="41" t="s">
        <v>12</v>
      </c>
      <c r="E86" s="75">
        <v>1000</v>
      </c>
      <c r="F86" s="75"/>
      <c r="G86" s="75">
        <f>SUM(E86:F86)</f>
        <v>1000</v>
      </c>
      <c r="H86" s="75"/>
      <c r="I86" s="75">
        <f>SUM(G86:H86)</f>
        <v>1000</v>
      </c>
      <c r="J86" s="75">
        <v>500</v>
      </c>
      <c r="K86" s="75">
        <f>SUM(I86:J86)</f>
        <v>1500</v>
      </c>
      <c r="L86" s="75"/>
      <c r="M86" s="75">
        <f>SUM(K86:L86)</f>
        <v>1500</v>
      </c>
      <c r="N86" s="75"/>
      <c r="O86" s="75">
        <f>SUM(M86:N86)</f>
        <v>1500</v>
      </c>
    </row>
    <row r="87" spans="1:15" s="27" customFormat="1" ht="22.5" customHeight="1">
      <c r="A87" s="76"/>
      <c r="B87" s="77">
        <v>80148</v>
      </c>
      <c r="C87" s="78"/>
      <c r="D87" s="70" t="s">
        <v>257</v>
      </c>
      <c r="E87" s="75">
        <f aca="true" t="shared" si="39" ref="E87:K87">SUM(E88:E89)</f>
        <v>123702</v>
      </c>
      <c r="F87" s="75">
        <f t="shared" si="39"/>
        <v>0</v>
      </c>
      <c r="G87" s="75">
        <f t="shared" si="39"/>
        <v>123702</v>
      </c>
      <c r="H87" s="75">
        <f t="shared" si="39"/>
        <v>0</v>
      </c>
      <c r="I87" s="75">
        <f t="shared" si="39"/>
        <v>123702</v>
      </c>
      <c r="J87" s="75">
        <f t="shared" si="39"/>
        <v>678</v>
      </c>
      <c r="K87" s="75">
        <f t="shared" si="39"/>
        <v>124380</v>
      </c>
      <c r="L87" s="75">
        <f>SUM(L88:L89)</f>
        <v>0</v>
      </c>
      <c r="M87" s="75">
        <f>SUM(M88:M89)</f>
        <v>124380</v>
      </c>
      <c r="N87" s="75">
        <f>SUM(N88:N89)</f>
        <v>0</v>
      </c>
      <c r="O87" s="75">
        <f>SUM(O88:O89)</f>
        <v>124380</v>
      </c>
    </row>
    <row r="88" spans="1:15" s="27" customFormat="1" ht="22.5" customHeight="1">
      <c r="A88" s="76"/>
      <c r="B88" s="77"/>
      <c r="C88" s="78" t="s">
        <v>192</v>
      </c>
      <c r="D88" s="70" t="s">
        <v>193</v>
      </c>
      <c r="E88" s="75">
        <v>123700</v>
      </c>
      <c r="F88" s="75"/>
      <c r="G88" s="75">
        <f>SUM(E88:F88)</f>
        <v>123700</v>
      </c>
      <c r="H88" s="75"/>
      <c r="I88" s="75">
        <f>SUM(G88:H88)</f>
        <v>123700</v>
      </c>
      <c r="J88" s="75">
        <v>680</v>
      </c>
      <c r="K88" s="75">
        <f>SUM(I88:J88)</f>
        <v>124380</v>
      </c>
      <c r="L88" s="75"/>
      <c r="M88" s="75">
        <f>SUM(K88:L88)</f>
        <v>124380</v>
      </c>
      <c r="N88" s="75"/>
      <c r="O88" s="75">
        <f>SUM(M88:N88)</f>
        <v>124380</v>
      </c>
    </row>
    <row r="89" spans="1:15" s="27" customFormat="1" ht="22.5" customHeight="1">
      <c r="A89" s="76"/>
      <c r="B89" s="77"/>
      <c r="C89" s="78" t="s">
        <v>162</v>
      </c>
      <c r="D89" s="70" t="s">
        <v>11</v>
      </c>
      <c r="E89" s="75">
        <v>2</v>
      </c>
      <c r="F89" s="75"/>
      <c r="G89" s="75">
        <f>SUM(E89:F89)</f>
        <v>2</v>
      </c>
      <c r="H89" s="75"/>
      <c r="I89" s="75">
        <f>SUM(G89:H89)</f>
        <v>2</v>
      </c>
      <c r="J89" s="75">
        <v>-2</v>
      </c>
      <c r="K89" s="75">
        <f>SUM(I89:J89)</f>
        <v>0</v>
      </c>
      <c r="L89" s="75"/>
      <c r="M89" s="75">
        <f>SUM(K89:L89)</f>
        <v>0</v>
      </c>
      <c r="N89" s="75"/>
      <c r="O89" s="75">
        <f>SUM(M89:N89)</f>
        <v>0</v>
      </c>
    </row>
    <row r="90" spans="1:15" s="7" customFormat="1" ht="20.25" customHeight="1">
      <c r="A90" s="32" t="s">
        <v>154</v>
      </c>
      <c r="B90" s="3"/>
      <c r="C90" s="4"/>
      <c r="D90" s="33" t="s">
        <v>187</v>
      </c>
      <c r="E90" s="62">
        <f aca="true" t="shared" si="40" ref="E90:K90">SUM(E91,E93,E96,E101,E107,E99)</f>
        <v>8336341</v>
      </c>
      <c r="F90" s="62">
        <f t="shared" si="40"/>
        <v>530000</v>
      </c>
      <c r="G90" s="62">
        <f t="shared" si="40"/>
        <v>8866341</v>
      </c>
      <c r="H90" s="62">
        <f t="shared" si="40"/>
        <v>-73</v>
      </c>
      <c r="I90" s="62">
        <f t="shared" si="40"/>
        <v>8866268</v>
      </c>
      <c r="J90" s="62">
        <f t="shared" si="40"/>
        <v>5500</v>
      </c>
      <c r="K90" s="62">
        <f t="shared" si="40"/>
        <v>8871768</v>
      </c>
      <c r="L90" s="62">
        <f>SUM(L91,L93,L96,L101,L107,L99)</f>
        <v>0</v>
      </c>
      <c r="M90" s="62">
        <f>SUM(M91,M93,M96,M101,M107,M99)</f>
        <v>8871768</v>
      </c>
      <c r="N90" s="62">
        <f>SUM(N91,N93,N96,N101,N107,N99)</f>
        <v>82751</v>
      </c>
      <c r="O90" s="62">
        <f>SUM(O91,O93,O96,O101,O107,O99)</f>
        <v>8954519</v>
      </c>
    </row>
    <row r="91" spans="1:15" s="27" customFormat="1" ht="45">
      <c r="A91" s="76"/>
      <c r="B91" s="51">
        <v>85212</v>
      </c>
      <c r="C91" s="83"/>
      <c r="D91" s="81" t="s">
        <v>299</v>
      </c>
      <c r="E91" s="75">
        <f aca="true" t="shared" si="41" ref="E91:O91">SUM(E92:E92)</f>
        <v>6551300</v>
      </c>
      <c r="F91" s="75">
        <f t="shared" si="41"/>
        <v>0</v>
      </c>
      <c r="G91" s="75">
        <f t="shared" si="41"/>
        <v>6551300</v>
      </c>
      <c r="H91" s="75">
        <f t="shared" si="41"/>
        <v>0</v>
      </c>
      <c r="I91" s="75">
        <f t="shared" si="41"/>
        <v>6551300</v>
      </c>
      <c r="J91" s="75">
        <f t="shared" si="41"/>
        <v>0</v>
      </c>
      <c r="K91" s="75">
        <f t="shared" si="41"/>
        <v>6551300</v>
      </c>
      <c r="L91" s="75">
        <f t="shared" si="41"/>
        <v>0</v>
      </c>
      <c r="M91" s="75">
        <f t="shared" si="41"/>
        <v>6551300</v>
      </c>
      <c r="N91" s="75">
        <f t="shared" si="41"/>
        <v>0</v>
      </c>
      <c r="O91" s="75">
        <f t="shared" si="41"/>
        <v>6551300</v>
      </c>
    </row>
    <row r="92" spans="1:15" s="27" customFormat="1" ht="56.25">
      <c r="A92" s="76"/>
      <c r="B92" s="51"/>
      <c r="C92" s="83">
        <v>2010</v>
      </c>
      <c r="D92" s="81" t="s">
        <v>212</v>
      </c>
      <c r="E92" s="75">
        <v>6551300</v>
      </c>
      <c r="F92" s="75"/>
      <c r="G92" s="75">
        <f>SUM(E92:F92)</f>
        <v>6551300</v>
      </c>
      <c r="H92" s="75"/>
      <c r="I92" s="75">
        <f>SUM(G92:H92)</f>
        <v>6551300</v>
      </c>
      <c r="J92" s="75"/>
      <c r="K92" s="75">
        <f>SUM(I92:J92)</f>
        <v>6551300</v>
      </c>
      <c r="L92" s="75"/>
      <c r="M92" s="75">
        <f>SUM(K92:L92)</f>
        <v>6551300</v>
      </c>
      <c r="N92" s="75"/>
      <c r="O92" s="75">
        <f>SUM(M92:N92)</f>
        <v>6551300</v>
      </c>
    </row>
    <row r="93" spans="1:15" s="27" customFormat="1" ht="67.5">
      <c r="A93" s="76"/>
      <c r="B93" s="51">
        <v>85213</v>
      </c>
      <c r="C93" s="84"/>
      <c r="D93" s="81" t="s">
        <v>289</v>
      </c>
      <c r="E93" s="75">
        <f aca="true" t="shared" si="42" ref="E93:K93">SUM(E94:E95)</f>
        <v>49134</v>
      </c>
      <c r="F93" s="75">
        <f t="shared" si="42"/>
        <v>0</v>
      </c>
      <c r="G93" s="75">
        <f t="shared" si="42"/>
        <v>49134</v>
      </c>
      <c r="H93" s="75">
        <f t="shared" si="42"/>
        <v>-73</v>
      </c>
      <c r="I93" s="75">
        <f t="shared" si="42"/>
        <v>49061</v>
      </c>
      <c r="J93" s="75">
        <f t="shared" si="42"/>
        <v>0</v>
      </c>
      <c r="K93" s="75">
        <f t="shared" si="42"/>
        <v>49061</v>
      </c>
      <c r="L93" s="75">
        <f>SUM(L94:L95)</f>
        <v>0</v>
      </c>
      <c r="M93" s="75">
        <f>SUM(M94:M95)</f>
        <v>49061</v>
      </c>
      <c r="N93" s="75">
        <f>SUM(N94:N95)</f>
        <v>0</v>
      </c>
      <c r="O93" s="75">
        <f>SUM(O94:O95)</f>
        <v>49061</v>
      </c>
    </row>
    <row r="94" spans="1:15" s="27" customFormat="1" ht="56.25">
      <c r="A94" s="76"/>
      <c r="B94" s="51"/>
      <c r="C94" s="84">
        <v>2010</v>
      </c>
      <c r="D94" s="81" t="s">
        <v>212</v>
      </c>
      <c r="E94" s="75">
        <v>12000</v>
      </c>
      <c r="F94" s="75"/>
      <c r="G94" s="75">
        <f>SUM(E94:F94)</f>
        <v>12000</v>
      </c>
      <c r="H94" s="75">
        <v>-73</v>
      </c>
      <c r="I94" s="75">
        <f>SUM(G94:H94)</f>
        <v>11927</v>
      </c>
      <c r="J94" s="75"/>
      <c r="K94" s="75">
        <f>SUM(I94:J94)</f>
        <v>11927</v>
      </c>
      <c r="L94" s="75"/>
      <c r="M94" s="75">
        <f>SUM(K94:L94)</f>
        <v>11927</v>
      </c>
      <c r="N94" s="75"/>
      <c r="O94" s="75">
        <f>SUM(M94:N94)</f>
        <v>11927</v>
      </c>
    </row>
    <row r="95" spans="1:15" s="27" customFormat="1" ht="33.75">
      <c r="A95" s="76"/>
      <c r="B95" s="51"/>
      <c r="C95" s="78">
        <v>2030</v>
      </c>
      <c r="D95" s="81" t="s">
        <v>213</v>
      </c>
      <c r="E95" s="75">
        <v>37134</v>
      </c>
      <c r="F95" s="75"/>
      <c r="G95" s="75">
        <f>SUM(E95:F95)</f>
        <v>37134</v>
      </c>
      <c r="H95" s="75"/>
      <c r="I95" s="75">
        <f>SUM(G95:H95)</f>
        <v>37134</v>
      </c>
      <c r="J95" s="75"/>
      <c r="K95" s="75">
        <f>SUM(I95:J95)</f>
        <v>37134</v>
      </c>
      <c r="L95" s="75"/>
      <c r="M95" s="75">
        <f>SUM(K95:L95)</f>
        <v>37134</v>
      </c>
      <c r="N95" s="75"/>
      <c r="O95" s="75">
        <f>SUM(M95:N95)</f>
        <v>37134</v>
      </c>
    </row>
    <row r="96" spans="1:15" s="27" customFormat="1" ht="23.25" customHeight="1">
      <c r="A96" s="76"/>
      <c r="B96" s="77" t="s">
        <v>155</v>
      </c>
      <c r="C96" s="84"/>
      <c r="D96" s="81" t="s">
        <v>56</v>
      </c>
      <c r="E96" s="75">
        <f aca="true" t="shared" si="43" ref="E96:K96">SUM(E97:E98)</f>
        <v>551695</v>
      </c>
      <c r="F96" s="75">
        <f t="shared" si="43"/>
        <v>0</v>
      </c>
      <c r="G96" s="75">
        <f t="shared" si="43"/>
        <v>551695</v>
      </c>
      <c r="H96" s="75">
        <f t="shared" si="43"/>
        <v>0</v>
      </c>
      <c r="I96" s="75">
        <f t="shared" si="43"/>
        <v>551695</v>
      </c>
      <c r="J96" s="75">
        <f t="shared" si="43"/>
        <v>0</v>
      </c>
      <c r="K96" s="75">
        <f t="shared" si="43"/>
        <v>551695</v>
      </c>
      <c r="L96" s="75">
        <f>SUM(L97:L98)</f>
        <v>0</v>
      </c>
      <c r="M96" s="75">
        <f>SUM(M97:M98)</f>
        <v>551695</v>
      </c>
      <c r="N96" s="75">
        <f>SUM(N97:N98)</f>
        <v>0</v>
      </c>
      <c r="O96" s="75">
        <f>SUM(O97:O98)</f>
        <v>551695</v>
      </c>
    </row>
    <row r="97" spans="1:15" s="27" customFormat="1" ht="20.25" customHeight="1">
      <c r="A97" s="76"/>
      <c r="B97" s="77"/>
      <c r="C97" s="83" t="s">
        <v>192</v>
      </c>
      <c r="D97" s="81" t="s">
        <v>193</v>
      </c>
      <c r="E97" s="75">
        <v>12000</v>
      </c>
      <c r="F97" s="75"/>
      <c r="G97" s="75">
        <f>SUM(E97:F97)</f>
        <v>12000</v>
      </c>
      <c r="H97" s="75"/>
      <c r="I97" s="75">
        <f>SUM(G97:H97)</f>
        <v>12000</v>
      </c>
      <c r="J97" s="75"/>
      <c r="K97" s="75">
        <f>SUM(I97:J97)</f>
        <v>12000</v>
      </c>
      <c r="L97" s="75"/>
      <c r="M97" s="75">
        <f>SUM(K97:L97)</f>
        <v>12000</v>
      </c>
      <c r="N97" s="75"/>
      <c r="O97" s="75">
        <f>SUM(M97:N97)</f>
        <v>12000</v>
      </c>
    </row>
    <row r="98" spans="1:15" s="27" customFormat="1" ht="33.75">
      <c r="A98" s="76"/>
      <c r="B98" s="77"/>
      <c r="C98" s="78">
        <v>2030</v>
      </c>
      <c r="D98" s="81" t="s">
        <v>213</v>
      </c>
      <c r="E98" s="75">
        <v>539695</v>
      </c>
      <c r="F98" s="75"/>
      <c r="G98" s="75">
        <f>SUM(E98:F98)</f>
        <v>539695</v>
      </c>
      <c r="H98" s="75"/>
      <c r="I98" s="75">
        <f>SUM(G98:H98)</f>
        <v>539695</v>
      </c>
      <c r="J98" s="75"/>
      <c r="K98" s="75">
        <f>SUM(I98:J98)</f>
        <v>539695</v>
      </c>
      <c r="L98" s="75"/>
      <c r="M98" s="75">
        <f>SUM(K98:L98)</f>
        <v>539695</v>
      </c>
      <c r="N98" s="75"/>
      <c r="O98" s="75">
        <f>SUM(M98:N98)</f>
        <v>539695</v>
      </c>
    </row>
    <row r="99" spans="1:15" s="27" customFormat="1" ht="19.5" customHeight="1">
      <c r="A99" s="76"/>
      <c r="B99" s="77">
        <v>85216</v>
      </c>
      <c r="C99" s="78"/>
      <c r="D99" s="81" t="s">
        <v>307</v>
      </c>
      <c r="E99" s="75">
        <f aca="true" t="shared" si="44" ref="E99:O99">SUM(E100)</f>
        <v>449868</v>
      </c>
      <c r="F99" s="75">
        <f t="shared" si="44"/>
        <v>0</v>
      </c>
      <c r="G99" s="75">
        <f t="shared" si="44"/>
        <v>449868</v>
      </c>
      <c r="H99" s="75">
        <f t="shared" si="44"/>
        <v>0</v>
      </c>
      <c r="I99" s="75">
        <f t="shared" si="44"/>
        <v>449868</v>
      </c>
      <c r="J99" s="75">
        <f t="shared" si="44"/>
        <v>0</v>
      </c>
      <c r="K99" s="75">
        <f t="shared" si="44"/>
        <v>449868</v>
      </c>
      <c r="L99" s="75">
        <f t="shared" si="44"/>
        <v>0</v>
      </c>
      <c r="M99" s="75">
        <f t="shared" si="44"/>
        <v>449868</v>
      </c>
      <c r="N99" s="75">
        <f t="shared" si="44"/>
        <v>0</v>
      </c>
      <c r="O99" s="75">
        <f t="shared" si="44"/>
        <v>449868</v>
      </c>
    </row>
    <row r="100" spans="1:15" s="27" customFormat="1" ht="33.75">
      <c r="A100" s="76"/>
      <c r="B100" s="77"/>
      <c r="C100" s="78">
        <v>2030</v>
      </c>
      <c r="D100" s="81" t="s">
        <v>213</v>
      </c>
      <c r="E100" s="75">
        <v>449868</v>
      </c>
      <c r="F100" s="75"/>
      <c r="G100" s="75">
        <f>SUM(E100:F100)</f>
        <v>449868</v>
      </c>
      <c r="H100" s="75"/>
      <c r="I100" s="75">
        <f>SUM(G100:H100)</f>
        <v>449868</v>
      </c>
      <c r="J100" s="75"/>
      <c r="K100" s="75">
        <f>SUM(I100:J100)</f>
        <v>449868</v>
      </c>
      <c r="L100" s="75"/>
      <c r="M100" s="75">
        <f>SUM(K100:L100)</f>
        <v>449868</v>
      </c>
      <c r="N100" s="75"/>
      <c r="O100" s="75">
        <f>SUM(M100:N100)</f>
        <v>449868</v>
      </c>
    </row>
    <row r="101" spans="1:15" s="27" customFormat="1" ht="20.25" customHeight="1">
      <c r="A101" s="76"/>
      <c r="B101" s="77" t="s">
        <v>156</v>
      </c>
      <c r="C101" s="84"/>
      <c r="D101" s="81" t="s">
        <v>58</v>
      </c>
      <c r="E101" s="75">
        <f aca="true" t="shared" si="45" ref="E101:K101">SUM(E102:E106)</f>
        <v>377449</v>
      </c>
      <c r="F101" s="75">
        <f t="shared" si="45"/>
        <v>0</v>
      </c>
      <c r="G101" s="75">
        <f t="shared" si="45"/>
        <v>377449</v>
      </c>
      <c r="H101" s="75">
        <f t="shared" si="45"/>
        <v>0</v>
      </c>
      <c r="I101" s="75">
        <f t="shared" si="45"/>
        <v>377449</v>
      </c>
      <c r="J101" s="75">
        <f t="shared" si="45"/>
        <v>5500</v>
      </c>
      <c r="K101" s="75">
        <f t="shared" si="45"/>
        <v>382949</v>
      </c>
      <c r="L101" s="75">
        <f>SUM(L102:L106)</f>
        <v>0</v>
      </c>
      <c r="M101" s="75">
        <f>SUM(M102:M106)</f>
        <v>382949</v>
      </c>
      <c r="N101" s="75">
        <f>SUM(N102:N106)</f>
        <v>13351</v>
      </c>
      <c r="O101" s="75">
        <f>SUM(O102:O106)</f>
        <v>396300</v>
      </c>
    </row>
    <row r="102" spans="1:15" s="27" customFormat="1" ht="67.5">
      <c r="A102" s="76"/>
      <c r="B102" s="77"/>
      <c r="C102" s="83" t="s">
        <v>161</v>
      </c>
      <c r="D102" s="41" t="s">
        <v>55</v>
      </c>
      <c r="E102" s="75">
        <v>2800</v>
      </c>
      <c r="F102" s="75"/>
      <c r="G102" s="75">
        <f>SUM(E102:F102)</f>
        <v>2800</v>
      </c>
      <c r="H102" s="75"/>
      <c r="I102" s="75">
        <f>SUM(G102:H102)</f>
        <v>2800</v>
      </c>
      <c r="J102" s="75"/>
      <c r="K102" s="75">
        <f>SUM(I102:J102)</f>
        <v>2800</v>
      </c>
      <c r="L102" s="75"/>
      <c r="M102" s="75">
        <f>SUM(K102:L102)</f>
        <v>2800</v>
      </c>
      <c r="N102" s="75"/>
      <c r="O102" s="75">
        <f>SUM(M102:N102)</f>
        <v>2800</v>
      </c>
    </row>
    <row r="103" spans="1:15" s="27" customFormat="1" ht="20.25" customHeight="1">
      <c r="A103" s="76"/>
      <c r="B103" s="77"/>
      <c r="C103" s="83" t="s">
        <v>162</v>
      </c>
      <c r="D103" s="81" t="s">
        <v>11</v>
      </c>
      <c r="E103" s="75">
        <v>200</v>
      </c>
      <c r="F103" s="75"/>
      <c r="G103" s="75">
        <f>SUM(E103:F103)</f>
        <v>200</v>
      </c>
      <c r="H103" s="75"/>
      <c r="I103" s="75">
        <f>SUM(G103:H103)</f>
        <v>200</v>
      </c>
      <c r="J103" s="75"/>
      <c r="K103" s="75">
        <f>SUM(I103:J103)</f>
        <v>200</v>
      </c>
      <c r="L103" s="75"/>
      <c r="M103" s="75">
        <f>SUM(K103:L103)</f>
        <v>200</v>
      </c>
      <c r="N103" s="75"/>
      <c r="O103" s="75">
        <f>SUM(M103:N103)</f>
        <v>200</v>
      </c>
    </row>
    <row r="104" spans="1:15" s="27" customFormat="1" ht="16.5" customHeight="1">
      <c r="A104" s="76"/>
      <c r="B104" s="77"/>
      <c r="C104" s="83" t="s">
        <v>163</v>
      </c>
      <c r="D104" s="41" t="s">
        <v>12</v>
      </c>
      <c r="E104" s="75">
        <v>150</v>
      </c>
      <c r="F104" s="75"/>
      <c r="G104" s="75">
        <f>SUM(E104:F104)</f>
        <v>150</v>
      </c>
      <c r="H104" s="75"/>
      <c r="I104" s="75">
        <f>SUM(G104:H104)</f>
        <v>150</v>
      </c>
      <c r="J104" s="75"/>
      <c r="K104" s="75">
        <f>SUM(I104:J104)</f>
        <v>150</v>
      </c>
      <c r="L104" s="75"/>
      <c r="M104" s="75">
        <f>SUM(K104:L104)</f>
        <v>150</v>
      </c>
      <c r="N104" s="75"/>
      <c r="O104" s="75">
        <f>SUM(M104:N104)</f>
        <v>150</v>
      </c>
    </row>
    <row r="105" spans="1:15" s="27" customFormat="1" ht="56.25">
      <c r="A105" s="76"/>
      <c r="B105" s="77"/>
      <c r="C105" s="83">
        <v>2010</v>
      </c>
      <c r="D105" s="81" t="s">
        <v>212</v>
      </c>
      <c r="E105" s="75"/>
      <c r="F105" s="75"/>
      <c r="G105" s="75"/>
      <c r="H105" s="75"/>
      <c r="I105" s="75">
        <v>0</v>
      </c>
      <c r="J105" s="75">
        <v>5500</v>
      </c>
      <c r="K105" s="75">
        <f>SUM(I105:J105)</f>
        <v>5500</v>
      </c>
      <c r="L105" s="75"/>
      <c r="M105" s="75">
        <f>SUM(K105:L105)</f>
        <v>5500</v>
      </c>
      <c r="N105" s="75"/>
      <c r="O105" s="75">
        <f>SUM(M105:N105)</f>
        <v>5500</v>
      </c>
    </row>
    <row r="106" spans="1:15" s="27" customFormat="1" ht="33.75">
      <c r="A106" s="76"/>
      <c r="B106" s="77"/>
      <c r="C106" s="78">
        <v>2030</v>
      </c>
      <c r="D106" s="81" t="s">
        <v>213</v>
      </c>
      <c r="E106" s="75">
        <v>374299</v>
      </c>
      <c r="F106" s="75"/>
      <c r="G106" s="75">
        <f>SUM(E106:F106)</f>
        <v>374299</v>
      </c>
      <c r="H106" s="75"/>
      <c r="I106" s="75">
        <f>SUM(G106:H106)</f>
        <v>374299</v>
      </c>
      <c r="J106" s="75"/>
      <c r="K106" s="75">
        <f>SUM(I106:J106)</f>
        <v>374299</v>
      </c>
      <c r="L106" s="75"/>
      <c r="M106" s="75">
        <f>SUM(K106:L106)</f>
        <v>374299</v>
      </c>
      <c r="N106" s="75">
        <v>13351</v>
      </c>
      <c r="O106" s="75">
        <f>SUM(M106:N106)</f>
        <v>387650</v>
      </c>
    </row>
    <row r="107" spans="1:15" s="27" customFormat="1" ht="18" customHeight="1">
      <c r="A107" s="76"/>
      <c r="B107" s="77">
        <v>85295</v>
      </c>
      <c r="C107" s="78"/>
      <c r="D107" s="81" t="s">
        <v>201</v>
      </c>
      <c r="E107" s="75">
        <f aca="true" t="shared" si="46" ref="E107:K107">SUM(E108:E109)</f>
        <v>356895</v>
      </c>
      <c r="F107" s="75">
        <f t="shared" si="46"/>
        <v>530000</v>
      </c>
      <c r="G107" s="75">
        <f t="shared" si="46"/>
        <v>886895</v>
      </c>
      <c r="H107" s="75">
        <f t="shared" si="46"/>
        <v>0</v>
      </c>
      <c r="I107" s="75">
        <f t="shared" si="46"/>
        <v>886895</v>
      </c>
      <c r="J107" s="75">
        <f t="shared" si="46"/>
        <v>0</v>
      </c>
      <c r="K107" s="75">
        <f t="shared" si="46"/>
        <v>886895</v>
      </c>
      <c r="L107" s="75">
        <f>SUM(L108:L109)</f>
        <v>0</v>
      </c>
      <c r="M107" s="75">
        <f>SUM(M108:M109)</f>
        <v>886895</v>
      </c>
      <c r="N107" s="75">
        <f>SUM(N108:N109)</f>
        <v>69400</v>
      </c>
      <c r="O107" s="75">
        <f>SUM(O108:O109)</f>
        <v>956295</v>
      </c>
    </row>
    <row r="108" spans="1:15" s="27" customFormat="1" ht="19.5" customHeight="1">
      <c r="A108" s="76"/>
      <c r="B108" s="77"/>
      <c r="C108" s="83" t="s">
        <v>192</v>
      </c>
      <c r="D108" s="81" t="s">
        <v>193</v>
      </c>
      <c r="E108" s="75">
        <v>356895</v>
      </c>
      <c r="F108" s="75"/>
      <c r="G108" s="75">
        <f>SUM(E108:F108)</f>
        <v>356895</v>
      </c>
      <c r="H108" s="75"/>
      <c r="I108" s="75">
        <f>SUM(G108:H108)</f>
        <v>356895</v>
      </c>
      <c r="J108" s="75"/>
      <c r="K108" s="75">
        <f>SUM(I108:J108)</f>
        <v>356895</v>
      </c>
      <c r="L108" s="75"/>
      <c r="M108" s="75">
        <f>SUM(K108:L108)</f>
        <v>356895</v>
      </c>
      <c r="N108" s="75"/>
      <c r="O108" s="75">
        <f>SUM(M108:N108)</f>
        <v>356895</v>
      </c>
    </row>
    <row r="109" spans="1:15" s="27" customFormat="1" ht="33.75">
      <c r="A109" s="76"/>
      <c r="B109" s="77"/>
      <c r="C109" s="83">
        <v>2030</v>
      </c>
      <c r="D109" s="81" t="s">
        <v>213</v>
      </c>
      <c r="E109" s="75">
        <v>0</v>
      </c>
      <c r="F109" s="75">
        <v>530000</v>
      </c>
      <c r="G109" s="75">
        <f>SUM(E109:F109)</f>
        <v>530000</v>
      </c>
      <c r="H109" s="75"/>
      <c r="I109" s="75">
        <f>SUM(G109:H109)</f>
        <v>530000</v>
      </c>
      <c r="J109" s="75"/>
      <c r="K109" s="75">
        <f>SUM(I109:J109)</f>
        <v>530000</v>
      </c>
      <c r="L109" s="75"/>
      <c r="M109" s="75">
        <f>SUM(K109:L109)</f>
        <v>530000</v>
      </c>
      <c r="N109" s="75">
        <v>69400</v>
      </c>
      <c r="O109" s="75">
        <f>SUM(M109:N109)</f>
        <v>599400</v>
      </c>
    </row>
    <row r="110" spans="1:15" s="201" customFormat="1" ht="24" customHeight="1">
      <c r="A110" s="299">
        <v>854</v>
      </c>
      <c r="B110" s="300"/>
      <c r="C110" s="301"/>
      <c r="D110" s="302" t="s">
        <v>59</v>
      </c>
      <c r="E110" s="303"/>
      <c r="F110" s="303"/>
      <c r="G110" s="303"/>
      <c r="H110" s="303"/>
      <c r="I110" s="303"/>
      <c r="J110" s="303"/>
      <c r="K110" s="303">
        <f aca="true" t="shared" si="47" ref="K110:O111">SUM(K111)</f>
        <v>0</v>
      </c>
      <c r="L110" s="303">
        <f t="shared" si="47"/>
        <v>279792</v>
      </c>
      <c r="M110" s="303">
        <f t="shared" si="47"/>
        <v>279792</v>
      </c>
      <c r="N110" s="303">
        <f t="shared" si="47"/>
        <v>0</v>
      </c>
      <c r="O110" s="303">
        <f t="shared" si="47"/>
        <v>279792</v>
      </c>
    </row>
    <row r="111" spans="1:15" s="27" customFormat="1" ht="21.75" customHeight="1">
      <c r="A111" s="76"/>
      <c r="B111" s="77">
        <v>85415</v>
      </c>
      <c r="C111" s="83"/>
      <c r="D111" s="81" t="s">
        <v>497</v>
      </c>
      <c r="E111" s="75"/>
      <c r="F111" s="75"/>
      <c r="G111" s="75"/>
      <c r="H111" s="75"/>
      <c r="I111" s="75"/>
      <c r="J111" s="75"/>
      <c r="K111" s="75">
        <f t="shared" si="47"/>
        <v>0</v>
      </c>
      <c r="L111" s="75">
        <f t="shared" si="47"/>
        <v>279792</v>
      </c>
      <c r="M111" s="75">
        <f t="shared" si="47"/>
        <v>279792</v>
      </c>
      <c r="N111" s="75">
        <f t="shared" si="47"/>
        <v>0</v>
      </c>
      <c r="O111" s="75">
        <f t="shared" si="47"/>
        <v>279792</v>
      </c>
    </row>
    <row r="112" spans="1:15" s="27" customFormat="1" ht="33.75">
      <c r="A112" s="76"/>
      <c r="B112" s="77"/>
      <c r="C112" s="83">
        <v>2030</v>
      </c>
      <c r="D112" s="81" t="s">
        <v>213</v>
      </c>
      <c r="E112" s="75"/>
      <c r="F112" s="75"/>
      <c r="G112" s="75"/>
      <c r="H112" s="75"/>
      <c r="I112" s="75"/>
      <c r="J112" s="75"/>
      <c r="K112" s="75">
        <v>0</v>
      </c>
      <c r="L112" s="75">
        <v>279792</v>
      </c>
      <c r="M112" s="75">
        <f>SUM(K112:L112)</f>
        <v>279792</v>
      </c>
      <c r="N112" s="75"/>
      <c r="O112" s="75">
        <f>SUM(M112:N112)</f>
        <v>279792</v>
      </c>
    </row>
    <row r="113" spans="1:15" s="8" customFormat="1" ht="24" customHeight="1">
      <c r="A113" s="32">
        <v>900</v>
      </c>
      <c r="B113" s="34"/>
      <c r="C113" s="35"/>
      <c r="D113" s="33" t="s">
        <v>61</v>
      </c>
      <c r="E113" s="62">
        <f>SUM(E118,E114)</f>
        <v>16000</v>
      </c>
      <c r="F113" s="62">
        <f>SUM(F118,F114)</f>
        <v>0</v>
      </c>
      <c r="G113" s="62">
        <f>SUM(G118,G114)</f>
        <v>16000</v>
      </c>
      <c r="H113" s="62">
        <f>SUM(H118,H114)</f>
        <v>0</v>
      </c>
      <c r="I113" s="62">
        <f aca="true" t="shared" si="48" ref="I113:O113">SUM(I118,I114,I116)</f>
        <v>16000</v>
      </c>
      <c r="J113" s="62">
        <f t="shared" si="48"/>
        <v>200000</v>
      </c>
      <c r="K113" s="62">
        <f t="shared" si="48"/>
        <v>216000</v>
      </c>
      <c r="L113" s="62">
        <f t="shared" si="48"/>
        <v>0</v>
      </c>
      <c r="M113" s="62">
        <f t="shared" si="48"/>
        <v>216000</v>
      </c>
      <c r="N113" s="62">
        <f t="shared" si="48"/>
        <v>0</v>
      </c>
      <c r="O113" s="62">
        <f t="shared" si="48"/>
        <v>216000</v>
      </c>
    </row>
    <row r="114" spans="1:15" s="147" customFormat="1" ht="19.5" customHeight="1">
      <c r="A114" s="148"/>
      <c r="B114" s="149">
        <v>90001</v>
      </c>
      <c r="C114" s="150"/>
      <c r="D114" s="41" t="s">
        <v>62</v>
      </c>
      <c r="E114" s="75">
        <f aca="true" t="shared" si="49" ref="E114:O114">SUM(E115)</f>
        <v>10000</v>
      </c>
      <c r="F114" s="75">
        <f t="shared" si="49"/>
        <v>0</v>
      </c>
      <c r="G114" s="75">
        <f t="shared" si="49"/>
        <v>10000</v>
      </c>
      <c r="H114" s="75">
        <f t="shared" si="49"/>
        <v>0</v>
      </c>
      <c r="I114" s="75">
        <f t="shared" si="49"/>
        <v>10000</v>
      </c>
      <c r="J114" s="75">
        <f t="shared" si="49"/>
        <v>0</v>
      </c>
      <c r="K114" s="75">
        <f t="shared" si="49"/>
        <v>10000</v>
      </c>
      <c r="L114" s="75">
        <f t="shared" si="49"/>
        <v>0</v>
      </c>
      <c r="M114" s="75">
        <f t="shared" si="49"/>
        <v>10000</v>
      </c>
      <c r="N114" s="75">
        <f t="shared" si="49"/>
        <v>0</v>
      </c>
      <c r="O114" s="75">
        <f t="shared" si="49"/>
        <v>10000</v>
      </c>
    </row>
    <row r="115" spans="1:15" s="147" customFormat="1" ht="19.5" customHeight="1">
      <c r="A115" s="151"/>
      <c r="B115" s="152"/>
      <c r="C115" s="83" t="s">
        <v>163</v>
      </c>
      <c r="D115" s="81" t="s">
        <v>12</v>
      </c>
      <c r="E115" s="75">
        <v>10000</v>
      </c>
      <c r="F115" s="75"/>
      <c r="G115" s="75">
        <f>SUM(E115:F115)</f>
        <v>10000</v>
      </c>
      <c r="H115" s="75"/>
      <c r="I115" s="75">
        <f>SUM(G115:H115)</f>
        <v>10000</v>
      </c>
      <c r="J115" s="75"/>
      <c r="K115" s="75">
        <f>SUM(I115:J115)</f>
        <v>10000</v>
      </c>
      <c r="L115" s="75"/>
      <c r="M115" s="75">
        <f>SUM(K115:L115)</f>
        <v>10000</v>
      </c>
      <c r="N115" s="75"/>
      <c r="O115" s="75">
        <f>SUM(M115:N115)</f>
        <v>10000</v>
      </c>
    </row>
    <row r="116" spans="1:15" s="147" customFormat="1" ht="33.75">
      <c r="A116" s="148"/>
      <c r="B116" s="149">
        <v>90019</v>
      </c>
      <c r="C116" s="253"/>
      <c r="D116" s="249" t="s">
        <v>412</v>
      </c>
      <c r="E116" s="248"/>
      <c r="F116" s="248"/>
      <c r="G116" s="248"/>
      <c r="H116" s="248"/>
      <c r="I116" s="248">
        <f aca="true" t="shared" si="50" ref="I116:O116">SUM(I117)</f>
        <v>0</v>
      </c>
      <c r="J116" s="248">
        <f t="shared" si="50"/>
        <v>200000</v>
      </c>
      <c r="K116" s="248">
        <f t="shared" si="50"/>
        <v>200000</v>
      </c>
      <c r="L116" s="248">
        <f t="shared" si="50"/>
        <v>0</v>
      </c>
      <c r="M116" s="248">
        <f t="shared" si="50"/>
        <v>200000</v>
      </c>
      <c r="N116" s="248">
        <f t="shared" si="50"/>
        <v>0</v>
      </c>
      <c r="O116" s="248">
        <f t="shared" si="50"/>
        <v>200000</v>
      </c>
    </row>
    <row r="117" spans="1:15" s="147" customFormat="1" ht="24" customHeight="1">
      <c r="A117" s="151"/>
      <c r="B117" s="152"/>
      <c r="C117" s="83" t="s">
        <v>183</v>
      </c>
      <c r="D117" s="41" t="s">
        <v>144</v>
      </c>
      <c r="E117" s="75"/>
      <c r="F117" s="75"/>
      <c r="G117" s="75"/>
      <c r="H117" s="75"/>
      <c r="I117" s="75">
        <v>0</v>
      </c>
      <c r="J117" s="75">
        <v>200000</v>
      </c>
      <c r="K117" s="75">
        <f>SUM(I117:J117)</f>
        <v>200000</v>
      </c>
      <c r="L117" s="75"/>
      <c r="M117" s="75">
        <f>SUM(K117:L117)</f>
        <v>200000</v>
      </c>
      <c r="N117" s="75"/>
      <c r="O117" s="75">
        <f>SUM(M117:N117)</f>
        <v>200000</v>
      </c>
    </row>
    <row r="118" spans="1:15" s="27" customFormat="1" ht="19.5" customHeight="1">
      <c r="A118" s="76"/>
      <c r="B118" s="77">
        <v>90095</v>
      </c>
      <c r="C118" s="78"/>
      <c r="D118" s="81" t="s">
        <v>6</v>
      </c>
      <c r="E118" s="75">
        <f aca="true" t="shared" si="51" ref="E118:O118">SUM(E119)</f>
        <v>6000</v>
      </c>
      <c r="F118" s="75">
        <f t="shared" si="51"/>
        <v>0</v>
      </c>
      <c r="G118" s="75">
        <f t="shared" si="51"/>
        <v>6000</v>
      </c>
      <c r="H118" s="75">
        <f t="shared" si="51"/>
        <v>0</v>
      </c>
      <c r="I118" s="75">
        <f t="shared" si="51"/>
        <v>6000</v>
      </c>
      <c r="J118" s="75">
        <f t="shared" si="51"/>
        <v>0</v>
      </c>
      <c r="K118" s="75">
        <f t="shared" si="51"/>
        <v>6000</v>
      </c>
      <c r="L118" s="75">
        <f t="shared" si="51"/>
        <v>0</v>
      </c>
      <c r="M118" s="75">
        <f t="shared" si="51"/>
        <v>6000</v>
      </c>
      <c r="N118" s="75">
        <f t="shared" si="51"/>
        <v>0</v>
      </c>
      <c r="O118" s="75">
        <f t="shared" si="51"/>
        <v>6000</v>
      </c>
    </row>
    <row r="119" spans="1:15" s="27" customFormat="1" ht="18" customHeight="1">
      <c r="A119" s="76"/>
      <c r="B119" s="77"/>
      <c r="C119" s="78" t="s">
        <v>177</v>
      </c>
      <c r="D119" s="81" t="s">
        <v>256</v>
      </c>
      <c r="E119" s="75">
        <v>6000</v>
      </c>
      <c r="F119" s="75"/>
      <c r="G119" s="75">
        <f>SUM(E119:F119)</f>
        <v>6000</v>
      </c>
      <c r="H119" s="75"/>
      <c r="I119" s="75">
        <f>SUM(G119:H119)</f>
        <v>6000</v>
      </c>
      <c r="J119" s="75"/>
      <c r="K119" s="75">
        <f>SUM(I119:J119)</f>
        <v>6000</v>
      </c>
      <c r="L119" s="75"/>
      <c r="M119" s="75">
        <f>SUM(K119:L119)</f>
        <v>6000</v>
      </c>
      <c r="N119" s="75"/>
      <c r="O119" s="75">
        <f>SUM(M119:N119)</f>
        <v>6000</v>
      </c>
    </row>
    <row r="120" spans="1:15" s="8" customFormat="1" ht="24" customHeight="1">
      <c r="A120" s="32" t="s">
        <v>63</v>
      </c>
      <c r="B120" s="3"/>
      <c r="C120" s="4"/>
      <c r="D120" s="33" t="s">
        <v>69</v>
      </c>
      <c r="E120" s="62">
        <f>SUM(E123)</f>
        <v>60000</v>
      </c>
      <c r="F120" s="62">
        <f>SUM(F123)</f>
        <v>0</v>
      </c>
      <c r="G120" s="62">
        <f>SUM(G123)</f>
        <v>60000</v>
      </c>
      <c r="H120" s="62">
        <f>SUM(H123)</f>
        <v>0</v>
      </c>
      <c r="I120" s="62">
        <f aca="true" t="shared" si="52" ref="I120:O120">SUM(I123,I121)</f>
        <v>60000</v>
      </c>
      <c r="J120" s="62">
        <f t="shared" si="52"/>
        <v>11400</v>
      </c>
      <c r="K120" s="62">
        <f t="shared" si="52"/>
        <v>71400</v>
      </c>
      <c r="L120" s="62">
        <f t="shared" si="52"/>
        <v>0</v>
      </c>
      <c r="M120" s="62">
        <f t="shared" si="52"/>
        <v>71400</v>
      </c>
      <c r="N120" s="62">
        <f t="shared" si="52"/>
        <v>0</v>
      </c>
      <c r="O120" s="62">
        <f t="shared" si="52"/>
        <v>71400</v>
      </c>
    </row>
    <row r="121" spans="1:15" s="147" customFormat="1" ht="20.25" customHeight="1">
      <c r="A121" s="148"/>
      <c r="B121" s="155">
        <v>92105</v>
      </c>
      <c r="C121" s="165"/>
      <c r="D121" s="249" t="s">
        <v>406</v>
      </c>
      <c r="E121" s="248"/>
      <c r="F121" s="248"/>
      <c r="G121" s="248"/>
      <c r="H121" s="248"/>
      <c r="I121" s="248">
        <f aca="true" t="shared" si="53" ref="I121:O121">SUM(I122)</f>
        <v>0</v>
      </c>
      <c r="J121" s="248">
        <f t="shared" si="53"/>
        <v>11400</v>
      </c>
      <c r="K121" s="248">
        <f t="shared" si="53"/>
        <v>11400</v>
      </c>
      <c r="L121" s="248">
        <f t="shared" si="53"/>
        <v>0</v>
      </c>
      <c r="M121" s="248">
        <f t="shared" si="53"/>
        <v>11400</v>
      </c>
      <c r="N121" s="248">
        <f t="shared" si="53"/>
        <v>0</v>
      </c>
      <c r="O121" s="248">
        <f t="shared" si="53"/>
        <v>11400</v>
      </c>
    </row>
    <row r="122" spans="1:15" s="8" customFormat="1" ht="45">
      <c r="A122" s="32"/>
      <c r="B122" s="3"/>
      <c r="C122" s="78">
        <v>2320</v>
      </c>
      <c r="D122" s="81" t="s">
        <v>214</v>
      </c>
      <c r="E122" s="62"/>
      <c r="F122" s="62"/>
      <c r="G122" s="62"/>
      <c r="H122" s="62"/>
      <c r="I122" s="248">
        <v>0</v>
      </c>
      <c r="J122" s="248">
        <f>1000+300+300+500+300+500+1000+2000+1000+3500+1000</f>
        <v>11400</v>
      </c>
      <c r="K122" s="248">
        <f>SUM(I122:J122)</f>
        <v>11400</v>
      </c>
      <c r="L122" s="248"/>
      <c r="M122" s="248">
        <f>SUM(K122:L122)</f>
        <v>11400</v>
      </c>
      <c r="N122" s="248"/>
      <c r="O122" s="248">
        <f>SUM(M122:N122)</f>
        <v>11400</v>
      </c>
    </row>
    <row r="123" spans="1:15" s="27" customFormat="1" ht="19.5" customHeight="1">
      <c r="A123" s="76"/>
      <c r="B123" s="77" t="s">
        <v>64</v>
      </c>
      <c r="C123" s="84"/>
      <c r="D123" s="81" t="s">
        <v>65</v>
      </c>
      <c r="E123" s="75">
        <f aca="true" t="shared" si="54" ref="E123:O123">SUM(E124)</f>
        <v>60000</v>
      </c>
      <c r="F123" s="75">
        <f t="shared" si="54"/>
        <v>0</v>
      </c>
      <c r="G123" s="75">
        <f t="shared" si="54"/>
        <v>60000</v>
      </c>
      <c r="H123" s="75">
        <f t="shared" si="54"/>
        <v>0</v>
      </c>
      <c r="I123" s="75">
        <f t="shared" si="54"/>
        <v>60000</v>
      </c>
      <c r="J123" s="75">
        <f t="shared" si="54"/>
        <v>0</v>
      </c>
      <c r="K123" s="75">
        <f t="shared" si="54"/>
        <v>60000</v>
      </c>
      <c r="L123" s="75">
        <f t="shared" si="54"/>
        <v>0</v>
      </c>
      <c r="M123" s="75">
        <f t="shared" si="54"/>
        <v>60000</v>
      </c>
      <c r="N123" s="75">
        <f t="shared" si="54"/>
        <v>0</v>
      </c>
      <c r="O123" s="75">
        <f t="shared" si="54"/>
        <v>60000</v>
      </c>
    </row>
    <row r="124" spans="1:15" s="27" customFormat="1" ht="45">
      <c r="A124" s="77"/>
      <c r="B124" s="77"/>
      <c r="C124" s="78">
        <v>2320</v>
      </c>
      <c r="D124" s="81" t="s">
        <v>214</v>
      </c>
      <c r="E124" s="75">
        <v>60000</v>
      </c>
      <c r="F124" s="75"/>
      <c r="G124" s="75">
        <f>SUM(E124:F124)</f>
        <v>60000</v>
      </c>
      <c r="H124" s="75"/>
      <c r="I124" s="75">
        <f>SUM(G124:H124)</f>
        <v>60000</v>
      </c>
      <c r="J124" s="75"/>
      <c r="K124" s="75">
        <f>SUM(I124:J124)</f>
        <v>60000</v>
      </c>
      <c r="L124" s="75"/>
      <c r="M124" s="75">
        <f>SUM(K124:L124)</f>
        <v>60000</v>
      </c>
      <c r="N124" s="75"/>
      <c r="O124" s="75">
        <f>SUM(M124:N124)</f>
        <v>60000</v>
      </c>
    </row>
    <row r="125" spans="1:15" s="194" customFormat="1" ht="19.5" customHeight="1">
      <c r="A125" s="246">
        <v>926</v>
      </c>
      <c r="B125" s="246"/>
      <c r="C125" s="246"/>
      <c r="D125" s="206" t="s">
        <v>66</v>
      </c>
      <c r="E125" s="247"/>
      <c r="F125" s="247"/>
      <c r="G125" s="247"/>
      <c r="H125" s="247"/>
      <c r="I125" s="247">
        <f aca="true" t="shared" si="55" ref="I125:O126">SUM(I126)</f>
        <v>0</v>
      </c>
      <c r="J125" s="247">
        <f t="shared" si="55"/>
        <v>2200</v>
      </c>
      <c r="K125" s="247">
        <f t="shared" si="55"/>
        <v>2200</v>
      </c>
      <c r="L125" s="247">
        <f t="shared" si="55"/>
        <v>0</v>
      </c>
      <c r="M125" s="247">
        <f t="shared" si="55"/>
        <v>2200</v>
      </c>
      <c r="N125" s="247">
        <f t="shared" si="55"/>
        <v>0</v>
      </c>
      <c r="O125" s="247">
        <f t="shared" si="55"/>
        <v>2200</v>
      </c>
    </row>
    <row r="126" spans="1:15" s="27" customFormat="1" ht="17.25" customHeight="1">
      <c r="A126" s="77"/>
      <c r="B126" s="77">
        <v>92605</v>
      </c>
      <c r="C126" s="77"/>
      <c r="D126" s="14" t="s">
        <v>67</v>
      </c>
      <c r="E126" s="75"/>
      <c r="F126" s="75"/>
      <c r="G126" s="75"/>
      <c r="H126" s="75"/>
      <c r="I126" s="75">
        <f t="shared" si="55"/>
        <v>0</v>
      </c>
      <c r="J126" s="75">
        <f t="shared" si="55"/>
        <v>2200</v>
      </c>
      <c r="K126" s="75">
        <f t="shared" si="55"/>
        <v>2200</v>
      </c>
      <c r="L126" s="75">
        <f t="shared" si="55"/>
        <v>0</v>
      </c>
      <c r="M126" s="75">
        <f t="shared" si="55"/>
        <v>2200</v>
      </c>
      <c r="N126" s="75">
        <f t="shared" si="55"/>
        <v>0</v>
      </c>
      <c r="O126" s="75">
        <f t="shared" si="55"/>
        <v>2200</v>
      </c>
    </row>
    <row r="127" spans="1:15" s="27" customFormat="1" ht="45">
      <c r="A127" s="77"/>
      <c r="B127" s="77"/>
      <c r="C127" s="77">
        <v>2320</v>
      </c>
      <c r="D127" s="14" t="s">
        <v>214</v>
      </c>
      <c r="E127" s="75"/>
      <c r="F127" s="75"/>
      <c r="G127" s="75"/>
      <c r="H127" s="75"/>
      <c r="I127" s="75">
        <v>0</v>
      </c>
      <c r="J127" s="75">
        <f>1500+700</f>
        <v>2200</v>
      </c>
      <c r="K127" s="75">
        <f>SUM(I127:J127)</f>
        <v>2200</v>
      </c>
      <c r="L127" s="75"/>
      <c r="M127" s="75">
        <f>SUM(K127:L127)</f>
        <v>2200</v>
      </c>
      <c r="N127" s="75"/>
      <c r="O127" s="75">
        <f>SUM(M127:N127)</f>
        <v>2200</v>
      </c>
    </row>
    <row r="128" spans="1:15" ht="18.75" customHeight="1">
      <c r="A128" s="15"/>
      <c r="B128" s="16"/>
      <c r="C128" s="17"/>
      <c r="D128" s="18" t="s">
        <v>68</v>
      </c>
      <c r="E128" s="62">
        <f>SUM(E7,E11,E19,E24,E27,E31,E62,E90,E113,E120,E71)</f>
        <v>57140821</v>
      </c>
      <c r="F128" s="62">
        <f>SUM(F7,F11,F19,F24,F27,F31,F62,F90,F113,F120,F71)</f>
        <v>530000</v>
      </c>
      <c r="G128" s="62">
        <f>SUM(E128:F128)</f>
        <v>57670821</v>
      </c>
      <c r="H128" s="62">
        <f>SUM(H7,H11,H19,H24,H27,H31,H62,H90,H113,H120,H71)</f>
        <v>-73</v>
      </c>
      <c r="I128" s="62">
        <f>SUM(G128:H128)</f>
        <v>57670748</v>
      </c>
      <c r="J128" s="62">
        <f>SUM(J7,J11,J19,J24,J27,J31,J62,J90,J113,J120,J71,J125)</f>
        <v>-51671</v>
      </c>
      <c r="K128" s="62">
        <f>SUM(K7,K11,K19,K24,K27,K31,K62,K90,K113,K120,K71,K125,K110)</f>
        <v>57619077</v>
      </c>
      <c r="L128" s="62">
        <f>SUM(L7,L11,L19,L24,L27,L31,L62,L90,L113,L120,L71,L125,L110)</f>
        <v>436012</v>
      </c>
      <c r="M128" s="62">
        <f>SUM(M7,M11,M19,M24,M27,M31,M62,M90,M113,M120,M71,M125,M110)</f>
        <v>58055089</v>
      </c>
      <c r="N128" s="62">
        <f>SUM(N7,N11,N19,N24,N27,N31,N62,N90,N113,N120,N71,N125,N110)</f>
        <v>158567</v>
      </c>
      <c r="O128" s="62">
        <f>SUM(O7,O11,O19,O24,O27,O31,O62,O90,O113,O120,O71,O125,O110)</f>
        <v>58213656</v>
      </c>
    </row>
    <row r="130" ht="12.75">
      <c r="D130" s="108"/>
    </row>
    <row r="131" spans="4:15" ht="12.75">
      <c r="D131" s="108"/>
      <c r="L131" s="31">
        <v>177000</v>
      </c>
      <c r="M131" s="31" t="s">
        <v>500</v>
      </c>
      <c r="N131" s="31">
        <v>69400</v>
      </c>
      <c r="O131" s="31" t="s">
        <v>516</v>
      </c>
    </row>
    <row r="132" spans="4:15" ht="12.75">
      <c r="D132" s="108"/>
      <c r="L132" s="31">
        <v>40000</v>
      </c>
      <c r="M132" s="31" t="s">
        <v>502</v>
      </c>
      <c r="N132" s="31">
        <v>13351</v>
      </c>
      <c r="O132" s="31" t="s">
        <v>517</v>
      </c>
    </row>
    <row r="133" spans="4:15" ht="12.75">
      <c r="D133" s="108"/>
      <c r="L133" s="31">
        <v>5904</v>
      </c>
      <c r="M133" s="31" t="s">
        <v>501</v>
      </c>
      <c r="N133" s="31">
        <v>11966</v>
      </c>
      <c r="O133" s="31" t="s">
        <v>518</v>
      </c>
    </row>
    <row r="134" spans="4:15" ht="12.75">
      <c r="D134" s="108"/>
      <c r="L134" s="31">
        <v>279792</v>
      </c>
      <c r="M134" s="31" t="s">
        <v>503</v>
      </c>
      <c r="N134" s="31">
        <v>63850</v>
      </c>
      <c r="O134" s="31" t="s">
        <v>519</v>
      </c>
    </row>
    <row r="135" spans="4:14" ht="12.75">
      <c r="D135" s="108"/>
      <c r="L135" s="31">
        <v>-20684</v>
      </c>
      <c r="N135" s="254">
        <f>SUM(N131:N134)</f>
        <v>158567</v>
      </c>
    </row>
    <row r="136" spans="4:14" ht="12.75">
      <c r="D136" s="108"/>
      <c r="L136" s="254">
        <f>SUM(L131:L135)</f>
        <v>482012</v>
      </c>
      <c r="N136" s="254"/>
    </row>
    <row r="137" ht="12.75">
      <c r="D137" s="108"/>
    </row>
    <row r="138" ht="12.75">
      <c r="D138" s="108"/>
    </row>
    <row r="139" ht="12.75">
      <c r="D139" s="108"/>
    </row>
    <row r="140" ht="12.75">
      <c r="D140" s="108"/>
    </row>
    <row r="141" ht="12.75">
      <c r="D141" s="108"/>
    </row>
    <row r="142" ht="12.75">
      <c r="D142" s="108"/>
    </row>
    <row r="143" spans="4:14" ht="12.75">
      <c r="D143" s="108"/>
      <c r="J143" s="254"/>
      <c r="L143" s="254"/>
      <c r="N143" s="254"/>
    </row>
    <row r="144" ht="12.75">
      <c r="D144" s="108"/>
    </row>
    <row r="145" ht="12.75">
      <c r="D145" s="108"/>
    </row>
    <row r="146" ht="12.75">
      <c r="D146" s="108"/>
    </row>
    <row r="147" ht="12.75">
      <c r="D147" s="108"/>
    </row>
    <row r="148" ht="12.75">
      <c r="D148" s="108"/>
    </row>
    <row r="149" spans="4:15" ht="12.75">
      <c r="D149" s="108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ht="12.75">
      <c r="D150" s="108"/>
    </row>
    <row r="151" ht="12.75">
      <c r="D151" s="108"/>
    </row>
    <row r="152" ht="12.75">
      <c r="D152" s="108"/>
    </row>
    <row r="153" ht="12.75">
      <c r="D153" s="108"/>
    </row>
    <row r="154" ht="12.75">
      <c r="D154" s="108"/>
    </row>
    <row r="155" spans="4:15" ht="12.75">
      <c r="D155" s="108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ht="12.75">
      <c r="D156" s="108"/>
    </row>
    <row r="157" ht="12.75">
      <c r="D157" s="108"/>
    </row>
    <row r="158" ht="12.75">
      <c r="D158" s="108"/>
    </row>
    <row r="159" ht="12.75">
      <c r="D159" s="108"/>
    </row>
    <row r="160" ht="12.75">
      <c r="D160" s="108"/>
    </row>
    <row r="161" ht="12.75">
      <c r="D161" s="107"/>
    </row>
    <row r="174" spans="5:15" ht="12.75"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5:15" ht="12.75"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22.375" style="0" customWidth="1"/>
    <col min="4" max="4" width="15.125" style="0" customWidth="1"/>
    <col min="5" max="5" width="14.125" style="0" customWidth="1"/>
    <col min="6" max="6" width="15.875" style="0" customWidth="1"/>
    <col min="7" max="7" width="15.375" style="139" customWidth="1"/>
    <col min="8" max="8" width="14.375" style="139" customWidth="1"/>
    <col min="9" max="9" width="13.625" style="139" customWidth="1"/>
  </cols>
  <sheetData>
    <row r="1" spans="1:9" ht="12.75">
      <c r="A1" s="171"/>
      <c r="B1" s="171"/>
      <c r="C1" s="171"/>
      <c r="D1" s="171"/>
      <c r="E1" s="171"/>
      <c r="F1" s="172"/>
      <c r="G1" s="61" t="s">
        <v>506</v>
      </c>
      <c r="H1" s="173"/>
      <c r="I1" s="174"/>
    </row>
    <row r="2" spans="1:9" ht="12.75">
      <c r="A2" s="171"/>
      <c r="B2" s="171"/>
      <c r="C2" s="171"/>
      <c r="D2" s="171"/>
      <c r="E2" s="171"/>
      <c r="F2" s="172"/>
      <c r="G2" s="61" t="s">
        <v>489</v>
      </c>
      <c r="H2" s="173"/>
      <c r="I2" s="174"/>
    </row>
    <row r="3" spans="1:9" ht="12.75">
      <c r="A3" s="171"/>
      <c r="B3" s="171"/>
      <c r="C3" s="171"/>
      <c r="D3" s="171"/>
      <c r="E3" s="171"/>
      <c r="F3" s="172"/>
      <c r="G3" s="61" t="s">
        <v>485</v>
      </c>
      <c r="H3" s="173"/>
      <c r="I3" s="174"/>
    </row>
    <row r="4" spans="1:9" ht="12.75">
      <c r="A4" s="171"/>
      <c r="B4" s="171"/>
      <c r="C4" s="171"/>
      <c r="D4" s="171"/>
      <c r="E4" s="171"/>
      <c r="F4" s="172"/>
      <c r="G4" s="61" t="s">
        <v>486</v>
      </c>
      <c r="H4" s="173"/>
      <c r="I4" s="174"/>
    </row>
    <row r="5" spans="1:9" ht="24" customHeight="1">
      <c r="A5" s="175" t="s">
        <v>345</v>
      </c>
      <c r="B5" s="171"/>
      <c r="C5" s="175"/>
      <c r="D5" s="175"/>
      <c r="E5" s="175"/>
      <c r="F5" s="175"/>
      <c r="G5" s="174"/>
      <c r="H5" s="174"/>
      <c r="I5" s="174"/>
    </row>
    <row r="6" spans="1:9" s="140" customFormat="1" ht="21" customHeight="1">
      <c r="A6" s="366" t="s">
        <v>229</v>
      </c>
      <c r="B6" s="368" t="s">
        <v>230</v>
      </c>
      <c r="C6" s="368" t="s">
        <v>231</v>
      </c>
      <c r="D6" s="368" t="s">
        <v>232</v>
      </c>
      <c r="E6" s="368" t="s">
        <v>233</v>
      </c>
      <c r="F6" s="368" t="s">
        <v>234</v>
      </c>
      <c r="G6" s="365" t="s">
        <v>294</v>
      </c>
      <c r="H6" s="365"/>
      <c r="I6" s="365"/>
    </row>
    <row r="7" spans="1:9" s="140" customFormat="1" ht="29.25" customHeight="1">
      <c r="A7" s="336"/>
      <c r="B7" s="369"/>
      <c r="C7" s="369"/>
      <c r="D7" s="369"/>
      <c r="E7" s="369"/>
      <c r="F7" s="369"/>
      <c r="G7" s="365">
        <v>2010</v>
      </c>
      <c r="H7" s="365">
        <v>2011</v>
      </c>
      <c r="I7" s="365">
        <v>2012</v>
      </c>
    </row>
    <row r="8" spans="1:9" s="140" customFormat="1" ht="21" customHeight="1">
      <c r="A8" s="336"/>
      <c r="B8" s="370"/>
      <c r="C8" s="370"/>
      <c r="D8" s="370"/>
      <c r="E8" s="370"/>
      <c r="F8" s="370"/>
      <c r="G8" s="365"/>
      <c r="H8" s="365"/>
      <c r="I8" s="365"/>
    </row>
    <row r="9" spans="1:9" s="27" customFormat="1" ht="18" customHeight="1">
      <c r="A9" s="367"/>
      <c r="B9" s="176">
        <v>1</v>
      </c>
      <c r="C9" s="176">
        <v>2</v>
      </c>
      <c r="D9" s="177">
        <v>3</v>
      </c>
      <c r="E9" s="178">
        <v>4</v>
      </c>
      <c r="F9" s="179">
        <v>5</v>
      </c>
      <c r="G9" s="178">
        <v>6</v>
      </c>
      <c r="H9" s="178">
        <v>7</v>
      </c>
      <c r="I9" s="178">
        <v>8</v>
      </c>
    </row>
    <row r="10" spans="1:9" s="27" customFormat="1" ht="36.75" customHeight="1">
      <c r="A10" s="178" t="s">
        <v>235</v>
      </c>
      <c r="B10" s="157" t="s">
        <v>291</v>
      </c>
      <c r="C10" s="157" t="s">
        <v>298</v>
      </c>
      <c r="D10" s="180" t="s">
        <v>236</v>
      </c>
      <c r="E10" s="181" t="s">
        <v>348</v>
      </c>
      <c r="F10" s="241">
        <f>SUM(G10:I10)</f>
        <v>1300000</v>
      </c>
      <c r="G10" s="224">
        <f>500000-200000</f>
        <v>300000</v>
      </c>
      <c r="H10" s="224">
        <v>500000</v>
      </c>
      <c r="I10" s="224">
        <v>500000</v>
      </c>
    </row>
    <row r="11" spans="1:9" s="120" customFormat="1" ht="30" customHeight="1" hidden="1">
      <c r="A11" s="383" t="s">
        <v>290</v>
      </c>
      <c r="B11" s="374" t="s">
        <v>444</v>
      </c>
      <c r="C11" s="374" t="s">
        <v>295</v>
      </c>
      <c r="D11" s="377" t="s">
        <v>236</v>
      </c>
      <c r="E11" s="380" t="s">
        <v>292</v>
      </c>
      <c r="F11" s="242">
        <f>5050000-138184</f>
        <v>4911816</v>
      </c>
      <c r="G11" s="224">
        <f>4350000-138184</f>
        <v>4211816</v>
      </c>
      <c r="H11" s="224">
        <v>0</v>
      </c>
      <c r="I11" s="224">
        <v>0</v>
      </c>
    </row>
    <row r="12" spans="1:9" s="120" customFormat="1" ht="24.75" customHeight="1" hidden="1">
      <c r="A12" s="384"/>
      <c r="B12" s="375"/>
      <c r="C12" s="375"/>
      <c r="D12" s="378"/>
      <c r="E12" s="381"/>
      <c r="F12" s="242">
        <f>SUM(G12:I12)</f>
        <v>15000</v>
      </c>
      <c r="G12" s="224">
        <v>15000</v>
      </c>
      <c r="H12" s="224">
        <v>0</v>
      </c>
      <c r="I12" s="224">
        <v>0</v>
      </c>
    </row>
    <row r="13" spans="1:9" s="120" customFormat="1" ht="18.75" customHeight="1">
      <c r="A13" s="384"/>
      <c r="B13" s="375"/>
      <c r="C13" s="375"/>
      <c r="D13" s="378"/>
      <c r="E13" s="381"/>
      <c r="F13" s="242">
        <f>SUM(F11:F12)</f>
        <v>4926816</v>
      </c>
      <c r="G13" s="242">
        <f>SUM(G11:G12)</f>
        <v>4226816</v>
      </c>
      <c r="H13" s="242">
        <f>SUM(H11:H12)</f>
        <v>0</v>
      </c>
      <c r="I13" s="192">
        <f>SUM(I11:I12)</f>
        <v>0</v>
      </c>
    </row>
    <row r="14" spans="1:9" s="120" customFormat="1" ht="18" customHeight="1">
      <c r="A14" s="384"/>
      <c r="B14" s="375"/>
      <c r="C14" s="375"/>
      <c r="D14" s="378"/>
      <c r="E14" s="381"/>
      <c r="F14" s="242">
        <f>SUM(G14:I14)</f>
        <v>0</v>
      </c>
      <c r="G14" s="242"/>
      <c r="H14" s="242"/>
      <c r="I14" s="192"/>
    </row>
    <row r="15" spans="1:9" s="120" customFormat="1" ht="19.5" customHeight="1">
      <c r="A15" s="385"/>
      <c r="B15" s="376"/>
      <c r="C15" s="376"/>
      <c r="D15" s="379"/>
      <c r="E15" s="382"/>
      <c r="F15" s="242">
        <f>SUM(F13:F14)</f>
        <v>4926816</v>
      </c>
      <c r="G15" s="242">
        <f>SUM(G13:G14)</f>
        <v>4226816</v>
      </c>
      <c r="H15" s="242">
        <f>SUM(H13:H14)</f>
        <v>0</v>
      </c>
      <c r="I15" s="192">
        <f>SUM(I13:I14)</f>
        <v>0</v>
      </c>
    </row>
    <row r="16" spans="1:9" s="27" customFormat="1" ht="18.75" customHeight="1">
      <c r="A16" s="383" t="s">
        <v>237</v>
      </c>
      <c r="B16" s="374" t="s">
        <v>445</v>
      </c>
      <c r="C16" s="374" t="s">
        <v>296</v>
      </c>
      <c r="D16" s="377" t="s">
        <v>236</v>
      </c>
      <c r="E16" s="380" t="s">
        <v>293</v>
      </c>
      <c r="F16" s="242">
        <f>4762700-110000-213000</f>
        <v>4439700</v>
      </c>
      <c r="G16" s="224">
        <f>1628000-213000-110000</f>
        <v>1305000</v>
      </c>
      <c r="H16" s="224">
        <v>1672000</v>
      </c>
      <c r="I16" s="224">
        <v>0</v>
      </c>
    </row>
    <row r="17" spans="1:9" s="27" customFormat="1" ht="15.75" customHeight="1">
      <c r="A17" s="384"/>
      <c r="B17" s="375"/>
      <c r="C17" s="375"/>
      <c r="D17" s="378"/>
      <c r="E17" s="381"/>
      <c r="F17" s="242">
        <f>SUM(G17:I17)</f>
        <v>0</v>
      </c>
      <c r="G17" s="224"/>
      <c r="H17" s="224"/>
      <c r="I17" s="224"/>
    </row>
    <row r="18" spans="1:9" s="27" customFormat="1" ht="19.5" customHeight="1">
      <c r="A18" s="385"/>
      <c r="B18" s="376"/>
      <c r="C18" s="376"/>
      <c r="D18" s="379"/>
      <c r="E18" s="382"/>
      <c r="F18" s="242">
        <f>SUM(F16:F17)</f>
        <v>4439700</v>
      </c>
      <c r="G18" s="242">
        <f>SUM(G16:G17)</f>
        <v>1305000</v>
      </c>
      <c r="H18" s="242">
        <f>SUM(H16:H17)</f>
        <v>1672000</v>
      </c>
      <c r="I18" s="192">
        <f>SUM(I16:I17)</f>
        <v>0</v>
      </c>
    </row>
    <row r="19" spans="1:9" ht="21.75" customHeight="1">
      <c r="A19" s="371" t="s">
        <v>369</v>
      </c>
      <c r="B19" s="374" t="s">
        <v>484</v>
      </c>
      <c r="C19" s="374" t="s">
        <v>295</v>
      </c>
      <c r="D19" s="377" t="s">
        <v>236</v>
      </c>
      <c r="E19" s="380" t="s">
        <v>348</v>
      </c>
      <c r="F19" s="224">
        <f>SUM(G19:I19)</f>
        <v>4415000</v>
      </c>
      <c r="G19" s="224">
        <v>100000</v>
      </c>
      <c r="H19" s="224">
        <f>2032500+250000</f>
        <v>2282500</v>
      </c>
      <c r="I19" s="224">
        <v>2032500</v>
      </c>
    </row>
    <row r="20" spans="1:9" ht="19.5" customHeight="1">
      <c r="A20" s="372"/>
      <c r="B20" s="375"/>
      <c r="C20" s="375"/>
      <c r="D20" s="378"/>
      <c r="E20" s="381"/>
      <c r="F20" s="224">
        <f>SUM(G20:I20)</f>
        <v>0</v>
      </c>
      <c r="G20" s="224"/>
      <c r="H20" s="224"/>
      <c r="I20" s="224"/>
    </row>
    <row r="21" spans="1:9" ht="20.25" customHeight="1">
      <c r="A21" s="373"/>
      <c r="B21" s="376"/>
      <c r="C21" s="376"/>
      <c r="D21" s="379"/>
      <c r="E21" s="382"/>
      <c r="F21" s="224">
        <f>SUM(F19:F20)</f>
        <v>4415000</v>
      </c>
      <c r="G21" s="224">
        <f>SUM(G19:G20)</f>
        <v>100000</v>
      </c>
      <c r="H21" s="224">
        <f>SUM(H19:H20)</f>
        <v>2282500</v>
      </c>
      <c r="I21" s="224">
        <f>SUM(I19:I20)</f>
        <v>2032500</v>
      </c>
    </row>
    <row r="22" spans="1:9" s="147" customFormat="1" ht="26.25" customHeight="1">
      <c r="A22" s="294" t="s">
        <v>482</v>
      </c>
      <c r="B22" s="180" t="s">
        <v>483</v>
      </c>
      <c r="C22" s="295" t="s">
        <v>295</v>
      </c>
      <c r="D22" s="180" t="s">
        <v>236</v>
      </c>
      <c r="E22" s="181" t="s">
        <v>348</v>
      </c>
      <c r="F22" s="224">
        <f>SUM(G22:I22)</f>
        <v>7000000</v>
      </c>
      <c r="G22" s="224">
        <v>200000</v>
      </c>
      <c r="H22" s="224">
        <v>3400000</v>
      </c>
      <c r="I22" s="224">
        <v>3400000</v>
      </c>
    </row>
  </sheetData>
  <sheetProtection/>
  <mergeCells count="25">
    <mergeCell ref="E16:E18"/>
    <mergeCell ref="A16:A18"/>
    <mergeCell ref="E19:E21"/>
    <mergeCell ref="H7:H8"/>
    <mergeCell ref="B11:B15"/>
    <mergeCell ref="A11:A15"/>
    <mergeCell ref="C11:C15"/>
    <mergeCell ref="D11:D15"/>
    <mergeCell ref="E11:E15"/>
    <mergeCell ref="B16:B18"/>
    <mergeCell ref="C16:C18"/>
    <mergeCell ref="D16:D18"/>
    <mergeCell ref="A19:A21"/>
    <mergeCell ref="B19:B21"/>
    <mergeCell ref="C19:C21"/>
    <mergeCell ref="D19:D21"/>
    <mergeCell ref="I7:I8"/>
    <mergeCell ref="A6:A9"/>
    <mergeCell ref="F6:F8"/>
    <mergeCell ref="E6:E8"/>
    <mergeCell ref="D6:D8"/>
    <mergeCell ref="C6:C8"/>
    <mergeCell ref="B6:B8"/>
    <mergeCell ref="G6:I6"/>
    <mergeCell ref="G7:G8"/>
  </mergeCells>
  <printOptions horizontalCentered="1"/>
  <pageMargins left="0.32" right="0.35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6.375" style="8" customWidth="1"/>
    <col min="2" max="2" width="7.25390625" style="8" bestFit="1" customWidth="1"/>
    <col min="3" max="3" width="4.375" style="8" bestFit="1" customWidth="1"/>
    <col min="4" max="4" width="33.875" style="8" customWidth="1"/>
    <col min="5" max="5" width="13.375" style="0" hidden="1" customWidth="1"/>
    <col min="6" max="6" width="9.125" style="0" hidden="1" customWidth="1"/>
    <col min="7" max="7" width="13.75390625" style="0" customWidth="1"/>
    <col min="8" max="8" width="13.125" style="0" customWidth="1"/>
    <col min="9" max="9" width="13.625" style="0" customWidth="1"/>
  </cols>
  <sheetData>
    <row r="1" spans="5:9" ht="12.75">
      <c r="E1" s="61" t="s">
        <v>526</v>
      </c>
      <c r="F1" s="61"/>
      <c r="G1" s="61" t="s">
        <v>527</v>
      </c>
      <c r="H1" s="61"/>
      <c r="I1" s="61"/>
    </row>
    <row r="2" spans="5:9" ht="12.75">
      <c r="E2" s="61" t="s">
        <v>389</v>
      </c>
      <c r="F2" s="61"/>
      <c r="G2" s="61" t="s">
        <v>528</v>
      </c>
      <c r="H2" s="61"/>
      <c r="I2" s="61"/>
    </row>
    <row r="3" spans="5:9" ht="12.75">
      <c r="E3" s="61" t="s">
        <v>529</v>
      </c>
      <c r="F3" s="61"/>
      <c r="G3" s="61" t="s">
        <v>526</v>
      </c>
      <c r="H3" s="61"/>
      <c r="I3" s="61"/>
    </row>
    <row r="4" spans="5:9" ht="12.75">
      <c r="E4" s="61" t="s">
        <v>387</v>
      </c>
      <c r="F4" s="61"/>
      <c r="G4" s="61" t="s">
        <v>401</v>
      </c>
      <c r="H4" s="61"/>
      <c r="I4" s="61"/>
    </row>
    <row r="5" spans="1:9" ht="12.75">
      <c r="A5" s="386" t="s">
        <v>530</v>
      </c>
      <c r="B5" s="386"/>
      <c r="C5" s="386"/>
      <c r="D5" s="386"/>
      <c r="E5" s="386"/>
      <c r="F5" s="386"/>
      <c r="G5" s="386"/>
      <c r="H5" s="386"/>
      <c r="I5" s="386"/>
    </row>
    <row r="6" spans="1:7" ht="25.5" customHeight="1">
      <c r="A6" s="387" t="s">
        <v>531</v>
      </c>
      <c r="B6" s="387"/>
      <c r="C6" s="387"/>
      <c r="D6" s="387"/>
      <c r="E6" s="387"/>
      <c r="F6" s="387"/>
      <c r="G6" s="387"/>
    </row>
    <row r="7" spans="1:11" s="313" customFormat="1" ht="24">
      <c r="A7" s="1" t="s">
        <v>0</v>
      </c>
      <c r="B7" s="1" t="s">
        <v>1</v>
      </c>
      <c r="C7" s="1" t="s">
        <v>2</v>
      </c>
      <c r="D7" s="1" t="s">
        <v>3</v>
      </c>
      <c r="E7" s="109" t="s">
        <v>400</v>
      </c>
      <c r="F7" s="109" t="s">
        <v>349</v>
      </c>
      <c r="G7" s="109" t="s">
        <v>143</v>
      </c>
      <c r="H7" s="109" t="s">
        <v>349</v>
      </c>
      <c r="I7" s="109" t="s">
        <v>385</v>
      </c>
      <c r="J7" s="312"/>
      <c r="K7" s="312"/>
    </row>
    <row r="8" spans="1:11" s="316" customFormat="1" ht="36">
      <c r="A8" s="1">
        <v>756</v>
      </c>
      <c r="B8" s="1"/>
      <c r="C8" s="1"/>
      <c r="D8" s="314" t="s">
        <v>532</v>
      </c>
      <c r="E8" s="315">
        <f aca="true" t="shared" si="0" ref="E8:I9">SUM(E9)</f>
        <v>330000</v>
      </c>
      <c r="F8" s="315">
        <f t="shared" si="0"/>
        <v>0</v>
      </c>
      <c r="G8" s="315">
        <f t="shared" si="0"/>
        <v>330000</v>
      </c>
      <c r="H8" s="315">
        <f t="shared" si="0"/>
        <v>0</v>
      </c>
      <c r="I8" s="315">
        <f t="shared" si="0"/>
        <v>330000</v>
      </c>
      <c r="J8" s="312"/>
      <c r="K8" s="312"/>
    </row>
    <row r="9" spans="1:11" s="120" customFormat="1" ht="33.75">
      <c r="A9" s="57"/>
      <c r="B9" s="51">
        <v>75618</v>
      </c>
      <c r="C9" s="57"/>
      <c r="D9" s="317" t="s">
        <v>533</v>
      </c>
      <c r="E9" s="318">
        <f t="shared" si="0"/>
        <v>330000</v>
      </c>
      <c r="F9" s="318">
        <f t="shared" si="0"/>
        <v>0</v>
      </c>
      <c r="G9" s="318">
        <f t="shared" si="0"/>
        <v>330000</v>
      </c>
      <c r="H9" s="318">
        <f t="shared" si="0"/>
        <v>0</v>
      </c>
      <c r="I9" s="318">
        <f t="shared" si="0"/>
        <v>330000</v>
      </c>
      <c r="J9" s="312"/>
      <c r="K9" s="312"/>
    </row>
    <row r="10" spans="1:11" s="120" customFormat="1" ht="22.5">
      <c r="A10" s="57"/>
      <c r="B10" s="57"/>
      <c r="C10" s="319" t="s">
        <v>178</v>
      </c>
      <c r="D10" s="81" t="s">
        <v>534</v>
      </c>
      <c r="E10" s="318">
        <v>330000</v>
      </c>
      <c r="F10" s="318"/>
      <c r="G10" s="318">
        <f>SUM(E10:F10)</f>
        <v>330000</v>
      </c>
      <c r="H10" s="318"/>
      <c r="I10" s="318">
        <f>SUM(G10:H10)</f>
        <v>330000</v>
      </c>
      <c r="J10" s="320"/>
      <c r="K10" s="320"/>
    </row>
    <row r="11" spans="1:11" s="322" customFormat="1" ht="24" customHeight="1">
      <c r="A11" s="321"/>
      <c r="B11" s="321"/>
      <c r="C11" s="321"/>
      <c r="D11" s="1" t="s">
        <v>68</v>
      </c>
      <c r="E11" s="315">
        <f>SUM(E8)</f>
        <v>330000</v>
      </c>
      <c r="F11" s="315">
        <f>SUM(F8)</f>
        <v>0</v>
      </c>
      <c r="G11" s="315">
        <f>SUM(G8)</f>
        <v>330000</v>
      </c>
      <c r="H11" s="315">
        <f>SUM(H8)</f>
        <v>0</v>
      </c>
      <c r="I11" s="315">
        <f>SUM(I8)</f>
        <v>330000</v>
      </c>
      <c r="J11" s="320"/>
      <c r="K11" s="320"/>
    </row>
    <row r="12" spans="1:11" ht="27.75" customHeight="1">
      <c r="A12" s="387" t="s">
        <v>535</v>
      </c>
      <c r="B12" s="387"/>
      <c r="C12" s="387"/>
      <c r="D12" s="387"/>
      <c r="E12" s="387"/>
      <c r="F12" s="387"/>
      <c r="G12" s="387"/>
      <c r="I12" s="320"/>
      <c r="J12" s="320"/>
      <c r="K12" s="320"/>
    </row>
    <row r="13" spans="1:11" s="121" customFormat="1" ht="24">
      <c r="A13" s="1" t="s">
        <v>0</v>
      </c>
      <c r="B13" s="1" t="s">
        <v>1</v>
      </c>
      <c r="C13" s="1" t="s">
        <v>2</v>
      </c>
      <c r="D13" s="1" t="s">
        <v>3</v>
      </c>
      <c r="E13" s="109" t="s">
        <v>400</v>
      </c>
      <c r="F13" s="109" t="s">
        <v>349</v>
      </c>
      <c r="G13" s="109" t="s">
        <v>143</v>
      </c>
      <c r="H13" s="109" t="s">
        <v>349</v>
      </c>
      <c r="I13" s="109" t="s">
        <v>385</v>
      </c>
      <c r="J13" s="323"/>
      <c r="K13" s="323"/>
    </row>
    <row r="14" spans="1:11" s="121" customFormat="1" ht="27" customHeight="1">
      <c r="A14" s="36" t="s">
        <v>45</v>
      </c>
      <c r="B14" s="37"/>
      <c r="C14" s="38"/>
      <c r="D14" s="39" t="s">
        <v>46</v>
      </c>
      <c r="E14" s="124">
        <f aca="true" t="shared" si="1" ref="E14:I15">SUM(E15)</f>
        <v>108500</v>
      </c>
      <c r="F14" s="124">
        <f t="shared" si="1"/>
        <v>-47545</v>
      </c>
      <c r="G14" s="124">
        <f t="shared" si="1"/>
        <v>60955</v>
      </c>
      <c r="H14" s="124">
        <f t="shared" si="1"/>
        <v>-20955</v>
      </c>
      <c r="I14" s="124">
        <f t="shared" si="1"/>
        <v>40000</v>
      </c>
      <c r="J14" s="323"/>
      <c r="K14" s="323"/>
    </row>
    <row r="15" spans="1:11" s="325" customFormat="1" ht="19.5" customHeight="1">
      <c r="A15" s="71"/>
      <c r="B15" s="86" t="s">
        <v>106</v>
      </c>
      <c r="C15" s="90"/>
      <c r="D15" s="41" t="s">
        <v>107</v>
      </c>
      <c r="E15" s="307">
        <f t="shared" si="1"/>
        <v>108500</v>
      </c>
      <c r="F15" s="307">
        <f t="shared" si="1"/>
        <v>-47545</v>
      </c>
      <c r="G15" s="307">
        <f t="shared" si="1"/>
        <v>60955</v>
      </c>
      <c r="H15" s="307">
        <f t="shared" si="1"/>
        <v>-20955</v>
      </c>
      <c r="I15" s="307">
        <f t="shared" si="1"/>
        <v>40000</v>
      </c>
      <c r="J15" s="324"/>
      <c r="K15" s="324"/>
    </row>
    <row r="16" spans="1:11" s="325" customFormat="1" ht="24" customHeight="1">
      <c r="A16" s="71"/>
      <c r="B16" s="91"/>
      <c r="C16" s="90">
        <v>4810</v>
      </c>
      <c r="D16" s="41" t="s">
        <v>108</v>
      </c>
      <c r="E16" s="307">
        <f>40000+55000+13500</f>
        <v>108500</v>
      </c>
      <c r="F16" s="307">
        <v>-47545</v>
      </c>
      <c r="G16" s="307">
        <f>SUM(E16:F16)</f>
        <v>60955</v>
      </c>
      <c r="H16" s="307">
        <f>-1430-13500-6025</f>
        <v>-20955</v>
      </c>
      <c r="I16" s="307">
        <f>SUM(G16:H16)</f>
        <v>40000</v>
      </c>
      <c r="J16" s="324"/>
      <c r="K16" s="324"/>
    </row>
    <row r="17" spans="1:11" s="328" customFormat="1" ht="24.75" customHeight="1">
      <c r="A17" s="1">
        <v>851</v>
      </c>
      <c r="B17" s="1"/>
      <c r="C17" s="1"/>
      <c r="D17" s="326" t="s">
        <v>536</v>
      </c>
      <c r="E17" s="327">
        <f>E20+E18</f>
        <v>112403</v>
      </c>
      <c r="F17" s="327">
        <f>F20+F18</f>
        <v>47545</v>
      </c>
      <c r="G17" s="327">
        <f>G20+G18</f>
        <v>159948</v>
      </c>
      <c r="H17" s="327">
        <f>H20+H18</f>
        <v>14930</v>
      </c>
      <c r="I17" s="327">
        <f>I20+I18</f>
        <v>174878</v>
      </c>
      <c r="J17" s="146"/>
      <c r="K17" s="146"/>
    </row>
    <row r="18" spans="1:11" s="328" customFormat="1" ht="23.25" customHeight="1">
      <c r="A18" s="1"/>
      <c r="B18" s="57">
        <v>85153</v>
      </c>
      <c r="C18" s="1"/>
      <c r="D18" s="54" t="s">
        <v>221</v>
      </c>
      <c r="E18" s="329">
        <f>SUM(E19:E19)</f>
        <v>5600</v>
      </c>
      <c r="F18" s="329">
        <f>SUM(F19:F19)</f>
        <v>0</v>
      </c>
      <c r="G18" s="329">
        <f>SUM(G19:G19)</f>
        <v>5600</v>
      </c>
      <c r="H18" s="329">
        <f>SUM(H19:H19)</f>
        <v>0</v>
      </c>
      <c r="I18" s="329">
        <f>SUM(I19:I19)</f>
        <v>5600</v>
      </c>
      <c r="J18" s="120"/>
      <c r="K18" s="120"/>
    </row>
    <row r="19" spans="1:11" s="332" customFormat="1" ht="20.25" customHeight="1">
      <c r="A19" s="330"/>
      <c r="B19" s="330"/>
      <c r="C19" s="51">
        <v>4300</v>
      </c>
      <c r="D19" s="41" t="s">
        <v>79</v>
      </c>
      <c r="E19" s="329">
        <v>5600</v>
      </c>
      <c r="F19" s="329"/>
      <c r="G19" s="329">
        <f>SUM(E19:F19)</f>
        <v>5600</v>
      </c>
      <c r="H19" s="329"/>
      <c r="I19" s="329">
        <f>SUM(G19:H19)</f>
        <v>5600</v>
      </c>
      <c r="J19" s="331"/>
      <c r="K19" s="331"/>
    </row>
    <row r="20" spans="1:11" s="27" customFormat="1" ht="20.25" customHeight="1">
      <c r="A20" s="77"/>
      <c r="B20" s="77" t="s">
        <v>119</v>
      </c>
      <c r="C20" s="51"/>
      <c r="D20" s="14" t="s">
        <v>54</v>
      </c>
      <c r="E20" s="89">
        <f>SUM(E22:E29)</f>
        <v>106803</v>
      </c>
      <c r="F20" s="89">
        <f>SUM(F22:F29)</f>
        <v>47545</v>
      </c>
      <c r="G20" s="89">
        <f>SUM(G21:G29)</f>
        <v>154348</v>
      </c>
      <c r="H20" s="89">
        <f>SUM(H21:H29)</f>
        <v>14930</v>
      </c>
      <c r="I20" s="89">
        <f>SUM(I21:I29)</f>
        <v>169278</v>
      </c>
      <c r="J20" s="320"/>
      <c r="K20" s="320"/>
    </row>
    <row r="21" spans="1:11" s="27" customFormat="1" ht="45">
      <c r="A21" s="77"/>
      <c r="B21" s="77"/>
      <c r="C21" s="51">
        <v>2710</v>
      </c>
      <c r="D21" s="14" t="s">
        <v>537</v>
      </c>
      <c r="E21" s="89"/>
      <c r="F21" s="89"/>
      <c r="G21" s="89">
        <v>0</v>
      </c>
      <c r="H21" s="89">
        <f>1430+6000+13500</f>
        <v>20930</v>
      </c>
      <c r="I21" s="89">
        <f>SUM(G21:H21)</f>
        <v>20930</v>
      </c>
      <c r="J21" s="320"/>
      <c r="K21" s="320"/>
    </row>
    <row r="22" spans="1:11" s="27" customFormat="1" ht="56.25">
      <c r="A22" s="77"/>
      <c r="B22" s="77"/>
      <c r="C22" s="51">
        <v>2830</v>
      </c>
      <c r="D22" s="14" t="s">
        <v>346</v>
      </c>
      <c r="E22" s="89">
        <v>0</v>
      </c>
      <c r="F22" s="89">
        <v>47545</v>
      </c>
      <c r="G22" s="89">
        <f>SUM(E22:F22)</f>
        <v>47545</v>
      </c>
      <c r="H22" s="89"/>
      <c r="I22" s="89">
        <f>SUM(G22:H22)</f>
        <v>47545</v>
      </c>
      <c r="J22" s="320"/>
      <c r="K22" s="320"/>
    </row>
    <row r="23" spans="1:11" s="27" customFormat="1" ht="20.25" customHeight="1">
      <c r="A23" s="77"/>
      <c r="B23" s="77"/>
      <c r="C23" s="51">
        <v>4110</v>
      </c>
      <c r="D23" s="41" t="s">
        <v>86</v>
      </c>
      <c r="E23" s="89">
        <v>1858</v>
      </c>
      <c r="F23" s="89"/>
      <c r="G23" s="89">
        <f>SUM(E23:F23)</f>
        <v>1858</v>
      </c>
      <c r="H23" s="89"/>
      <c r="I23" s="89">
        <f>SUM(G23:H23)</f>
        <v>1858</v>
      </c>
      <c r="J23" s="320"/>
      <c r="K23" s="320"/>
    </row>
    <row r="24" spans="1:11" s="27" customFormat="1" ht="20.25" customHeight="1">
      <c r="A24" s="77"/>
      <c r="B24" s="51"/>
      <c r="C24" s="51">
        <v>4170</v>
      </c>
      <c r="D24" s="14" t="s">
        <v>538</v>
      </c>
      <c r="E24" s="96">
        <f>20000+17100+7500</f>
        <v>44600</v>
      </c>
      <c r="F24" s="96"/>
      <c r="G24" s="89">
        <f aca="true" t="shared" si="2" ref="G24:G29">SUM(E24:F24)</f>
        <v>44600</v>
      </c>
      <c r="H24" s="96"/>
      <c r="I24" s="89">
        <f aca="true" t="shared" si="3" ref="I24:I29">SUM(G24:H24)</f>
        <v>44600</v>
      </c>
      <c r="J24" s="323"/>
      <c r="K24" s="323"/>
    </row>
    <row r="25" spans="1:11" s="27" customFormat="1" ht="20.25" customHeight="1">
      <c r="A25" s="77"/>
      <c r="B25" s="51"/>
      <c r="C25" s="51">
        <v>4210</v>
      </c>
      <c r="D25" s="14" t="s">
        <v>92</v>
      </c>
      <c r="E25" s="96">
        <f>7800+5000</f>
        <v>12800</v>
      </c>
      <c r="F25" s="96"/>
      <c r="G25" s="89">
        <f t="shared" si="2"/>
        <v>12800</v>
      </c>
      <c r="H25" s="96"/>
      <c r="I25" s="89">
        <f t="shared" si="3"/>
        <v>12800</v>
      </c>
      <c r="J25" s="320"/>
      <c r="K25" s="320"/>
    </row>
    <row r="26" spans="1:9" s="27" customFormat="1" ht="20.25" customHeight="1">
      <c r="A26" s="77"/>
      <c r="B26" s="51"/>
      <c r="C26" s="51">
        <v>4220</v>
      </c>
      <c r="D26" s="14" t="s">
        <v>180</v>
      </c>
      <c r="E26" s="96">
        <v>13500</v>
      </c>
      <c r="F26" s="96"/>
      <c r="G26" s="89">
        <f t="shared" si="2"/>
        <v>13500</v>
      </c>
      <c r="H26" s="96"/>
      <c r="I26" s="89">
        <f t="shared" si="3"/>
        <v>13500</v>
      </c>
    </row>
    <row r="27" spans="1:9" s="27" customFormat="1" ht="20.25" customHeight="1">
      <c r="A27" s="77"/>
      <c r="B27" s="51"/>
      <c r="C27" s="51">
        <v>4300</v>
      </c>
      <c r="D27" s="14" t="s">
        <v>79</v>
      </c>
      <c r="E27" s="96">
        <f>5000+12000-5600+2400+6000+7500+4945</f>
        <v>32245</v>
      </c>
      <c r="F27" s="96"/>
      <c r="G27" s="89">
        <f t="shared" si="2"/>
        <v>32245</v>
      </c>
      <c r="H27" s="96">
        <v>-6000</v>
      </c>
      <c r="I27" s="89">
        <f t="shared" si="3"/>
        <v>26245</v>
      </c>
    </row>
    <row r="28" spans="1:9" s="27" customFormat="1" ht="19.5" customHeight="1">
      <c r="A28" s="77"/>
      <c r="B28" s="51"/>
      <c r="C28" s="51">
        <v>4410</v>
      </c>
      <c r="D28" s="41" t="s">
        <v>90</v>
      </c>
      <c r="E28" s="96">
        <v>1200</v>
      </c>
      <c r="F28" s="96"/>
      <c r="G28" s="89">
        <f t="shared" si="2"/>
        <v>1200</v>
      </c>
      <c r="H28" s="96"/>
      <c r="I28" s="89">
        <f t="shared" si="3"/>
        <v>1200</v>
      </c>
    </row>
    <row r="29" spans="1:9" s="27" customFormat="1" ht="22.5">
      <c r="A29" s="77"/>
      <c r="B29" s="51"/>
      <c r="C29" s="51">
        <v>4700</v>
      </c>
      <c r="D29" s="41" t="s">
        <v>260</v>
      </c>
      <c r="E29" s="96">
        <v>600</v>
      </c>
      <c r="F29" s="96"/>
      <c r="G29" s="89">
        <f t="shared" si="2"/>
        <v>600</v>
      </c>
      <c r="H29" s="96"/>
      <c r="I29" s="89">
        <f t="shared" si="3"/>
        <v>600</v>
      </c>
    </row>
    <row r="30" spans="1:9" s="8" customFormat="1" ht="20.25" customHeight="1">
      <c r="A30" s="34">
        <v>852</v>
      </c>
      <c r="B30" s="5"/>
      <c r="C30" s="5"/>
      <c r="D30" s="21" t="s">
        <v>187</v>
      </c>
      <c r="E30" s="19">
        <f>SUM(E31,)</f>
        <v>109097</v>
      </c>
      <c r="F30" s="19">
        <f>SUM(F31,)</f>
        <v>0</v>
      </c>
      <c r="G30" s="19">
        <f>SUM(G31,)</f>
        <v>109097</v>
      </c>
      <c r="H30" s="19">
        <f>SUM(H31,)</f>
        <v>0</v>
      </c>
      <c r="I30" s="19">
        <f>SUM(I31,)</f>
        <v>109097</v>
      </c>
    </row>
    <row r="31" spans="1:9" s="27" customFormat="1" ht="20.25" customHeight="1">
      <c r="A31" s="77"/>
      <c r="B31" s="77">
        <v>85219</v>
      </c>
      <c r="C31" s="51"/>
      <c r="D31" s="41" t="s">
        <v>58</v>
      </c>
      <c r="E31" s="89">
        <f>SUM(E32:E47)</f>
        <v>109097</v>
      </c>
      <c r="F31" s="89">
        <f>SUM(F32:F47)</f>
        <v>0</v>
      </c>
      <c r="G31" s="89">
        <f>SUM(G32:G47)</f>
        <v>109097</v>
      </c>
      <c r="H31" s="89">
        <f>SUM(H32:H47)</f>
        <v>0</v>
      </c>
      <c r="I31" s="89">
        <f>SUM(I32:I47)</f>
        <v>109097</v>
      </c>
    </row>
    <row r="32" spans="1:9" s="27" customFormat="1" ht="20.25" customHeight="1">
      <c r="A32" s="77"/>
      <c r="B32" s="77"/>
      <c r="C32" s="90">
        <v>4010</v>
      </c>
      <c r="D32" s="41" t="s">
        <v>84</v>
      </c>
      <c r="E32" s="96">
        <v>30333</v>
      </c>
      <c r="F32" s="96"/>
      <c r="G32" s="96">
        <f>SUM(E32:F32)</f>
        <v>30333</v>
      </c>
      <c r="H32" s="96"/>
      <c r="I32" s="96">
        <f>SUM(G32:H32)</f>
        <v>30333</v>
      </c>
    </row>
    <row r="33" spans="1:9" s="27" customFormat="1" ht="20.25" customHeight="1">
      <c r="A33" s="77"/>
      <c r="B33" s="77"/>
      <c r="C33" s="90">
        <v>4040</v>
      </c>
      <c r="D33" s="41" t="s">
        <v>85</v>
      </c>
      <c r="E33" s="96">
        <v>2420</v>
      </c>
      <c r="F33" s="96"/>
      <c r="G33" s="96">
        <f aca="true" t="shared" si="4" ref="G33:G47">SUM(E33:F33)</f>
        <v>2420</v>
      </c>
      <c r="H33" s="96"/>
      <c r="I33" s="96">
        <f aca="true" t="shared" si="5" ref="I33:I47">SUM(G33:H33)</f>
        <v>2420</v>
      </c>
    </row>
    <row r="34" spans="1:9" s="27" customFormat="1" ht="20.25" customHeight="1">
      <c r="A34" s="77"/>
      <c r="B34" s="77"/>
      <c r="C34" s="90">
        <v>4110</v>
      </c>
      <c r="D34" s="41" t="s">
        <v>86</v>
      </c>
      <c r="E34" s="96">
        <v>5008</v>
      </c>
      <c r="F34" s="96"/>
      <c r="G34" s="96">
        <f t="shared" si="4"/>
        <v>5008</v>
      </c>
      <c r="H34" s="96"/>
      <c r="I34" s="96">
        <f t="shared" si="5"/>
        <v>5008</v>
      </c>
    </row>
    <row r="35" spans="1:9" s="27" customFormat="1" ht="20.25" customHeight="1">
      <c r="A35" s="77"/>
      <c r="B35" s="77"/>
      <c r="C35" s="90">
        <v>4120</v>
      </c>
      <c r="D35" s="41" t="s">
        <v>87</v>
      </c>
      <c r="E35" s="96">
        <v>803</v>
      </c>
      <c r="F35" s="96"/>
      <c r="G35" s="96">
        <f t="shared" si="4"/>
        <v>803</v>
      </c>
      <c r="H35" s="96"/>
      <c r="I35" s="96">
        <f t="shared" si="5"/>
        <v>803</v>
      </c>
    </row>
    <row r="36" spans="1:9" s="27" customFormat="1" ht="20.25" customHeight="1">
      <c r="A36" s="77"/>
      <c r="B36" s="77"/>
      <c r="C36" s="90">
        <v>4210</v>
      </c>
      <c r="D36" s="14" t="s">
        <v>92</v>
      </c>
      <c r="E36" s="96">
        <v>4200</v>
      </c>
      <c r="F36" s="96"/>
      <c r="G36" s="96">
        <f t="shared" si="4"/>
        <v>4200</v>
      </c>
      <c r="H36" s="96"/>
      <c r="I36" s="96">
        <f t="shared" si="5"/>
        <v>4200</v>
      </c>
    </row>
    <row r="37" spans="1:9" s="27" customFormat="1" ht="20.25" customHeight="1">
      <c r="A37" s="77"/>
      <c r="B37" s="77"/>
      <c r="C37" s="90">
        <v>4280</v>
      </c>
      <c r="D37" s="14" t="s">
        <v>198</v>
      </c>
      <c r="E37" s="96">
        <v>150</v>
      </c>
      <c r="F37" s="96"/>
      <c r="G37" s="96">
        <f t="shared" si="4"/>
        <v>150</v>
      </c>
      <c r="H37" s="96"/>
      <c r="I37" s="96">
        <f t="shared" si="5"/>
        <v>150</v>
      </c>
    </row>
    <row r="38" spans="1:9" s="27" customFormat="1" ht="20.25" customHeight="1">
      <c r="A38" s="77"/>
      <c r="B38" s="77"/>
      <c r="C38" s="90">
        <v>4300</v>
      </c>
      <c r="D38" s="14" t="s">
        <v>79</v>
      </c>
      <c r="E38" s="96">
        <v>55660</v>
      </c>
      <c r="F38" s="96"/>
      <c r="G38" s="96">
        <f t="shared" si="4"/>
        <v>55660</v>
      </c>
      <c r="H38" s="96"/>
      <c r="I38" s="96">
        <f t="shared" si="5"/>
        <v>55660</v>
      </c>
    </row>
    <row r="39" spans="1:9" s="27" customFormat="1" ht="20.25" customHeight="1">
      <c r="A39" s="77"/>
      <c r="B39" s="77"/>
      <c r="C39" s="90">
        <v>4350</v>
      </c>
      <c r="D39" s="14" t="s">
        <v>205</v>
      </c>
      <c r="E39" s="96">
        <v>550</v>
      </c>
      <c r="F39" s="96"/>
      <c r="G39" s="96">
        <f t="shared" si="4"/>
        <v>550</v>
      </c>
      <c r="H39" s="96"/>
      <c r="I39" s="96">
        <f t="shared" si="5"/>
        <v>550</v>
      </c>
    </row>
    <row r="40" spans="1:9" s="27" customFormat="1" ht="22.5">
      <c r="A40" s="77"/>
      <c r="B40" s="77"/>
      <c r="C40" s="90">
        <v>4370</v>
      </c>
      <c r="D40" s="41" t="s">
        <v>539</v>
      </c>
      <c r="E40" s="96">
        <v>2500</v>
      </c>
      <c r="F40" s="96"/>
      <c r="G40" s="96">
        <f t="shared" si="4"/>
        <v>2500</v>
      </c>
      <c r="H40" s="96"/>
      <c r="I40" s="96">
        <f t="shared" si="5"/>
        <v>2500</v>
      </c>
    </row>
    <row r="41" spans="1:9" s="27" customFormat="1" ht="22.5">
      <c r="A41" s="77"/>
      <c r="B41" s="77"/>
      <c r="C41" s="90">
        <v>4400</v>
      </c>
      <c r="D41" s="41" t="s">
        <v>252</v>
      </c>
      <c r="E41" s="96">
        <v>2110</v>
      </c>
      <c r="F41" s="96"/>
      <c r="G41" s="96">
        <f t="shared" si="4"/>
        <v>2110</v>
      </c>
      <c r="H41" s="96"/>
      <c r="I41" s="96">
        <f t="shared" si="5"/>
        <v>2110</v>
      </c>
    </row>
    <row r="42" spans="1:9" s="27" customFormat="1" ht="20.25" customHeight="1">
      <c r="A42" s="77"/>
      <c r="B42" s="77"/>
      <c r="C42" s="90">
        <v>4410</v>
      </c>
      <c r="D42" s="41" t="s">
        <v>90</v>
      </c>
      <c r="E42" s="96">
        <v>200</v>
      </c>
      <c r="F42" s="96"/>
      <c r="G42" s="96">
        <f t="shared" si="4"/>
        <v>200</v>
      </c>
      <c r="H42" s="96"/>
      <c r="I42" s="96">
        <f t="shared" si="5"/>
        <v>200</v>
      </c>
    </row>
    <row r="43" spans="1:9" s="27" customFormat="1" ht="22.5">
      <c r="A43" s="77"/>
      <c r="B43" s="77"/>
      <c r="C43" s="90">
        <v>4440</v>
      </c>
      <c r="D43" s="41" t="s">
        <v>88</v>
      </c>
      <c r="E43" s="96">
        <v>1133</v>
      </c>
      <c r="F43" s="96"/>
      <c r="G43" s="96">
        <f t="shared" si="4"/>
        <v>1133</v>
      </c>
      <c r="H43" s="96"/>
      <c r="I43" s="96">
        <f t="shared" si="5"/>
        <v>1133</v>
      </c>
    </row>
    <row r="44" spans="1:9" s="27" customFormat="1" ht="22.5">
      <c r="A44" s="77"/>
      <c r="B44" s="77"/>
      <c r="C44" s="90">
        <v>4610</v>
      </c>
      <c r="D44" s="41" t="s">
        <v>182</v>
      </c>
      <c r="E44" s="96">
        <v>1200</v>
      </c>
      <c r="F44" s="96"/>
      <c r="G44" s="96">
        <f t="shared" si="4"/>
        <v>1200</v>
      </c>
      <c r="H44" s="96"/>
      <c r="I44" s="96">
        <f t="shared" si="5"/>
        <v>1200</v>
      </c>
    </row>
    <row r="45" spans="1:9" s="27" customFormat="1" ht="22.5">
      <c r="A45" s="77"/>
      <c r="B45" s="77"/>
      <c r="C45" s="90">
        <v>4700</v>
      </c>
      <c r="D45" s="41" t="s">
        <v>260</v>
      </c>
      <c r="E45" s="96">
        <v>2000</v>
      </c>
      <c r="F45" s="96"/>
      <c r="G45" s="96">
        <f t="shared" si="4"/>
        <v>2000</v>
      </c>
      <c r="H45" s="96"/>
      <c r="I45" s="96">
        <f t="shared" si="5"/>
        <v>2000</v>
      </c>
    </row>
    <row r="46" spans="1:9" s="27" customFormat="1" ht="22.5">
      <c r="A46" s="77"/>
      <c r="B46" s="77"/>
      <c r="C46" s="90">
        <v>4740</v>
      </c>
      <c r="D46" s="41" t="s">
        <v>223</v>
      </c>
      <c r="E46" s="96">
        <v>130</v>
      </c>
      <c r="F46" s="96"/>
      <c r="G46" s="96">
        <f t="shared" si="4"/>
        <v>130</v>
      </c>
      <c r="H46" s="96"/>
      <c r="I46" s="96">
        <f t="shared" si="5"/>
        <v>130</v>
      </c>
    </row>
    <row r="47" spans="1:9" s="27" customFormat="1" ht="22.5">
      <c r="A47" s="77"/>
      <c r="B47" s="77"/>
      <c r="C47" s="90">
        <v>4750</v>
      </c>
      <c r="D47" s="41" t="s">
        <v>264</v>
      </c>
      <c r="E47" s="96">
        <v>700</v>
      </c>
      <c r="F47" s="96"/>
      <c r="G47" s="96">
        <f t="shared" si="4"/>
        <v>700</v>
      </c>
      <c r="H47" s="96"/>
      <c r="I47" s="96">
        <f t="shared" si="5"/>
        <v>700</v>
      </c>
    </row>
    <row r="48" spans="1:9" s="194" customFormat="1" ht="21" customHeight="1">
      <c r="A48" s="246">
        <v>926</v>
      </c>
      <c r="B48" s="246"/>
      <c r="C48" s="333"/>
      <c r="D48" s="334" t="s">
        <v>66</v>
      </c>
      <c r="E48" s="193"/>
      <c r="F48" s="193"/>
      <c r="G48" s="193">
        <f aca="true" t="shared" si="6" ref="G48:I49">SUM(G49)</f>
        <v>0</v>
      </c>
      <c r="H48" s="193">
        <f t="shared" si="6"/>
        <v>6025</v>
      </c>
      <c r="I48" s="193">
        <f t="shared" si="6"/>
        <v>6025</v>
      </c>
    </row>
    <row r="49" spans="1:9" s="27" customFormat="1" ht="20.25" customHeight="1">
      <c r="A49" s="77"/>
      <c r="B49" s="77">
        <v>92605</v>
      </c>
      <c r="C49" s="90"/>
      <c r="D49" s="70" t="s">
        <v>67</v>
      </c>
      <c r="E49" s="96"/>
      <c r="F49" s="96"/>
      <c r="G49" s="96">
        <f t="shared" si="6"/>
        <v>0</v>
      </c>
      <c r="H49" s="96">
        <f t="shared" si="6"/>
        <v>6025</v>
      </c>
      <c r="I49" s="96">
        <f t="shared" si="6"/>
        <v>6025</v>
      </c>
    </row>
    <row r="50" spans="1:9" s="27" customFormat="1" ht="20.25" customHeight="1">
      <c r="A50" s="77"/>
      <c r="B50" s="77"/>
      <c r="C50" s="90">
        <v>4170</v>
      </c>
      <c r="D50" s="14" t="s">
        <v>538</v>
      </c>
      <c r="E50" s="96"/>
      <c r="F50" s="96"/>
      <c r="G50" s="96">
        <v>0</v>
      </c>
      <c r="H50" s="96">
        <v>6025</v>
      </c>
      <c r="I50" s="96">
        <f>SUM(G50:H50)</f>
        <v>6025</v>
      </c>
    </row>
    <row r="51" spans="1:9" s="44" customFormat="1" ht="20.25" customHeight="1">
      <c r="A51" s="335"/>
      <c r="B51" s="335"/>
      <c r="C51" s="335"/>
      <c r="D51" s="6" t="s">
        <v>68</v>
      </c>
      <c r="E51" s="19">
        <f>E30+E17+E14</f>
        <v>330000</v>
      </c>
      <c r="F51" s="19">
        <f>F30+F17+F14</f>
        <v>0</v>
      </c>
      <c r="G51" s="19">
        <f>G30+G17+G14+G48</f>
        <v>330000</v>
      </c>
      <c r="H51" s="19">
        <f>H30+H17+H14+H48</f>
        <v>0</v>
      </c>
      <c r="I51" s="19">
        <f>I30+I17+I14+I48</f>
        <v>330000</v>
      </c>
    </row>
  </sheetData>
  <sheetProtection/>
  <mergeCells count="3">
    <mergeCell ref="A5:I5"/>
    <mergeCell ref="A6:G6"/>
    <mergeCell ref="A12:G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6"/>
  <sheetViews>
    <sheetView zoomScalePageLayoutView="0" workbookViewId="0" topLeftCell="A460">
      <selection activeCell="A1" sqref="A1:Q464"/>
    </sheetView>
  </sheetViews>
  <sheetFormatPr defaultColWidth="9.00390625" defaultRowHeight="12.75"/>
  <cols>
    <col min="1" max="1" width="4.75390625" style="8" bestFit="1" customWidth="1"/>
    <col min="2" max="2" width="7.25390625" style="8" bestFit="1" customWidth="1"/>
    <col min="3" max="3" width="5.00390625" style="8" bestFit="1" customWidth="1"/>
    <col min="4" max="4" width="32.75390625" style="8" customWidth="1"/>
    <col min="5" max="5" width="0.12890625" style="31" hidden="1" customWidth="1"/>
    <col min="6" max="6" width="11.25390625" style="31" hidden="1" customWidth="1"/>
    <col min="7" max="8" width="14.875" style="31" hidden="1" customWidth="1"/>
    <col min="9" max="9" width="40.25390625" style="31" hidden="1" customWidth="1"/>
    <col min="10" max="10" width="9.375" style="31" hidden="1" customWidth="1"/>
    <col min="11" max="11" width="14.125" style="31" hidden="1" customWidth="1"/>
    <col min="12" max="12" width="14.875" style="31" hidden="1" customWidth="1"/>
    <col min="13" max="13" width="14.125" style="31" hidden="1" customWidth="1"/>
    <col min="14" max="14" width="14.875" style="31" hidden="1" customWidth="1"/>
    <col min="15" max="15" width="14.125" style="31" customWidth="1"/>
    <col min="16" max="16" width="14.875" style="31" customWidth="1"/>
    <col min="17" max="17" width="14.125" style="31" customWidth="1"/>
    <col min="19" max="19" width="10.00390625" style="0" bestFit="1" customWidth="1"/>
  </cols>
  <sheetData>
    <row r="1" spans="1:17" ht="12.75">
      <c r="A1" s="112"/>
      <c r="B1" s="112"/>
      <c r="C1" s="112"/>
      <c r="D1" s="112"/>
      <c r="E1" s="61"/>
      <c r="F1" s="61"/>
      <c r="G1" s="61" t="s">
        <v>377</v>
      </c>
      <c r="H1" s="61"/>
      <c r="I1" s="61" t="s">
        <v>390</v>
      </c>
      <c r="J1" s="61"/>
      <c r="K1" s="61" t="s">
        <v>473</v>
      </c>
      <c r="L1" s="61"/>
      <c r="M1" s="61" t="s">
        <v>510</v>
      </c>
      <c r="N1" s="61"/>
      <c r="O1" s="61" t="s">
        <v>522</v>
      </c>
      <c r="P1" s="61"/>
      <c r="Q1" s="61"/>
    </row>
    <row r="2" spans="1:17" ht="12.75">
      <c r="A2" s="112"/>
      <c r="B2" s="112"/>
      <c r="C2" s="112"/>
      <c r="D2" s="112"/>
      <c r="E2" s="61"/>
      <c r="F2" s="61"/>
      <c r="G2" s="61" t="s">
        <v>374</v>
      </c>
      <c r="H2" s="61"/>
      <c r="I2" s="61" t="s">
        <v>389</v>
      </c>
      <c r="J2" s="61"/>
      <c r="K2" s="61" t="s">
        <v>469</v>
      </c>
      <c r="L2" s="61"/>
      <c r="M2" s="61" t="s">
        <v>508</v>
      </c>
      <c r="N2" s="61"/>
      <c r="O2" s="61" t="s">
        <v>521</v>
      </c>
      <c r="P2" s="61"/>
      <c r="Q2" s="61"/>
    </row>
    <row r="3" spans="1:17" ht="12.75">
      <c r="A3" s="112"/>
      <c r="B3" s="112"/>
      <c r="C3" s="112"/>
      <c r="D3" s="112"/>
      <c r="E3" s="61"/>
      <c r="F3" s="61"/>
      <c r="G3" s="61" t="s">
        <v>378</v>
      </c>
      <c r="H3" s="61"/>
      <c r="I3" s="61" t="s">
        <v>377</v>
      </c>
      <c r="J3" s="61"/>
      <c r="K3" s="61" t="s">
        <v>390</v>
      </c>
      <c r="L3" s="61"/>
      <c r="M3" s="61" t="s">
        <v>473</v>
      </c>
      <c r="N3" s="61"/>
      <c r="O3" s="61" t="s">
        <v>510</v>
      </c>
      <c r="P3" s="61"/>
      <c r="Q3" s="61"/>
    </row>
    <row r="4" spans="1:17" ht="12.75">
      <c r="A4" s="112"/>
      <c r="B4" s="112"/>
      <c r="C4" s="112"/>
      <c r="D4" s="112"/>
      <c r="E4" s="61"/>
      <c r="F4" s="61"/>
      <c r="G4" s="61" t="s">
        <v>376</v>
      </c>
      <c r="H4" s="61"/>
      <c r="I4" s="61" t="s">
        <v>381</v>
      </c>
      <c r="J4" s="61"/>
      <c r="K4" s="61" t="s">
        <v>401</v>
      </c>
      <c r="L4" s="61"/>
      <c r="M4" s="61" t="s">
        <v>487</v>
      </c>
      <c r="N4" s="61"/>
      <c r="O4" s="61" t="s">
        <v>514</v>
      </c>
      <c r="P4" s="61"/>
      <c r="Q4" s="61"/>
    </row>
    <row r="5" spans="1:17" ht="21" customHeight="1">
      <c r="A5" s="337" t="s">
        <v>339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s="8" customFormat="1" ht="24.75" customHeight="1">
      <c r="A6" s="38" t="s">
        <v>0</v>
      </c>
      <c r="B6" s="38" t="s">
        <v>1</v>
      </c>
      <c r="C6" s="38" t="s">
        <v>2</v>
      </c>
      <c r="D6" s="38" t="s">
        <v>3</v>
      </c>
      <c r="E6" s="63" t="s">
        <v>142</v>
      </c>
      <c r="F6" s="63" t="s">
        <v>349</v>
      </c>
      <c r="G6" s="63" t="s">
        <v>142</v>
      </c>
      <c r="H6" s="63" t="s">
        <v>349</v>
      </c>
      <c r="I6" s="244" t="s">
        <v>394</v>
      </c>
      <c r="J6" s="63" t="s">
        <v>349</v>
      </c>
      <c r="K6" s="244" t="s">
        <v>398</v>
      </c>
      <c r="L6" s="63" t="s">
        <v>349</v>
      </c>
      <c r="M6" s="244" t="s">
        <v>143</v>
      </c>
      <c r="N6" s="63" t="s">
        <v>349</v>
      </c>
      <c r="O6" s="244" t="s">
        <v>143</v>
      </c>
      <c r="P6" s="63" t="s">
        <v>349</v>
      </c>
      <c r="Q6" s="244" t="s">
        <v>370</v>
      </c>
    </row>
    <row r="7" spans="1:17" s="11" customFormat="1" ht="21" customHeight="1">
      <c r="A7" s="36" t="s">
        <v>4</v>
      </c>
      <c r="B7" s="64"/>
      <c r="C7" s="65"/>
      <c r="D7" s="39" t="s">
        <v>5</v>
      </c>
      <c r="E7" s="40">
        <f aca="true" t="shared" si="0" ref="E7:K7">SUM(E8,E10,E12)</f>
        <v>302600</v>
      </c>
      <c r="F7" s="40">
        <f t="shared" si="0"/>
        <v>25000</v>
      </c>
      <c r="G7" s="40">
        <f t="shared" si="0"/>
        <v>327600</v>
      </c>
      <c r="H7" s="40">
        <f t="shared" si="0"/>
        <v>0</v>
      </c>
      <c r="I7" s="40">
        <f t="shared" si="0"/>
        <v>327600</v>
      </c>
      <c r="J7" s="40">
        <f t="shared" si="0"/>
        <v>0</v>
      </c>
      <c r="K7" s="40">
        <f t="shared" si="0"/>
        <v>327600</v>
      </c>
      <c r="L7" s="40">
        <f aca="true" t="shared" si="1" ref="L7:Q7">SUM(L8,L10,L12)</f>
        <v>0</v>
      </c>
      <c r="M7" s="40">
        <f t="shared" si="1"/>
        <v>327600</v>
      </c>
      <c r="N7" s="40">
        <f t="shared" si="1"/>
        <v>0</v>
      </c>
      <c r="O7" s="40">
        <f t="shared" si="1"/>
        <v>327600</v>
      </c>
      <c r="P7" s="40">
        <f t="shared" si="1"/>
        <v>0</v>
      </c>
      <c r="Q7" s="40">
        <f t="shared" si="1"/>
        <v>327600</v>
      </c>
    </row>
    <row r="8" spans="1:17" s="147" customFormat="1" ht="21" customHeight="1">
      <c r="A8" s="186"/>
      <c r="B8" s="187" t="s">
        <v>308</v>
      </c>
      <c r="C8" s="188"/>
      <c r="D8" s="189" t="s">
        <v>309</v>
      </c>
      <c r="E8" s="85">
        <f aca="true" t="shared" si="2" ref="E8:Q8">SUM(E9)</f>
        <v>45000</v>
      </c>
      <c r="F8" s="85">
        <f t="shared" si="2"/>
        <v>0</v>
      </c>
      <c r="G8" s="85">
        <f t="shared" si="2"/>
        <v>45000</v>
      </c>
      <c r="H8" s="85">
        <f t="shared" si="2"/>
        <v>0</v>
      </c>
      <c r="I8" s="85">
        <f t="shared" si="2"/>
        <v>45000</v>
      </c>
      <c r="J8" s="85">
        <f t="shared" si="2"/>
        <v>0</v>
      </c>
      <c r="K8" s="85">
        <f t="shared" si="2"/>
        <v>45000</v>
      </c>
      <c r="L8" s="85">
        <f t="shared" si="2"/>
        <v>0</v>
      </c>
      <c r="M8" s="85">
        <f t="shared" si="2"/>
        <v>45000</v>
      </c>
      <c r="N8" s="85">
        <f t="shared" si="2"/>
        <v>0</v>
      </c>
      <c r="O8" s="85">
        <f t="shared" si="2"/>
        <v>45000</v>
      </c>
      <c r="P8" s="85">
        <f t="shared" si="2"/>
        <v>0</v>
      </c>
      <c r="Q8" s="85">
        <f t="shared" si="2"/>
        <v>45000</v>
      </c>
    </row>
    <row r="9" spans="1:19" s="147" customFormat="1" ht="48">
      <c r="A9" s="186"/>
      <c r="B9" s="190"/>
      <c r="C9" s="188">
        <v>2830</v>
      </c>
      <c r="D9" s="189" t="s">
        <v>346</v>
      </c>
      <c r="E9" s="85">
        <v>45000</v>
      </c>
      <c r="F9" s="85"/>
      <c r="G9" s="85">
        <f>SUM(E9:F9)</f>
        <v>45000</v>
      </c>
      <c r="H9" s="85"/>
      <c r="I9" s="85">
        <f>SUM(G9:H9)</f>
        <v>45000</v>
      </c>
      <c r="J9" s="85"/>
      <c r="K9" s="85">
        <f>SUM(I9:J9)</f>
        <v>45000</v>
      </c>
      <c r="L9" s="85"/>
      <c r="M9" s="85">
        <f>SUM(K9:L9)</f>
        <v>45000</v>
      </c>
      <c r="N9" s="85"/>
      <c r="O9" s="85">
        <f>SUM(M9:N9)</f>
        <v>45000</v>
      </c>
      <c r="P9" s="85"/>
      <c r="Q9" s="85">
        <f>SUM(O9:P9)</f>
        <v>45000</v>
      </c>
      <c r="R9" s="240"/>
      <c r="S9" s="240"/>
    </row>
    <row r="10" spans="1:17" s="27" customFormat="1" ht="21" customHeight="1">
      <c r="A10" s="71"/>
      <c r="B10" s="86" t="s">
        <v>70</v>
      </c>
      <c r="C10" s="74"/>
      <c r="D10" s="41" t="s">
        <v>71</v>
      </c>
      <c r="E10" s="85">
        <f aca="true" t="shared" si="3" ref="E10:Q10">SUM(E11)</f>
        <v>7600</v>
      </c>
      <c r="F10" s="85">
        <f t="shared" si="3"/>
        <v>0</v>
      </c>
      <c r="G10" s="85">
        <f t="shared" si="3"/>
        <v>7600</v>
      </c>
      <c r="H10" s="85">
        <f t="shared" si="3"/>
        <v>0</v>
      </c>
      <c r="I10" s="85">
        <f t="shared" si="3"/>
        <v>7600</v>
      </c>
      <c r="J10" s="85">
        <f t="shared" si="3"/>
        <v>0</v>
      </c>
      <c r="K10" s="85">
        <f t="shared" si="3"/>
        <v>7600</v>
      </c>
      <c r="L10" s="85">
        <f t="shared" si="3"/>
        <v>0</v>
      </c>
      <c r="M10" s="85">
        <f t="shared" si="3"/>
        <v>7600</v>
      </c>
      <c r="N10" s="85">
        <f t="shared" si="3"/>
        <v>0</v>
      </c>
      <c r="O10" s="85">
        <f t="shared" si="3"/>
        <v>7600</v>
      </c>
      <c r="P10" s="85">
        <f t="shared" si="3"/>
        <v>0</v>
      </c>
      <c r="Q10" s="85">
        <f t="shared" si="3"/>
        <v>7600</v>
      </c>
    </row>
    <row r="11" spans="1:17" s="27" customFormat="1" ht="36">
      <c r="A11" s="87"/>
      <c r="B11" s="88"/>
      <c r="C11" s="74">
        <v>2850</v>
      </c>
      <c r="D11" s="41" t="s">
        <v>371</v>
      </c>
      <c r="E11" s="85">
        <v>7600</v>
      </c>
      <c r="F11" s="85"/>
      <c r="G11" s="85">
        <f>SUM(E11:F11)</f>
        <v>7600</v>
      </c>
      <c r="H11" s="85"/>
      <c r="I11" s="85">
        <f>SUM(G11:H11)</f>
        <v>7600</v>
      </c>
      <c r="J11" s="85"/>
      <c r="K11" s="85">
        <f>SUM(I11:J11)</f>
        <v>7600</v>
      </c>
      <c r="L11" s="85"/>
      <c r="M11" s="85">
        <f>SUM(K11:L11)</f>
        <v>7600</v>
      </c>
      <c r="N11" s="85"/>
      <c r="O11" s="85">
        <f>SUM(M11:N11)</f>
        <v>7600</v>
      </c>
      <c r="P11" s="85"/>
      <c r="Q11" s="85">
        <f>SUM(O11:P11)</f>
        <v>7600</v>
      </c>
    </row>
    <row r="12" spans="1:17" s="27" customFormat="1" ht="24" customHeight="1">
      <c r="A12" s="87"/>
      <c r="B12" s="88" t="s">
        <v>317</v>
      </c>
      <c r="C12" s="74"/>
      <c r="D12" s="41" t="s">
        <v>334</v>
      </c>
      <c r="E12" s="85">
        <f aca="true" t="shared" si="4" ref="E12:J12">SUM(E14)</f>
        <v>250000</v>
      </c>
      <c r="F12" s="85">
        <f t="shared" si="4"/>
        <v>25000</v>
      </c>
      <c r="G12" s="85">
        <f t="shared" si="4"/>
        <v>275000</v>
      </c>
      <c r="H12" s="85">
        <f t="shared" si="4"/>
        <v>0</v>
      </c>
      <c r="I12" s="85">
        <f t="shared" si="4"/>
        <v>275000</v>
      </c>
      <c r="J12" s="85">
        <f t="shared" si="4"/>
        <v>0</v>
      </c>
      <c r="K12" s="85">
        <f>SUM(K13:K14)</f>
        <v>275000</v>
      </c>
      <c r="L12" s="85">
        <f>SUM(L13:L14)</f>
        <v>0</v>
      </c>
      <c r="M12" s="85">
        <f>SUM(M13:M15)</f>
        <v>275000</v>
      </c>
      <c r="N12" s="85">
        <f>SUM(N13:N15)</f>
        <v>0</v>
      </c>
      <c r="O12" s="85">
        <f>SUM(O13:O15)</f>
        <v>275000</v>
      </c>
      <c r="P12" s="85">
        <f>SUM(P13:P15)</f>
        <v>0</v>
      </c>
      <c r="Q12" s="85">
        <f>SUM(Q13:Q15)</f>
        <v>275000</v>
      </c>
    </row>
    <row r="13" spans="1:17" s="27" customFormat="1" ht="24" customHeight="1">
      <c r="A13" s="87"/>
      <c r="B13" s="88"/>
      <c r="C13" s="74">
        <v>4170</v>
      </c>
      <c r="D13" s="41" t="s">
        <v>478</v>
      </c>
      <c r="E13" s="85"/>
      <c r="F13" s="85"/>
      <c r="G13" s="85"/>
      <c r="H13" s="85"/>
      <c r="I13" s="85"/>
      <c r="J13" s="85"/>
      <c r="K13" s="85">
        <v>0</v>
      </c>
      <c r="L13" s="85">
        <v>7000</v>
      </c>
      <c r="M13" s="85">
        <f>SUM(K13:L13)</f>
        <v>7000</v>
      </c>
      <c r="N13" s="85"/>
      <c r="O13" s="85">
        <f>SUM(M13:N13)</f>
        <v>7000</v>
      </c>
      <c r="P13" s="85"/>
      <c r="Q13" s="85">
        <f>SUM(O13:P13)</f>
        <v>7000</v>
      </c>
    </row>
    <row r="14" spans="1:17" s="27" customFormat="1" ht="24" customHeight="1">
      <c r="A14" s="87"/>
      <c r="B14" s="88"/>
      <c r="C14" s="74">
        <v>4300</v>
      </c>
      <c r="D14" s="41" t="s">
        <v>79</v>
      </c>
      <c r="E14" s="85">
        <v>250000</v>
      </c>
      <c r="F14" s="85">
        <v>25000</v>
      </c>
      <c r="G14" s="85">
        <f>SUM(E14:F14)</f>
        <v>275000</v>
      </c>
      <c r="H14" s="85"/>
      <c r="I14" s="85">
        <f>SUM(G14:H14)</f>
        <v>275000</v>
      </c>
      <c r="J14" s="85"/>
      <c r="K14" s="85">
        <f>SUM(I14:J14)</f>
        <v>275000</v>
      </c>
      <c r="L14" s="85">
        <v>-7000</v>
      </c>
      <c r="M14" s="85">
        <f>SUM(K14:L14)</f>
        <v>268000</v>
      </c>
      <c r="N14" s="85"/>
      <c r="O14" s="85">
        <f>SUM(M14:N14)</f>
        <v>268000</v>
      </c>
      <c r="P14" s="85"/>
      <c r="Q14" s="85">
        <f>SUM(O14:P14)</f>
        <v>268000</v>
      </c>
    </row>
    <row r="15" spans="1:17" s="27" customFormat="1" ht="24" customHeight="1">
      <c r="A15" s="87"/>
      <c r="B15" s="88"/>
      <c r="C15" s="74">
        <v>6050</v>
      </c>
      <c r="D15" s="41" t="s">
        <v>73</v>
      </c>
      <c r="E15" s="85"/>
      <c r="F15" s="85"/>
      <c r="G15" s="85"/>
      <c r="H15" s="85"/>
      <c r="I15" s="85"/>
      <c r="J15" s="85"/>
      <c r="K15" s="85"/>
      <c r="L15" s="85"/>
      <c r="M15" s="85">
        <v>0</v>
      </c>
      <c r="N15" s="85"/>
      <c r="O15" s="85">
        <f>SUM(M15:N15)</f>
        <v>0</v>
      </c>
      <c r="P15" s="85"/>
      <c r="Q15" s="85">
        <f>SUM(O15:P15)</f>
        <v>0</v>
      </c>
    </row>
    <row r="16" spans="1:17" s="7" customFormat="1" ht="21" customHeight="1">
      <c r="A16" s="36" t="s">
        <v>74</v>
      </c>
      <c r="B16" s="37"/>
      <c r="C16" s="38"/>
      <c r="D16" s="39" t="s">
        <v>75</v>
      </c>
      <c r="E16" s="40">
        <f aca="true" t="shared" si="5" ref="E16:K16">E19</f>
        <v>1046197</v>
      </c>
      <c r="F16" s="40">
        <f t="shared" si="5"/>
        <v>1460000</v>
      </c>
      <c r="G16" s="40">
        <f t="shared" si="5"/>
        <v>2506197</v>
      </c>
      <c r="H16" s="40">
        <f t="shared" si="5"/>
        <v>0</v>
      </c>
      <c r="I16" s="40">
        <f t="shared" si="5"/>
        <v>2506197</v>
      </c>
      <c r="J16" s="40">
        <f t="shared" si="5"/>
        <v>0</v>
      </c>
      <c r="K16" s="40">
        <f t="shared" si="5"/>
        <v>2506197</v>
      </c>
      <c r="L16" s="40">
        <f aca="true" t="shared" si="6" ref="L16:Q16">L19+L17</f>
        <v>149850</v>
      </c>
      <c r="M16" s="40">
        <f t="shared" si="6"/>
        <v>2656047</v>
      </c>
      <c r="N16" s="40">
        <f t="shared" si="6"/>
        <v>137220</v>
      </c>
      <c r="O16" s="40">
        <f t="shared" si="6"/>
        <v>2793267</v>
      </c>
      <c r="P16" s="40">
        <f t="shared" si="6"/>
        <v>0</v>
      </c>
      <c r="Q16" s="40">
        <f t="shared" si="6"/>
        <v>2793267</v>
      </c>
    </row>
    <row r="17" spans="1:17" s="147" customFormat="1" ht="21" customHeight="1">
      <c r="A17" s="186"/>
      <c r="B17" s="155">
        <v>60014</v>
      </c>
      <c r="C17" s="165"/>
      <c r="D17" s="157" t="s">
        <v>418</v>
      </c>
      <c r="E17" s="258"/>
      <c r="F17" s="258"/>
      <c r="G17" s="258"/>
      <c r="H17" s="258"/>
      <c r="I17" s="258"/>
      <c r="J17" s="258"/>
      <c r="K17" s="258">
        <f aca="true" t="shared" si="7" ref="K17:Q17">SUM(K18)</f>
        <v>0</v>
      </c>
      <c r="L17" s="258">
        <f t="shared" si="7"/>
        <v>100000</v>
      </c>
      <c r="M17" s="258">
        <f t="shared" si="7"/>
        <v>100000</v>
      </c>
      <c r="N17" s="258">
        <f t="shared" si="7"/>
        <v>127220</v>
      </c>
      <c r="O17" s="258">
        <f t="shared" si="7"/>
        <v>227220</v>
      </c>
      <c r="P17" s="258">
        <f t="shared" si="7"/>
        <v>0</v>
      </c>
      <c r="Q17" s="258">
        <f t="shared" si="7"/>
        <v>227220</v>
      </c>
    </row>
    <row r="18" spans="1:17" s="147" customFormat="1" ht="48">
      <c r="A18" s="186"/>
      <c r="B18" s="155"/>
      <c r="C18" s="165">
        <v>6300</v>
      </c>
      <c r="D18" s="157" t="s">
        <v>416</v>
      </c>
      <c r="E18" s="258"/>
      <c r="F18" s="258"/>
      <c r="G18" s="258"/>
      <c r="H18" s="258"/>
      <c r="I18" s="258"/>
      <c r="J18" s="258"/>
      <c r="K18" s="258">
        <v>0</v>
      </c>
      <c r="L18" s="258">
        <v>100000</v>
      </c>
      <c r="M18" s="258">
        <f>SUM(K18:L18)</f>
        <v>100000</v>
      </c>
      <c r="N18" s="258">
        <v>127220</v>
      </c>
      <c r="O18" s="258">
        <f>SUM(M18:N18)</f>
        <v>227220</v>
      </c>
      <c r="P18" s="258"/>
      <c r="Q18" s="258">
        <f>SUM(O18:P18)</f>
        <v>227220</v>
      </c>
    </row>
    <row r="19" spans="1:17" s="27" customFormat="1" ht="21" customHeight="1">
      <c r="A19" s="71"/>
      <c r="B19" s="86" t="s">
        <v>76</v>
      </c>
      <c r="C19" s="90"/>
      <c r="D19" s="41" t="s">
        <v>77</v>
      </c>
      <c r="E19" s="85">
        <f aca="true" t="shared" si="8" ref="E19:K19">SUM(E20:E23)</f>
        <v>1046197</v>
      </c>
      <c r="F19" s="85">
        <f t="shared" si="8"/>
        <v>1460000</v>
      </c>
      <c r="G19" s="85">
        <f t="shared" si="8"/>
        <v>2506197</v>
      </c>
      <c r="H19" s="85">
        <f t="shared" si="8"/>
        <v>0</v>
      </c>
      <c r="I19" s="85">
        <f t="shared" si="8"/>
        <v>2506197</v>
      </c>
      <c r="J19" s="85">
        <f t="shared" si="8"/>
        <v>0</v>
      </c>
      <c r="K19" s="85">
        <f t="shared" si="8"/>
        <v>2506197</v>
      </c>
      <c r="L19" s="85">
        <f aca="true" t="shared" si="9" ref="L19:Q19">SUM(L20:L23)</f>
        <v>49850</v>
      </c>
      <c r="M19" s="85">
        <f t="shared" si="9"/>
        <v>2556047</v>
      </c>
      <c r="N19" s="85">
        <f t="shared" si="9"/>
        <v>10000</v>
      </c>
      <c r="O19" s="85">
        <f t="shared" si="9"/>
        <v>2566047</v>
      </c>
      <c r="P19" s="85">
        <f t="shared" si="9"/>
        <v>0</v>
      </c>
      <c r="Q19" s="85">
        <f t="shared" si="9"/>
        <v>2566047</v>
      </c>
    </row>
    <row r="20" spans="1:17" s="27" customFormat="1" ht="21" customHeight="1">
      <c r="A20" s="71"/>
      <c r="B20" s="91"/>
      <c r="C20" s="71">
        <v>4210</v>
      </c>
      <c r="D20" s="41" t="s">
        <v>72</v>
      </c>
      <c r="E20" s="85">
        <f>19527+28019</f>
        <v>47546</v>
      </c>
      <c r="F20" s="85"/>
      <c r="G20" s="85">
        <f>SUM(E20:F20)</f>
        <v>47546</v>
      </c>
      <c r="H20" s="85"/>
      <c r="I20" s="85">
        <f>SUM(G20:H20)</f>
        <v>47546</v>
      </c>
      <c r="J20" s="85"/>
      <c r="K20" s="85">
        <f>SUM(I20:J20)</f>
        <v>47546</v>
      </c>
      <c r="L20" s="85">
        <v>-1150</v>
      </c>
      <c r="M20" s="85">
        <f>SUM(K20:L20)</f>
        <v>46396</v>
      </c>
      <c r="N20" s="85"/>
      <c r="O20" s="85">
        <f>SUM(M20:N20)</f>
        <v>46396</v>
      </c>
      <c r="P20" s="85"/>
      <c r="Q20" s="85">
        <f>SUM(O20:P20)</f>
        <v>46396</v>
      </c>
    </row>
    <row r="21" spans="1:17" s="27" customFormat="1" ht="21" customHeight="1">
      <c r="A21" s="71"/>
      <c r="B21" s="91"/>
      <c r="C21" s="71">
        <v>4270</v>
      </c>
      <c r="D21" s="41" t="s">
        <v>78</v>
      </c>
      <c r="E21" s="85">
        <f>250000+13800</f>
        <v>263800</v>
      </c>
      <c r="F21" s="85"/>
      <c r="G21" s="85">
        <f>SUM(E21:F21)</f>
        <v>263800</v>
      </c>
      <c r="H21" s="85"/>
      <c r="I21" s="85">
        <f>SUM(G21:H21)</f>
        <v>263800</v>
      </c>
      <c r="J21" s="85"/>
      <c r="K21" s="85">
        <f>SUM(I21:J21)</f>
        <v>263800</v>
      </c>
      <c r="L21" s="85"/>
      <c r="M21" s="85">
        <f>SUM(K21:L21)</f>
        <v>263800</v>
      </c>
      <c r="N21" s="85"/>
      <c r="O21" s="85">
        <f>SUM(M21:N21)</f>
        <v>263800</v>
      </c>
      <c r="P21" s="85"/>
      <c r="Q21" s="85">
        <f>SUM(O21:P21)</f>
        <v>263800</v>
      </c>
    </row>
    <row r="22" spans="1:17" s="27" customFormat="1" ht="21" customHeight="1">
      <c r="A22" s="71"/>
      <c r="B22" s="91"/>
      <c r="C22" s="71">
        <v>4300</v>
      </c>
      <c r="D22" s="41" t="s">
        <v>79</v>
      </c>
      <c r="E22" s="85">
        <f>245000+1200+19351</f>
        <v>265551</v>
      </c>
      <c r="F22" s="85">
        <v>20000</v>
      </c>
      <c r="G22" s="85">
        <f>SUM(E22:F22)</f>
        <v>285551</v>
      </c>
      <c r="H22" s="85"/>
      <c r="I22" s="85">
        <f>SUM(G22:H22)</f>
        <v>285551</v>
      </c>
      <c r="J22" s="85"/>
      <c r="K22" s="85">
        <f>SUM(I22:J22)</f>
        <v>285551</v>
      </c>
      <c r="L22" s="85">
        <v>51000</v>
      </c>
      <c r="M22" s="85">
        <f>SUM(K22:L22)</f>
        <v>336551</v>
      </c>
      <c r="N22" s="85">
        <v>10000</v>
      </c>
      <c r="O22" s="85">
        <f>SUM(M22:N22)</f>
        <v>346551</v>
      </c>
      <c r="P22" s="85"/>
      <c r="Q22" s="85">
        <f>SUM(O22:P22)</f>
        <v>346551</v>
      </c>
    </row>
    <row r="23" spans="1:17" s="27" customFormat="1" ht="24">
      <c r="A23" s="71"/>
      <c r="B23" s="91"/>
      <c r="C23" s="71">
        <v>6050</v>
      </c>
      <c r="D23" s="41" t="s">
        <v>73</v>
      </c>
      <c r="E23" s="85">
        <f>6300+13000+450000</f>
        <v>469300</v>
      </c>
      <c r="F23" s="85">
        <f>-100000+500000+30000+500000+500000+10000</f>
        <v>1440000</v>
      </c>
      <c r="G23" s="85">
        <f>SUM(E23:F23)</f>
        <v>1909300</v>
      </c>
      <c r="H23" s="85"/>
      <c r="I23" s="85">
        <f>SUM(G23:H23)</f>
        <v>1909300</v>
      </c>
      <c r="J23" s="85"/>
      <c r="K23" s="85">
        <f>SUM(I23:J23)</f>
        <v>1909300</v>
      </c>
      <c r="L23" s="85"/>
      <c r="M23" s="85">
        <f>SUM(K23:L23)</f>
        <v>1909300</v>
      </c>
      <c r="N23" s="85"/>
      <c r="O23" s="85">
        <f>SUM(M23:N23)</f>
        <v>1909300</v>
      </c>
      <c r="P23" s="85"/>
      <c r="Q23" s="85">
        <f>SUM(O23:P23)</f>
        <v>1909300</v>
      </c>
    </row>
    <row r="24" spans="1:17" s="7" customFormat="1" ht="21" customHeight="1">
      <c r="A24" s="36" t="s">
        <v>8</v>
      </c>
      <c r="B24" s="37"/>
      <c r="C24" s="38"/>
      <c r="D24" s="39" t="s">
        <v>9</v>
      </c>
      <c r="E24" s="40">
        <f aca="true" t="shared" si="10" ref="E24:K24">SUM(E25,E27,E40)</f>
        <v>2992517</v>
      </c>
      <c r="F24" s="40">
        <f t="shared" si="10"/>
        <v>-700000</v>
      </c>
      <c r="G24" s="40">
        <f t="shared" si="10"/>
        <v>2292517</v>
      </c>
      <c r="H24" s="40">
        <f t="shared" si="10"/>
        <v>0</v>
      </c>
      <c r="I24" s="40">
        <f t="shared" si="10"/>
        <v>2292517</v>
      </c>
      <c r="J24" s="40">
        <f t="shared" si="10"/>
        <v>0</v>
      </c>
      <c r="K24" s="40">
        <f t="shared" si="10"/>
        <v>2292517</v>
      </c>
      <c r="L24" s="40">
        <f aca="true" t="shared" si="11" ref="L24:Q24">SUM(L25,L27,L40)</f>
        <v>191405</v>
      </c>
      <c r="M24" s="40">
        <f t="shared" si="11"/>
        <v>2483922</v>
      </c>
      <c r="N24" s="40">
        <f t="shared" si="11"/>
        <v>0</v>
      </c>
      <c r="O24" s="40">
        <f t="shared" si="11"/>
        <v>2483922</v>
      </c>
      <c r="P24" s="40">
        <f t="shared" si="11"/>
        <v>0</v>
      </c>
      <c r="Q24" s="40">
        <f t="shared" si="11"/>
        <v>2483922</v>
      </c>
    </row>
    <row r="25" spans="1:17" s="27" customFormat="1" ht="24">
      <c r="A25" s="71"/>
      <c r="B25" s="91">
        <v>70004</v>
      </c>
      <c r="C25" s="90"/>
      <c r="D25" s="41" t="s">
        <v>199</v>
      </c>
      <c r="E25" s="85">
        <f aca="true" t="shared" si="12" ref="E25:Q25">SUM(E26)</f>
        <v>30000</v>
      </c>
      <c r="F25" s="85">
        <f t="shared" si="12"/>
        <v>0</v>
      </c>
      <c r="G25" s="85">
        <f t="shared" si="12"/>
        <v>30000</v>
      </c>
      <c r="H25" s="85">
        <f t="shared" si="12"/>
        <v>0</v>
      </c>
      <c r="I25" s="85">
        <f t="shared" si="12"/>
        <v>30000</v>
      </c>
      <c r="J25" s="85">
        <f t="shared" si="12"/>
        <v>0</v>
      </c>
      <c r="K25" s="85">
        <f t="shared" si="12"/>
        <v>30000</v>
      </c>
      <c r="L25" s="85">
        <f t="shared" si="12"/>
        <v>0</v>
      </c>
      <c r="M25" s="85">
        <f t="shared" si="12"/>
        <v>30000</v>
      </c>
      <c r="N25" s="85">
        <f t="shared" si="12"/>
        <v>0</v>
      </c>
      <c r="O25" s="85">
        <f t="shared" si="12"/>
        <v>30000</v>
      </c>
      <c r="P25" s="85">
        <f t="shared" si="12"/>
        <v>0</v>
      </c>
      <c r="Q25" s="85">
        <f t="shared" si="12"/>
        <v>30000</v>
      </c>
    </row>
    <row r="26" spans="1:17" s="27" customFormat="1" ht="21" customHeight="1">
      <c r="A26" s="71"/>
      <c r="B26" s="91"/>
      <c r="C26" s="90">
        <v>4300</v>
      </c>
      <c r="D26" s="41" t="s">
        <v>79</v>
      </c>
      <c r="E26" s="85">
        <v>30000</v>
      </c>
      <c r="F26" s="85"/>
      <c r="G26" s="85">
        <f>SUM(E26:F26)</f>
        <v>30000</v>
      </c>
      <c r="H26" s="85"/>
      <c r="I26" s="85">
        <f>SUM(G26:H26)</f>
        <v>30000</v>
      </c>
      <c r="J26" s="85"/>
      <c r="K26" s="85">
        <f>SUM(I26:J26)</f>
        <v>30000</v>
      </c>
      <c r="L26" s="85"/>
      <c r="M26" s="85">
        <f>SUM(K26:L26)</f>
        <v>30000</v>
      </c>
      <c r="N26" s="85"/>
      <c r="O26" s="85">
        <f>SUM(M26:N26)</f>
        <v>30000</v>
      </c>
      <c r="P26" s="85"/>
      <c r="Q26" s="85">
        <f>SUM(O26:P26)</f>
        <v>30000</v>
      </c>
    </row>
    <row r="27" spans="1:17" s="27" customFormat="1" ht="21" customHeight="1">
      <c r="A27" s="71"/>
      <c r="B27" s="86" t="s">
        <v>10</v>
      </c>
      <c r="C27" s="90"/>
      <c r="D27" s="41" t="s">
        <v>148</v>
      </c>
      <c r="E27" s="85">
        <f aca="true" t="shared" si="13" ref="E27:K27">SUM(E28:E39)</f>
        <v>2461932</v>
      </c>
      <c r="F27" s="85">
        <f t="shared" si="13"/>
        <v>-500000</v>
      </c>
      <c r="G27" s="85">
        <f t="shared" si="13"/>
        <v>1961932</v>
      </c>
      <c r="H27" s="85">
        <f t="shared" si="13"/>
        <v>0</v>
      </c>
      <c r="I27" s="85">
        <f t="shared" si="13"/>
        <v>1961932</v>
      </c>
      <c r="J27" s="85">
        <f t="shared" si="13"/>
        <v>0</v>
      </c>
      <c r="K27" s="85">
        <f t="shared" si="13"/>
        <v>1961932</v>
      </c>
      <c r="L27" s="85">
        <f aca="true" t="shared" si="14" ref="L27:Q27">SUM(L28:L39)</f>
        <v>191405</v>
      </c>
      <c r="M27" s="85">
        <f t="shared" si="14"/>
        <v>2153337</v>
      </c>
      <c r="N27" s="85">
        <f t="shared" si="14"/>
        <v>0</v>
      </c>
      <c r="O27" s="85">
        <f t="shared" si="14"/>
        <v>2153337</v>
      </c>
      <c r="P27" s="85">
        <f t="shared" si="14"/>
        <v>-2500</v>
      </c>
      <c r="Q27" s="85">
        <f t="shared" si="14"/>
        <v>2150837</v>
      </c>
    </row>
    <row r="28" spans="1:17" s="27" customFormat="1" ht="21" customHeight="1">
      <c r="A28" s="71"/>
      <c r="B28" s="86"/>
      <c r="C28" s="90">
        <v>4170</v>
      </c>
      <c r="D28" s="41" t="s">
        <v>191</v>
      </c>
      <c r="E28" s="85">
        <v>5000</v>
      </c>
      <c r="F28" s="85"/>
      <c r="G28" s="85">
        <f>SUM(E28:F28)</f>
        <v>5000</v>
      </c>
      <c r="H28" s="85"/>
      <c r="I28" s="85">
        <f>SUM(G28:H28)</f>
        <v>5000</v>
      </c>
      <c r="J28" s="85"/>
      <c r="K28" s="85">
        <f>SUM(I28:J28)</f>
        <v>5000</v>
      </c>
      <c r="L28" s="85"/>
      <c r="M28" s="85">
        <f>SUM(K28:L28)</f>
        <v>5000</v>
      </c>
      <c r="N28" s="85"/>
      <c r="O28" s="85">
        <f>SUM(M28:N28)</f>
        <v>5000</v>
      </c>
      <c r="P28" s="85"/>
      <c r="Q28" s="85">
        <f>SUM(O28:P28)</f>
        <v>5000</v>
      </c>
    </row>
    <row r="29" spans="1:17" s="27" customFormat="1" ht="21" customHeight="1">
      <c r="A29" s="71"/>
      <c r="B29" s="86"/>
      <c r="C29" s="90">
        <v>4210</v>
      </c>
      <c r="D29" s="41" t="s">
        <v>72</v>
      </c>
      <c r="E29" s="85">
        <v>74000</v>
      </c>
      <c r="F29" s="85"/>
      <c r="G29" s="85">
        <f aca="true" t="shared" si="15" ref="G29:G39">SUM(E29:F29)</f>
        <v>74000</v>
      </c>
      <c r="H29" s="85"/>
      <c r="I29" s="85">
        <f aca="true" t="shared" si="16" ref="I29:I39">SUM(G29:H29)</f>
        <v>74000</v>
      </c>
      <c r="J29" s="85"/>
      <c r="K29" s="85">
        <f aca="true" t="shared" si="17" ref="K29:K39">SUM(I29:J29)</f>
        <v>74000</v>
      </c>
      <c r="L29" s="85"/>
      <c r="M29" s="85">
        <f aca="true" t="shared" si="18" ref="M29:M39">SUM(K29:L29)</f>
        <v>74000</v>
      </c>
      <c r="N29" s="85"/>
      <c r="O29" s="85">
        <f aca="true" t="shared" si="19" ref="O29:O39">SUM(M29:N29)</f>
        <v>74000</v>
      </c>
      <c r="P29" s="85"/>
      <c r="Q29" s="85">
        <f aca="true" t="shared" si="20" ref="Q29:Q39">SUM(O29:P29)</f>
        <v>74000</v>
      </c>
    </row>
    <row r="30" spans="1:17" s="27" customFormat="1" ht="21" customHeight="1">
      <c r="A30" s="71"/>
      <c r="B30" s="86"/>
      <c r="C30" s="90">
        <v>4260</v>
      </c>
      <c r="D30" s="41" t="s">
        <v>95</v>
      </c>
      <c r="E30" s="85">
        <v>73800</v>
      </c>
      <c r="F30" s="85"/>
      <c r="G30" s="85">
        <f t="shared" si="15"/>
        <v>73800</v>
      </c>
      <c r="H30" s="85"/>
      <c r="I30" s="85">
        <f t="shared" si="16"/>
        <v>73800</v>
      </c>
      <c r="J30" s="85"/>
      <c r="K30" s="85">
        <f t="shared" si="17"/>
        <v>73800</v>
      </c>
      <c r="L30" s="85"/>
      <c r="M30" s="85">
        <f t="shared" si="18"/>
        <v>73800</v>
      </c>
      <c r="N30" s="85"/>
      <c r="O30" s="85">
        <f t="shared" si="19"/>
        <v>73800</v>
      </c>
      <c r="P30" s="85"/>
      <c r="Q30" s="85">
        <f t="shared" si="20"/>
        <v>73800</v>
      </c>
    </row>
    <row r="31" spans="1:17" s="27" customFormat="1" ht="21" customHeight="1">
      <c r="A31" s="71"/>
      <c r="B31" s="86"/>
      <c r="C31" s="90">
        <v>4270</v>
      </c>
      <c r="D31" s="41" t="s">
        <v>78</v>
      </c>
      <c r="E31" s="85">
        <v>1200000</v>
      </c>
      <c r="F31" s="85">
        <v>-500000</v>
      </c>
      <c r="G31" s="85">
        <f t="shared" si="15"/>
        <v>700000</v>
      </c>
      <c r="H31" s="85"/>
      <c r="I31" s="85">
        <f t="shared" si="16"/>
        <v>700000</v>
      </c>
      <c r="J31" s="85"/>
      <c r="K31" s="85">
        <f t="shared" si="17"/>
        <v>700000</v>
      </c>
      <c r="L31" s="85"/>
      <c r="M31" s="85">
        <f t="shared" si="18"/>
        <v>700000</v>
      </c>
      <c r="N31" s="85"/>
      <c r="O31" s="85">
        <f t="shared" si="19"/>
        <v>700000</v>
      </c>
      <c r="P31" s="85"/>
      <c r="Q31" s="85">
        <f t="shared" si="20"/>
        <v>700000</v>
      </c>
    </row>
    <row r="32" spans="1:17" s="227" customFormat="1" ht="21" customHeight="1">
      <c r="A32" s="225"/>
      <c r="B32" s="226"/>
      <c r="C32" s="71">
        <v>4300</v>
      </c>
      <c r="D32" s="41" t="s">
        <v>79</v>
      </c>
      <c r="E32" s="85">
        <f>600+201200+90000-5000</f>
        <v>286800</v>
      </c>
      <c r="F32" s="85"/>
      <c r="G32" s="85">
        <f t="shared" si="15"/>
        <v>286800</v>
      </c>
      <c r="H32" s="85"/>
      <c r="I32" s="85">
        <f t="shared" si="16"/>
        <v>286800</v>
      </c>
      <c r="J32" s="85">
        <v>-10000</v>
      </c>
      <c r="K32" s="85">
        <f t="shared" si="17"/>
        <v>276800</v>
      </c>
      <c r="L32" s="85">
        <f>29253-1296</f>
        <v>27957</v>
      </c>
      <c r="M32" s="85">
        <f t="shared" si="18"/>
        <v>304757</v>
      </c>
      <c r="N32" s="85"/>
      <c r="O32" s="85">
        <f t="shared" si="19"/>
        <v>304757</v>
      </c>
      <c r="P32" s="85">
        <v>-2500</v>
      </c>
      <c r="Q32" s="85">
        <f t="shared" si="20"/>
        <v>302257</v>
      </c>
    </row>
    <row r="33" spans="1:17" s="227" customFormat="1" ht="21" customHeight="1">
      <c r="A33" s="225"/>
      <c r="B33" s="226"/>
      <c r="C33" s="71">
        <v>4390</v>
      </c>
      <c r="D33" s="41" t="s">
        <v>266</v>
      </c>
      <c r="E33" s="85"/>
      <c r="F33" s="85"/>
      <c r="G33" s="85"/>
      <c r="H33" s="85"/>
      <c r="I33" s="85">
        <v>0</v>
      </c>
      <c r="J33" s="85">
        <v>10000</v>
      </c>
      <c r="K33" s="85">
        <f t="shared" si="17"/>
        <v>10000</v>
      </c>
      <c r="L33" s="85"/>
      <c r="M33" s="85">
        <f t="shared" si="18"/>
        <v>10000</v>
      </c>
      <c r="N33" s="85"/>
      <c r="O33" s="85">
        <f t="shared" si="19"/>
        <v>10000</v>
      </c>
      <c r="P33" s="85"/>
      <c r="Q33" s="85">
        <f t="shared" si="20"/>
        <v>10000</v>
      </c>
    </row>
    <row r="34" spans="1:17" s="27" customFormat="1" ht="26.25" customHeight="1">
      <c r="A34" s="71"/>
      <c r="B34" s="91"/>
      <c r="C34" s="71">
        <v>4400</v>
      </c>
      <c r="D34" s="41" t="s">
        <v>252</v>
      </c>
      <c r="E34" s="85">
        <v>786500</v>
      </c>
      <c r="F34" s="85"/>
      <c r="G34" s="85">
        <f t="shared" si="15"/>
        <v>786500</v>
      </c>
      <c r="H34" s="85"/>
      <c r="I34" s="85">
        <f t="shared" si="16"/>
        <v>786500</v>
      </c>
      <c r="J34" s="85"/>
      <c r="K34" s="85">
        <f t="shared" si="17"/>
        <v>786500</v>
      </c>
      <c r="L34" s="85"/>
      <c r="M34" s="85">
        <f t="shared" si="18"/>
        <v>786500</v>
      </c>
      <c r="N34" s="85"/>
      <c r="O34" s="85">
        <f t="shared" si="19"/>
        <v>786500</v>
      </c>
      <c r="P34" s="85"/>
      <c r="Q34" s="85">
        <f t="shared" si="20"/>
        <v>786500</v>
      </c>
    </row>
    <row r="35" spans="1:17" s="27" customFormat="1" ht="21.75" customHeight="1">
      <c r="A35" s="71"/>
      <c r="B35" s="91"/>
      <c r="C35" s="71">
        <v>4430</v>
      </c>
      <c r="D35" s="41" t="s">
        <v>94</v>
      </c>
      <c r="E35" s="85">
        <v>5000</v>
      </c>
      <c r="F35" s="85"/>
      <c r="G35" s="85">
        <f t="shared" si="15"/>
        <v>5000</v>
      </c>
      <c r="H35" s="85"/>
      <c r="I35" s="85">
        <f t="shared" si="16"/>
        <v>5000</v>
      </c>
      <c r="J35" s="85"/>
      <c r="K35" s="85">
        <f t="shared" si="17"/>
        <v>5000</v>
      </c>
      <c r="L35" s="85"/>
      <c r="M35" s="85">
        <f t="shared" si="18"/>
        <v>5000</v>
      </c>
      <c r="N35" s="85"/>
      <c r="O35" s="85">
        <f t="shared" si="19"/>
        <v>5000</v>
      </c>
      <c r="P35" s="85"/>
      <c r="Q35" s="85">
        <f t="shared" si="20"/>
        <v>5000</v>
      </c>
    </row>
    <row r="36" spans="1:17" s="27" customFormat="1" ht="21" customHeight="1">
      <c r="A36" s="71"/>
      <c r="B36" s="91"/>
      <c r="C36" s="71">
        <v>4480</v>
      </c>
      <c r="D36" s="41" t="s">
        <v>30</v>
      </c>
      <c r="E36" s="85">
        <v>132</v>
      </c>
      <c r="F36" s="85"/>
      <c r="G36" s="85">
        <f t="shared" si="15"/>
        <v>132</v>
      </c>
      <c r="H36" s="85"/>
      <c r="I36" s="85">
        <f t="shared" si="16"/>
        <v>132</v>
      </c>
      <c r="J36" s="85"/>
      <c r="K36" s="85">
        <f t="shared" si="17"/>
        <v>132</v>
      </c>
      <c r="L36" s="85">
        <v>157782</v>
      </c>
      <c r="M36" s="85">
        <f t="shared" si="18"/>
        <v>157914</v>
      </c>
      <c r="N36" s="85"/>
      <c r="O36" s="85">
        <f t="shared" si="19"/>
        <v>157914</v>
      </c>
      <c r="P36" s="85"/>
      <c r="Q36" s="85">
        <f t="shared" si="20"/>
        <v>157914</v>
      </c>
    </row>
    <row r="37" spans="1:17" s="27" customFormat="1" ht="24">
      <c r="A37" s="71"/>
      <c r="B37" s="91"/>
      <c r="C37" s="71">
        <v>4500</v>
      </c>
      <c r="D37" s="41" t="s">
        <v>413</v>
      </c>
      <c r="E37" s="85"/>
      <c r="F37" s="85"/>
      <c r="G37" s="85"/>
      <c r="H37" s="85"/>
      <c r="I37" s="85"/>
      <c r="J37" s="85"/>
      <c r="K37" s="85">
        <v>0</v>
      </c>
      <c r="L37" s="85">
        <v>4919</v>
      </c>
      <c r="M37" s="85">
        <f t="shared" si="18"/>
        <v>4919</v>
      </c>
      <c r="N37" s="85"/>
      <c r="O37" s="85">
        <f t="shared" si="19"/>
        <v>4919</v>
      </c>
      <c r="P37" s="85"/>
      <c r="Q37" s="85">
        <f t="shared" si="20"/>
        <v>4919</v>
      </c>
    </row>
    <row r="38" spans="1:17" s="27" customFormat="1" ht="21" customHeight="1">
      <c r="A38" s="71"/>
      <c r="B38" s="91"/>
      <c r="C38" s="90">
        <v>4510</v>
      </c>
      <c r="D38" s="41" t="s">
        <v>145</v>
      </c>
      <c r="E38" s="85">
        <v>700</v>
      </c>
      <c r="F38" s="85"/>
      <c r="G38" s="85">
        <f t="shared" si="15"/>
        <v>700</v>
      </c>
      <c r="H38" s="85"/>
      <c r="I38" s="85">
        <f t="shared" si="16"/>
        <v>700</v>
      </c>
      <c r="J38" s="85"/>
      <c r="K38" s="85">
        <f t="shared" si="17"/>
        <v>700</v>
      </c>
      <c r="L38" s="85">
        <v>747</v>
      </c>
      <c r="M38" s="85">
        <f t="shared" si="18"/>
        <v>1447</v>
      </c>
      <c r="N38" s="85"/>
      <c r="O38" s="85">
        <f t="shared" si="19"/>
        <v>1447</v>
      </c>
      <c r="P38" s="85"/>
      <c r="Q38" s="85">
        <f t="shared" si="20"/>
        <v>1447</v>
      </c>
    </row>
    <row r="39" spans="1:17" s="27" customFormat="1" ht="24">
      <c r="A39" s="71"/>
      <c r="B39" s="91"/>
      <c r="C39" s="90">
        <v>4610</v>
      </c>
      <c r="D39" s="41" t="s">
        <v>182</v>
      </c>
      <c r="E39" s="85">
        <v>30000</v>
      </c>
      <c r="F39" s="85"/>
      <c r="G39" s="85">
        <f t="shared" si="15"/>
        <v>30000</v>
      </c>
      <c r="H39" s="85"/>
      <c r="I39" s="85">
        <f t="shared" si="16"/>
        <v>30000</v>
      </c>
      <c r="J39" s="85"/>
      <c r="K39" s="85">
        <f t="shared" si="17"/>
        <v>30000</v>
      </c>
      <c r="L39" s="85"/>
      <c r="M39" s="85">
        <f t="shared" si="18"/>
        <v>30000</v>
      </c>
      <c r="N39" s="85"/>
      <c r="O39" s="85">
        <f t="shared" si="19"/>
        <v>30000</v>
      </c>
      <c r="P39" s="85"/>
      <c r="Q39" s="85">
        <f t="shared" si="20"/>
        <v>30000</v>
      </c>
    </row>
    <row r="40" spans="1:17" s="27" customFormat="1" ht="21" customHeight="1">
      <c r="A40" s="71"/>
      <c r="B40" s="86">
        <v>70095</v>
      </c>
      <c r="C40" s="90"/>
      <c r="D40" s="41" t="s">
        <v>6</v>
      </c>
      <c r="E40" s="85">
        <f aca="true" t="shared" si="21" ref="E40:K40">SUM(E41:E44)</f>
        <v>500585</v>
      </c>
      <c r="F40" s="85">
        <f t="shared" si="21"/>
        <v>-200000</v>
      </c>
      <c r="G40" s="85">
        <f t="shared" si="21"/>
        <v>300585</v>
      </c>
      <c r="H40" s="85">
        <f t="shared" si="21"/>
        <v>0</v>
      </c>
      <c r="I40" s="85">
        <f t="shared" si="21"/>
        <v>300585</v>
      </c>
      <c r="J40" s="85">
        <f t="shared" si="21"/>
        <v>0</v>
      </c>
      <c r="K40" s="85">
        <f t="shared" si="21"/>
        <v>300585</v>
      </c>
      <c r="L40" s="85">
        <f aca="true" t="shared" si="22" ref="L40:Q40">SUM(L41:L44)</f>
        <v>0</v>
      </c>
      <c r="M40" s="85">
        <f t="shared" si="22"/>
        <v>300585</v>
      </c>
      <c r="N40" s="85">
        <f t="shared" si="22"/>
        <v>0</v>
      </c>
      <c r="O40" s="85">
        <f t="shared" si="22"/>
        <v>300585</v>
      </c>
      <c r="P40" s="85">
        <f t="shared" si="22"/>
        <v>2500</v>
      </c>
      <c r="Q40" s="85">
        <f t="shared" si="22"/>
        <v>303085</v>
      </c>
    </row>
    <row r="41" spans="1:17" s="27" customFormat="1" ht="21" customHeight="1">
      <c r="A41" s="71"/>
      <c r="B41" s="86"/>
      <c r="C41" s="90">
        <v>4260</v>
      </c>
      <c r="D41" s="41" t="s">
        <v>95</v>
      </c>
      <c r="E41" s="85">
        <v>500</v>
      </c>
      <c r="F41" s="85"/>
      <c r="G41" s="85">
        <f>SUM(E41:F41)</f>
        <v>500</v>
      </c>
      <c r="H41" s="85"/>
      <c r="I41" s="85">
        <f>SUM(G41:H41)</f>
        <v>500</v>
      </c>
      <c r="J41" s="85"/>
      <c r="K41" s="85">
        <f>SUM(I41:J41)</f>
        <v>500</v>
      </c>
      <c r="L41" s="85"/>
      <c r="M41" s="85">
        <f>SUM(K41:L41)</f>
        <v>500</v>
      </c>
      <c r="N41" s="85"/>
      <c r="O41" s="85">
        <f>SUM(M41:N41)</f>
        <v>500</v>
      </c>
      <c r="P41" s="85"/>
      <c r="Q41" s="85">
        <f>SUM(O41:P41)</f>
        <v>500</v>
      </c>
    </row>
    <row r="42" spans="1:17" s="27" customFormat="1" ht="21" customHeight="1">
      <c r="A42" s="71"/>
      <c r="B42" s="86"/>
      <c r="C42" s="90">
        <v>4300</v>
      </c>
      <c r="D42" s="41" t="s">
        <v>79</v>
      </c>
      <c r="E42" s="85">
        <v>85</v>
      </c>
      <c r="F42" s="85"/>
      <c r="G42" s="85">
        <f>SUM(E42:F42)</f>
        <v>85</v>
      </c>
      <c r="H42" s="85"/>
      <c r="I42" s="85">
        <f>SUM(G42:H42)</f>
        <v>85</v>
      </c>
      <c r="J42" s="85"/>
      <c r="K42" s="85">
        <f>SUM(I42:J42)</f>
        <v>85</v>
      </c>
      <c r="L42" s="85"/>
      <c r="M42" s="85">
        <f>SUM(K42:L42)</f>
        <v>85</v>
      </c>
      <c r="N42" s="85"/>
      <c r="O42" s="85">
        <f>SUM(M42:N42)</f>
        <v>85</v>
      </c>
      <c r="P42" s="85"/>
      <c r="Q42" s="85">
        <f>SUM(O42:P42)</f>
        <v>85</v>
      </c>
    </row>
    <row r="43" spans="1:17" s="27" customFormat="1" ht="21" customHeight="1">
      <c r="A43" s="71"/>
      <c r="B43" s="86"/>
      <c r="C43" s="90">
        <v>4580</v>
      </c>
      <c r="D43" s="41" t="s">
        <v>11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v>0</v>
      </c>
      <c r="P43" s="85">
        <v>2500</v>
      </c>
      <c r="Q43" s="85">
        <f>SUM(O43:P43)</f>
        <v>2500</v>
      </c>
    </row>
    <row r="44" spans="1:17" s="27" customFormat="1" ht="24">
      <c r="A44" s="71"/>
      <c r="B44" s="86"/>
      <c r="C44" s="71">
        <v>6050</v>
      </c>
      <c r="D44" s="41" t="s">
        <v>73</v>
      </c>
      <c r="E44" s="85">
        <v>500000</v>
      </c>
      <c r="F44" s="85">
        <v>-200000</v>
      </c>
      <c r="G44" s="85">
        <f>SUM(E44:F44)</f>
        <v>300000</v>
      </c>
      <c r="H44" s="85"/>
      <c r="I44" s="85">
        <f>SUM(G44:H44)</f>
        <v>300000</v>
      </c>
      <c r="J44" s="85"/>
      <c r="K44" s="85">
        <f>SUM(I44:J44)</f>
        <v>300000</v>
      </c>
      <c r="L44" s="85"/>
      <c r="M44" s="85">
        <f>SUM(K44:L44)</f>
        <v>300000</v>
      </c>
      <c r="N44" s="85"/>
      <c r="O44" s="85">
        <f>SUM(M44:N44)</f>
        <v>300000</v>
      </c>
      <c r="P44" s="85"/>
      <c r="Q44" s="85">
        <f>SUM(O44:P44)</f>
        <v>300000</v>
      </c>
    </row>
    <row r="45" spans="1:17" s="7" customFormat="1" ht="21" customHeight="1">
      <c r="A45" s="36" t="s">
        <v>13</v>
      </c>
      <c r="B45" s="37"/>
      <c r="C45" s="38"/>
      <c r="D45" s="39" t="s">
        <v>80</v>
      </c>
      <c r="E45" s="40">
        <f aca="true" t="shared" si="23" ref="E45:K45">SUM(E46,E49)</f>
        <v>270200</v>
      </c>
      <c r="F45" s="40">
        <f t="shared" si="23"/>
        <v>20000</v>
      </c>
      <c r="G45" s="40">
        <f t="shared" si="23"/>
        <v>290200</v>
      </c>
      <c r="H45" s="40">
        <f t="shared" si="23"/>
        <v>0</v>
      </c>
      <c r="I45" s="40">
        <f t="shared" si="23"/>
        <v>290200</v>
      </c>
      <c r="J45" s="40">
        <f t="shared" si="23"/>
        <v>0</v>
      </c>
      <c r="K45" s="40">
        <f t="shared" si="23"/>
        <v>290200</v>
      </c>
      <c r="L45" s="40">
        <f aca="true" t="shared" si="24" ref="L45:Q45">SUM(L46,L49)</f>
        <v>0</v>
      </c>
      <c r="M45" s="40">
        <f t="shared" si="24"/>
        <v>290200</v>
      </c>
      <c r="N45" s="40">
        <f t="shared" si="24"/>
        <v>0</v>
      </c>
      <c r="O45" s="40">
        <f t="shared" si="24"/>
        <v>290200</v>
      </c>
      <c r="P45" s="40">
        <f t="shared" si="24"/>
        <v>0</v>
      </c>
      <c r="Q45" s="40">
        <f t="shared" si="24"/>
        <v>290200</v>
      </c>
    </row>
    <row r="46" spans="1:17" s="27" customFormat="1" ht="21" customHeight="1">
      <c r="A46" s="71"/>
      <c r="B46" s="86" t="s">
        <v>81</v>
      </c>
      <c r="C46" s="90"/>
      <c r="D46" s="41" t="s">
        <v>82</v>
      </c>
      <c r="E46" s="85">
        <f aca="true" t="shared" si="25" ref="E46:K46">SUM(E47:E48)</f>
        <v>150000</v>
      </c>
      <c r="F46" s="85">
        <f t="shared" si="25"/>
        <v>0</v>
      </c>
      <c r="G46" s="85">
        <f t="shared" si="25"/>
        <v>150000</v>
      </c>
      <c r="H46" s="85">
        <f t="shared" si="25"/>
        <v>0</v>
      </c>
      <c r="I46" s="85">
        <f t="shared" si="25"/>
        <v>150000</v>
      </c>
      <c r="J46" s="85">
        <f t="shared" si="25"/>
        <v>0</v>
      </c>
      <c r="K46" s="85">
        <f t="shared" si="25"/>
        <v>150000</v>
      </c>
      <c r="L46" s="85">
        <f aca="true" t="shared" si="26" ref="L46:Q46">SUM(L47:L48)</f>
        <v>0</v>
      </c>
      <c r="M46" s="85">
        <f t="shared" si="26"/>
        <v>150000</v>
      </c>
      <c r="N46" s="85">
        <f t="shared" si="26"/>
        <v>0</v>
      </c>
      <c r="O46" s="85">
        <f t="shared" si="26"/>
        <v>150000</v>
      </c>
      <c r="P46" s="85">
        <f t="shared" si="26"/>
        <v>0</v>
      </c>
      <c r="Q46" s="85">
        <f t="shared" si="26"/>
        <v>150000</v>
      </c>
    </row>
    <row r="47" spans="1:17" s="27" customFormat="1" ht="21" customHeight="1">
      <c r="A47" s="71"/>
      <c r="B47" s="86"/>
      <c r="C47" s="90">
        <v>4170</v>
      </c>
      <c r="D47" s="41" t="s">
        <v>191</v>
      </c>
      <c r="E47" s="85">
        <v>20000</v>
      </c>
      <c r="F47" s="85"/>
      <c r="G47" s="85">
        <f>SUM(E47:F47)</f>
        <v>20000</v>
      </c>
      <c r="H47" s="85"/>
      <c r="I47" s="85">
        <f>SUM(G47:H47)</f>
        <v>20000</v>
      </c>
      <c r="J47" s="85"/>
      <c r="K47" s="85">
        <f>SUM(I47:J47)</f>
        <v>20000</v>
      </c>
      <c r="L47" s="85"/>
      <c r="M47" s="85">
        <f>SUM(K47:L47)</f>
        <v>20000</v>
      </c>
      <c r="N47" s="85"/>
      <c r="O47" s="85">
        <f>SUM(M47:N47)</f>
        <v>20000</v>
      </c>
      <c r="P47" s="85"/>
      <c r="Q47" s="85">
        <f>SUM(O47:P47)</f>
        <v>20000</v>
      </c>
    </row>
    <row r="48" spans="1:17" s="27" customFormat="1" ht="21" customHeight="1">
      <c r="A48" s="71"/>
      <c r="B48" s="86"/>
      <c r="C48" s="71">
        <v>4300</v>
      </c>
      <c r="D48" s="41" t="s">
        <v>79</v>
      </c>
      <c r="E48" s="85">
        <v>130000</v>
      </c>
      <c r="F48" s="85"/>
      <c r="G48" s="85">
        <f>SUM(E48:F48)</f>
        <v>130000</v>
      </c>
      <c r="H48" s="85"/>
      <c r="I48" s="85">
        <f>SUM(G48:H48)</f>
        <v>130000</v>
      </c>
      <c r="J48" s="85"/>
      <c r="K48" s="85">
        <f>SUM(I48:J48)</f>
        <v>130000</v>
      </c>
      <c r="L48" s="85"/>
      <c r="M48" s="85">
        <f>SUM(K48:L48)</f>
        <v>130000</v>
      </c>
      <c r="N48" s="85"/>
      <c r="O48" s="85">
        <f>SUM(M48:N48)</f>
        <v>130000</v>
      </c>
      <c r="P48" s="85"/>
      <c r="Q48" s="85">
        <f>SUM(O48:P48)</f>
        <v>130000</v>
      </c>
    </row>
    <row r="49" spans="1:17" s="27" customFormat="1" ht="21" customHeight="1">
      <c r="A49" s="71"/>
      <c r="B49" s="86">
        <v>71035</v>
      </c>
      <c r="C49" s="71"/>
      <c r="D49" s="41" t="s">
        <v>14</v>
      </c>
      <c r="E49" s="85">
        <f aca="true" t="shared" si="27" ref="E49:K49">SUM(E50:E53)</f>
        <v>120200</v>
      </c>
      <c r="F49" s="85">
        <f t="shared" si="27"/>
        <v>20000</v>
      </c>
      <c r="G49" s="85">
        <f t="shared" si="27"/>
        <v>140200</v>
      </c>
      <c r="H49" s="85">
        <f t="shared" si="27"/>
        <v>0</v>
      </c>
      <c r="I49" s="85">
        <f t="shared" si="27"/>
        <v>140200</v>
      </c>
      <c r="J49" s="85">
        <f t="shared" si="27"/>
        <v>0</v>
      </c>
      <c r="K49" s="85">
        <f t="shared" si="27"/>
        <v>140200</v>
      </c>
      <c r="L49" s="85">
        <f aca="true" t="shared" si="28" ref="L49:Q49">SUM(L50:L53)</f>
        <v>0</v>
      </c>
      <c r="M49" s="85">
        <f t="shared" si="28"/>
        <v>140200</v>
      </c>
      <c r="N49" s="85">
        <f t="shared" si="28"/>
        <v>0</v>
      </c>
      <c r="O49" s="85">
        <f t="shared" si="28"/>
        <v>140200</v>
      </c>
      <c r="P49" s="85">
        <f t="shared" si="28"/>
        <v>0</v>
      </c>
      <c r="Q49" s="85">
        <f t="shared" si="28"/>
        <v>140200</v>
      </c>
    </row>
    <row r="50" spans="1:17" s="27" customFormat="1" ht="21" customHeight="1">
      <c r="A50" s="71"/>
      <c r="B50" s="86"/>
      <c r="C50" s="71">
        <v>4260</v>
      </c>
      <c r="D50" s="41" t="s">
        <v>95</v>
      </c>
      <c r="E50" s="85">
        <f>1000+200</f>
        <v>1200</v>
      </c>
      <c r="F50" s="85"/>
      <c r="G50" s="85">
        <f>SUM(E50:F50)</f>
        <v>1200</v>
      </c>
      <c r="H50" s="85"/>
      <c r="I50" s="85">
        <f>SUM(G50:H50)</f>
        <v>1200</v>
      </c>
      <c r="J50" s="85"/>
      <c r="K50" s="85">
        <f>SUM(I50:J50)</f>
        <v>1200</v>
      </c>
      <c r="L50" s="85"/>
      <c r="M50" s="85">
        <f>SUM(K50:L50)</f>
        <v>1200</v>
      </c>
      <c r="N50" s="85"/>
      <c r="O50" s="85">
        <f>SUM(M50:N50)</f>
        <v>1200</v>
      </c>
      <c r="P50" s="85"/>
      <c r="Q50" s="85">
        <f>SUM(O50:P50)</f>
        <v>1200</v>
      </c>
    </row>
    <row r="51" spans="1:17" s="27" customFormat="1" ht="21" customHeight="1">
      <c r="A51" s="71"/>
      <c r="B51" s="86"/>
      <c r="C51" s="71">
        <v>4270</v>
      </c>
      <c r="D51" s="41" t="s">
        <v>78</v>
      </c>
      <c r="E51" s="85">
        <v>100000</v>
      </c>
      <c r="F51" s="85"/>
      <c r="G51" s="85">
        <f>SUM(E51:F51)</f>
        <v>100000</v>
      </c>
      <c r="H51" s="85"/>
      <c r="I51" s="85">
        <f>SUM(G51:H51)</f>
        <v>100000</v>
      </c>
      <c r="J51" s="85"/>
      <c r="K51" s="85">
        <f>SUM(I51:J51)</f>
        <v>100000</v>
      </c>
      <c r="L51" s="85"/>
      <c r="M51" s="85">
        <f>SUM(K51:L51)</f>
        <v>100000</v>
      </c>
      <c r="N51" s="85"/>
      <c r="O51" s="85">
        <f>SUM(M51:N51)</f>
        <v>100000</v>
      </c>
      <c r="P51" s="85"/>
      <c r="Q51" s="85">
        <f>SUM(O51:P51)</f>
        <v>100000</v>
      </c>
    </row>
    <row r="52" spans="1:17" s="27" customFormat="1" ht="21" customHeight="1">
      <c r="A52" s="71"/>
      <c r="B52" s="86"/>
      <c r="C52" s="71">
        <v>4300</v>
      </c>
      <c r="D52" s="41" t="s">
        <v>79</v>
      </c>
      <c r="E52" s="85">
        <v>19000</v>
      </c>
      <c r="F52" s="85"/>
      <c r="G52" s="85">
        <f>SUM(E52:F52)</f>
        <v>19000</v>
      </c>
      <c r="H52" s="85"/>
      <c r="I52" s="85">
        <f>SUM(G52:H52)</f>
        <v>19000</v>
      </c>
      <c r="J52" s="85"/>
      <c r="K52" s="85">
        <f>SUM(I52:J52)</f>
        <v>19000</v>
      </c>
      <c r="L52" s="85"/>
      <c r="M52" s="85">
        <f>SUM(K52:L52)</f>
        <v>19000</v>
      </c>
      <c r="N52" s="85"/>
      <c r="O52" s="85">
        <f>SUM(M52:N52)</f>
        <v>19000</v>
      </c>
      <c r="P52" s="85"/>
      <c r="Q52" s="85">
        <f>SUM(O52:P52)</f>
        <v>19000</v>
      </c>
    </row>
    <row r="53" spans="1:17" s="27" customFormat="1" ht="24">
      <c r="A53" s="71"/>
      <c r="B53" s="86"/>
      <c r="C53" s="71">
        <v>6050</v>
      </c>
      <c r="D53" s="41" t="s">
        <v>73</v>
      </c>
      <c r="E53" s="85">
        <v>0</v>
      </c>
      <c r="F53" s="85">
        <v>20000</v>
      </c>
      <c r="G53" s="85">
        <f>SUM(E53:F53)</f>
        <v>20000</v>
      </c>
      <c r="H53" s="85"/>
      <c r="I53" s="85">
        <f>SUM(G53:H53)</f>
        <v>20000</v>
      </c>
      <c r="J53" s="85"/>
      <c r="K53" s="85">
        <f>SUM(I53:J53)</f>
        <v>20000</v>
      </c>
      <c r="L53" s="85"/>
      <c r="M53" s="85">
        <f>SUM(K53:L53)</f>
        <v>20000</v>
      </c>
      <c r="N53" s="85"/>
      <c r="O53" s="85">
        <f>SUM(M53:N53)</f>
        <v>20000</v>
      </c>
      <c r="P53" s="85"/>
      <c r="Q53" s="85">
        <f>SUM(O53:P53)</f>
        <v>20000</v>
      </c>
    </row>
    <row r="54" spans="1:17" s="7" customFormat="1" ht="21" customHeight="1">
      <c r="A54" s="36" t="s">
        <v>15</v>
      </c>
      <c r="B54" s="37"/>
      <c r="C54" s="38"/>
      <c r="D54" s="39" t="s">
        <v>83</v>
      </c>
      <c r="E54" s="40">
        <f aca="true" t="shared" si="29" ref="E54:Q54">SUM(E55,E70,E81,E105,E118,)</f>
        <v>6136665</v>
      </c>
      <c r="F54" s="40">
        <f t="shared" si="29"/>
        <v>-414000</v>
      </c>
      <c r="G54" s="40">
        <f t="shared" si="29"/>
        <v>5722665</v>
      </c>
      <c r="H54" s="40">
        <f t="shared" si="29"/>
        <v>0</v>
      </c>
      <c r="I54" s="40">
        <f t="shared" si="29"/>
        <v>5722665</v>
      </c>
      <c r="J54" s="40">
        <f t="shared" si="29"/>
        <v>0</v>
      </c>
      <c r="K54" s="40">
        <f t="shared" si="29"/>
        <v>5722665</v>
      </c>
      <c r="L54" s="40">
        <f t="shared" si="29"/>
        <v>5711</v>
      </c>
      <c r="M54" s="40">
        <f t="shared" si="29"/>
        <v>5728376</v>
      </c>
      <c r="N54" s="40">
        <f t="shared" si="29"/>
        <v>0</v>
      </c>
      <c r="O54" s="40">
        <f t="shared" si="29"/>
        <v>5728376</v>
      </c>
      <c r="P54" s="40">
        <f t="shared" si="29"/>
        <v>0</v>
      </c>
      <c r="Q54" s="40">
        <f t="shared" si="29"/>
        <v>5728376</v>
      </c>
    </row>
    <row r="55" spans="1:17" s="27" customFormat="1" ht="21" customHeight="1">
      <c r="A55" s="71"/>
      <c r="B55" s="86">
        <v>75011</v>
      </c>
      <c r="C55" s="90"/>
      <c r="D55" s="41" t="s">
        <v>17</v>
      </c>
      <c r="E55" s="85">
        <f aca="true" t="shared" si="30" ref="E55:K55">SUM(E56:E69)</f>
        <v>411600</v>
      </c>
      <c r="F55" s="85">
        <f t="shared" si="30"/>
        <v>0</v>
      </c>
      <c r="G55" s="85">
        <f t="shared" si="30"/>
        <v>411600</v>
      </c>
      <c r="H55" s="85">
        <f t="shared" si="30"/>
        <v>0</v>
      </c>
      <c r="I55" s="85">
        <f t="shared" si="30"/>
        <v>411600</v>
      </c>
      <c r="J55" s="85">
        <f t="shared" si="30"/>
        <v>0</v>
      </c>
      <c r="K55" s="85">
        <f t="shared" si="30"/>
        <v>411600</v>
      </c>
      <c r="L55" s="85">
        <f aca="true" t="shared" si="31" ref="L55:Q55">SUM(L56:L69)</f>
        <v>-10000</v>
      </c>
      <c r="M55" s="85">
        <f t="shared" si="31"/>
        <v>401600</v>
      </c>
      <c r="N55" s="85">
        <f t="shared" si="31"/>
        <v>0</v>
      </c>
      <c r="O55" s="85">
        <f t="shared" si="31"/>
        <v>401600</v>
      </c>
      <c r="P55" s="85">
        <f t="shared" si="31"/>
        <v>0</v>
      </c>
      <c r="Q55" s="85">
        <f t="shared" si="31"/>
        <v>401600</v>
      </c>
    </row>
    <row r="56" spans="1:17" s="27" customFormat="1" ht="24">
      <c r="A56" s="71"/>
      <c r="B56" s="86"/>
      <c r="C56" s="90">
        <v>3020</v>
      </c>
      <c r="D56" s="41" t="s">
        <v>189</v>
      </c>
      <c r="E56" s="85">
        <v>2000</v>
      </c>
      <c r="F56" s="85"/>
      <c r="G56" s="85">
        <f>SUM(E56:F56)</f>
        <v>2000</v>
      </c>
      <c r="H56" s="85"/>
      <c r="I56" s="85">
        <f>SUM(G56:H56)</f>
        <v>2000</v>
      </c>
      <c r="J56" s="85"/>
      <c r="K56" s="85">
        <f>SUM(I56:J56)</f>
        <v>2000</v>
      </c>
      <c r="L56" s="85"/>
      <c r="M56" s="85">
        <f>SUM(K56:L56)</f>
        <v>2000</v>
      </c>
      <c r="N56" s="85"/>
      <c r="O56" s="85">
        <f>SUM(M56:N56)</f>
        <v>2000</v>
      </c>
      <c r="P56" s="85"/>
      <c r="Q56" s="85">
        <f>SUM(O56:P56)</f>
        <v>2000</v>
      </c>
    </row>
    <row r="57" spans="1:17" s="27" customFormat="1" ht="21" customHeight="1">
      <c r="A57" s="71"/>
      <c r="B57" s="91"/>
      <c r="C57" s="71">
        <v>4010</v>
      </c>
      <c r="D57" s="41" t="s">
        <v>84</v>
      </c>
      <c r="E57" s="85">
        <v>294200</v>
      </c>
      <c r="F57" s="85"/>
      <c r="G57" s="85">
        <f aca="true" t="shared" si="32" ref="G57:G69">SUM(E57:F57)</f>
        <v>294200</v>
      </c>
      <c r="H57" s="85"/>
      <c r="I57" s="85">
        <f aca="true" t="shared" si="33" ref="I57:I69">SUM(G57:H57)</f>
        <v>294200</v>
      </c>
      <c r="J57" s="85"/>
      <c r="K57" s="85">
        <f aca="true" t="shared" si="34" ref="K57:K69">SUM(I57:J57)</f>
        <v>294200</v>
      </c>
      <c r="L57" s="85">
        <f>1657-10000</f>
        <v>-8343</v>
      </c>
      <c r="M57" s="85">
        <f aca="true" t="shared" si="35" ref="M57:M69">SUM(K57:L57)</f>
        <v>285857</v>
      </c>
      <c r="N57" s="85"/>
      <c r="O57" s="85">
        <f aca="true" t="shared" si="36" ref="O57:O69">SUM(M57:N57)</f>
        <v>285857</v>
      </c>
      <c r="P57" s="85"/>
      <c r="Q57" s="85">
        <f aca="true" t="shared" si="37" ref="Q57:Q69">SUM(O57:P57)</f>
        <v>285857</v>
      </c>
    </row>
    <row r="58" spans="1:17" s="27" customFormat="1" ht="21" customHeight="1">
      <c r="A58" s="71"/>
      <c r="B58" s="91"/>
      <c r="C58" s="71">
        <v>4040</v>
      </c>
      <c r="D58" s="41" t="s">
        <v>85</v>
      </c>
      <c r="E58" s="85">
        <v>22400</v>
      </c>
      <c r="F58" s="85"/>
      <c r="G58" s="85">
        <f t="shared" si="32"/>
        <v>22400</v>
      </c>
      <c r="H58" s="85"/>
      <c r="I58" s="85">
        <f t="shared" si="33"/>
        <v>22400</v>
      </c>
      <c r="J58" s="85"/>
      <c r="K58" s="85">
        <f t="shared" si="34"/>
        <v>22400</v>
      </c>
      <c r="L58" s="85">
        <v>-2312</v>
      </c>
      <c r="M58" s="85">
        <f t="shared" si="35"/>
        <v>20088</v>
      </c>
      <c r="N58" s="85"/>
      <c r="O58" s="85">
        <f t="shared" si="36"/>
        <v>20088</v>
      </c>
      <c r="P58" s="85"/>
      <c r="Q58" s="85">
        <f t="shared" si="37"/>
        <v>20088</v>
      </c>
    </row>
    <row r="59" spans="1:17" s="27" customFormat="1" ht="21" customHeight="1">
      <c r="A59" s="71"/>
      <c r="B59" s="91"/>
      <c r="C59" s="71">
        <v>4110</v>
      </c>
      <c r="D59" s="41" t="s">
        <v>86</v>
      </c>
      <c r="E59" s="85">
        <v>48100</v>
      </c>
      <c r="F59" s="85"/>
      <c r="G59" s="85">
        <f t="shared" si="32"/>
        <v>48100</v>
      </c>
      <c r="H59" s="85"/>
      <c r="I59" s="85">
        <f t="shared" si="33"/>
        <v>48100</v>
      </c>
      <c r="J59" s="85"/>
      <c r="K59" s="85">
        <f t="shared" si="34"/>
        <v>48100</v>
      </c>
      <c r="L59" s="85"/>
      <c r="M59" s="85">
        <f t="shared" si="35"/>
        <v>48100</v>
      </c>
      <c r="N59" s="85"/>
      <c r="O59" s="85">
        <f t="shared" si="36"/>
        <v>48100</v>
      </c>
      <c r="P59" s="85"/>
      <c r="Q59" s="85">
        <f t="shared" si="37"/>
        <v>48100</v>
      </c>
    </row>
    <row r="60" spans="1:17" s="27" customFormat="1" ht="21" customHeight="1">
      <c r="A60" s="71"/>
      <c r="B60" s="91"/>
      <c r="C60" s="71">
        <v>4120</v>
      </c>
      <c r="D60" s="41" t="s">
        <v>87</v>
      </c>
      <c r="E60" s="85">
        <v>7800</v>
      </c>
      <c r="F60" s="85"/>
      <c r="G60" s="85">
        <f t="shared" si="32"/>
        <v>7800</v>
      </c>
      <c r="H60" s="85"/>
      <c r="I60" s="85">
        <f t="shared" si="33"/>
        <v>7800</v>
      </c>
      <c r="J60" s="85"/>
      <c r="K60" s="85">
        <f t="shared" si="34"/>
        <v>7800</v>
      </c>
      <c r="L60" s="85"/>
      <c r="M60" s="85">
        <f t="shared" si="35"/>
        <v>7800</v>
      </c>
      <c r="N60" s="85"/>
      <c r="O60" s="85">
        <f t="shared" si="36"/>
        <v>7800</v>
      </c>
      <c r="P60" s="85"/>
      <c r="Q60" s="85">
        <f t="shared" si="37"/>
        <v>7800</v>
      </c>
    </row>
    <row r="61" spans="1:17" s="27" customFormat="1" ht="21" customHeight="1">
      <c r="A61" s="71"/>
      <c r="B61" s="91"/>
      <c r="C61" s="71">
        <v>4210</v>
      </c>
      <c r="D61" s="41" t="s">
        <v>92</v>
      </c>
      <c r="E61" s="85">
        <v>11000</v>
      </c>
      <c r="F61" s="85"/>
      <c r="G61" s="85">
        <f t="shared" si="32"/>
        <v>11000</v>
      </c>
      <c r="H61" s="85"/>
      <c r="I61" s="85">
        <f t="shared" si="33"/>
        <v>11000</v>
      </c>
      <c r="J61" s="85"/>
      <c r="K61" s="85">
        <f t="shared" si="34"/>
        <v>11000</v>
      </c>
      <c r="L61" s="85"/>
      <c r="M61" s="85">
        <f t="shared" si="35"/>
        <v>11000</v>
      </c>
      <c r="N61" s="85"/>
      <c r="O61" s="85">
        <f t="shared" si="36"/>
        <v>11000</v>
      </c>
      <c r="P61" s="85"/>
      <c r="Q61" s="85">
        <f t="shared" si="37"/>
        <v>11000</v>
      </c>
    </row>
    <row r="62" spans="1:17" s="27" customFormat="1" ht="21" customHeight="1">
      <c r="A62" s="71"/>
      <c r="B62" s="91"/>
      <c r="C62" s="71">
        <v>4280</v>
      </c>
      <c r="D62" s="41" t="s">
        <v>218</v>
      </c>
      <c r="E62" s="85">
        <v>1000</v>
      </c>
      <c r="F62" s="85"/>
      <c r="G62" s="85">
        <f t="shared" si="32"/>
        <v>1000</v>
      </c>
      <c r="H62" s="85"/>
      <c r="I62" s="85">
        <f t="shared" si="33"/>
        <v>1000</v>
      </c>
      <c r="J62" s="85"/>
      <c r="K62" s="85">
        <f t="shared" si="34"/>
        <v>1000</v>
      </c>
      <c r="L62" s="85"/>
      <c r="M62" s="85">
        <f t="shared" si="35"/>
        <v>1000</v>
      </c>
      <c r="N62" s="85"/>
      <c r="O62" s="85">
        <f t="shared" si="36"/>
        <v>1000</v>
      </c>
      <c r="P62" s="85"/>
      <c r="Q62" s="85">
        <f t="shared" si="37"/>
        <v>1000</v>
      </c>
    </row>
    <row r="63" spans="1:17" s="27" customFormat="1" ht="21" customHeight="1">
      <c r="A63" s="71"/>
      <c r="B63" s="91"/>
      <c r="C63" s="71">
        <v>4300</v>
      </c>
      <c r="D63" s="41" t="s">
        <v>79</v>
      </c>
      <c r="E63" s="85">
        <v>6800</v>
      </c>
      <c r="F63" s="85"/>
      <c r="G63" s="85">
        <f t="shared" si="32"/>
        <v>6800</v>
      </c>
      <c r="H63" s="85"/>
      <c r="I63" s="85">
        <f t="shared" si="33"/>
        <v>6800</v>
      </c>
      <c r="J63" s="85"/>
      <c r="K63" s="85">
        <f t="shared" si="34"/>
        <v>6800</v>
      </c>
      <c r="L63" s="85"/>
      <c r="M63" s="85">
        <f t="shared" si="35"/>
        <v>6800</v>
      </c>
      <c r="N63" s="85"/>
      <c r="O63" s="85">
        <f t="shared" si="36"/>
        <v>6800</v>
      </c>
      <c r="P63" s="85"/>
      <c r="Q63" s="85">
        <f t="shared" si="37"/>
        <v>6800</v>
      </c>
    </row>
    <row r="64" spans="1:17" s="27" customFormat="1" ht="21" customHeight="1">
      <c r="A64" s="71"/>
      <c r="B64" s="91"/>
      <c r="C64" s="71">
        <v>4410</v>
      </c>
      <c r="D64" s="41" t="s">
        <v>90</v>
      </c>
      <c r="E64" s="85">
        <v>1000</v>
      </c>
      <c r="F64" s="85"/>
      <c r="G64" s="85">
        <f t="shared" si="32"/>
        <v>1000</v>
      </c>
      <c r="H64" s="85"/>
      <c r="I64" s="85">
        <f t="shared" si="33"/>
        <v>1000</v>
      </c>
      <c r="J64" s="85"/>
      <c r="K64" s="85">
        <f t="shared" si="34"/>
        <v>1000</v>
      </c>
      <c r="L64" s="85"/>
      <c r="M64" s="85">
        <f t="shared" si="35"/>
        <v>1000</v>
      </c>
      <c r="N64" s="85"/>
      <c r="O64" s="85">
        <f t="shared" si="36"/>
        <v>1000</v>
      </c>
      <c r="P64" s="85"/>
      <c r="Q64" s="85">
        <f t="shared" si="37"/>
        <v>1000</v>
      </c>
    </row>
    <row r="65" spans="1:17" s="27" customFormat="1" ht="21" customHeight="1">
      <c r="A65" s="71"/>
      <c r="B65" s="91"/>
      <c r="C65" s="71">
        <v>4430</v>
      </c>
      <c r="D65" s="41" t="s">
        <v>94</v>
      </c>
      <c r="E65" s="85">
        <v>3000</v>
      </c>
      <c r="F65" s="85"/>
      <c r="G65" s="85">
        <f t="shared" si="32"/>
        <v>3000</v>
      </c>
      <c r="H65" s="85"/>
      <c r="I65" s="85">
        <f t="shared" si="33"/>
        <v>3000</v>
      </c>
      <c r="J65" s="85"/>
      <c r="K65" s="85">
        <f t="shared" si="34"/>
        <v>3000</v>
      </c>
      <c r="L65" s="85"/>
      <c r="M65" s="85">
        <f t="shared" si="35"/>
        <v>3000</v>
      </c>
      <c r="N65" s="85"/>
      <c r="O65" s="85">
        <f t="shared" si="36"/>
        <v>3000</v>
      </c>
      <c r="P65" s="85"/>
      <c r="Q65" s="85">
        <f t="shared" si="37"/>
        <v>3000</v>
      </c>
    </row>
    <row r="66" spans="1:17" s="27" customFormat="1" ht="24">
      <c r="A66" s="71"/>
      <c r="B66" s="91"/>
      <c r="C66" s="74">
        <v>4440</v>
      </c>
      <c r="D66" s="41" t="s">
        <v>88</v>
      </c>
      <c r="E66" s="85">
        <v>9300</v>
      </c>
      <c r="F66" s="85"/>
      <c r="G66" s="85">
        <f t="shared" si="32"/>
        <v>9300</v>
      </c>
      <c r="H66" s="85"/>
      <c r="I66" s="85">
        <f t="shared" si="33"/>
        <v>9300</v>
      </c>
      <c r="J66" s="85"/>
      <c r="K66" s="85">
        <f t="shared" si="34"/>
        <v>9300</v>
      </c>
      <c r="L66" s="85">
        <v>655</v>
      </c>
      <c r="M66" s="85">
        <f t="shared" si="35"/>
        <v>9955</v>
      </c>
      <c r="N66" s="85"/>
      <c r="O66" s="85">
        <f t="shared" si="36"/>
        <v>9955</v>
      </c>
      <c r="P66" s="85"/>
      <c r="Q66" s="85">
        <f t="shared" si="37"/>
        <v>9955</v>
      </c>
    </row>
    <row r="67" spans="1:17" s="27" customFormat="1" ht="27.75" customHeight="1">
      <c r="A67" s="71"/>
      <c r="B67" s="91"/>
      <c r="C67" s="74">
        <v>4700</v>
      </c>
      <c r="D67" s="41" t="s">
        <v>260</v>
      </c>
      <c r="E67" s="85">
        <v>2000</v>
      </c>
      <c r="F67" s="85"/>
      <c r="G67" s="85">
        <f t="shared" si="32"/>
        <v>2000</v>
      </c>
      <c r="H67" s="85"/>
      <c r="I67" s="85">
        <f t="shared" si="33"/>
        <v>2000</v>
      </c>
      <c r="J67" s="85"/>
      <c r="K67" s="85">
        <f t="shared" si="34"/>
        <v>2000</v>
      </c>
      <c r="L67" s="85"/>
      <c r="M67" s="85">
        <f t="shared" si="35"/>
        <v>2000</v>
      </c>
      <c r="N67" s="85"/>
      <c r="O67" s="85">
        <f t="shared" si="36"/>
        <v>2000</v>
      </c>
      <c r="P67" s="85"/>
      <c r="Q67" s="85">
        <f t="shared" si="37"/>
        <v>2000</v>
      </c>
    </row>
    <row r="68" spans="1:17" s="27" customFormat="1" ht="27.75" customHeight="1">
      <c r="A68" s="71"/>
      <c r="B68" s="91"/>
      <c r="C68" s="74">
        <v>4740</v>
      </c>
      <c r="D68" s="41" t="s">
        <v>288</v>
      </c>
      <c r="E68" s="85">
        <v>1000</v>
      </c>
      <c r="F68" s="85"/>
      <c r="G68" s="85">
        <f t="shared" si="32"/>
        <v>1000</v>
      </c>
      <c r="H68" s="85"/>
      <c r="I68" s="85">
        <f t="shared" si="33"/>
        <v>1000</v>
      </c>
      <c r="J68" s="85"/>
      <c r="K68" s="85">
        <f t="shared" si="34"/>
        <v>1000</v>
      </c>
      <c r="L68" s="85"/>
      <c r="M68" s="85">
        <f t="shared" si="35"/>
        <v>1000</v>
      </c>
      <c r="N68" s="85"/>
      <c r="O68" s="85">
        <f t="shared" si="36"/>
        <v>1000</v>
      </c>
      <c r="P68" s="85"/>
      <c r="Q68" s="85">
        <f t="shared" si="37"/>
        <v>1000</v>
      </c>
    </row>
    <row r="69" spans="1:17" s="27" customFormat="1" ht="27" customHeight="1">
      <c r="A69" s="71"/>
      <c r="B69" s="91"/>
      <c r="C69" s="74">
        <v>4750</v>
      </c>
      <c r="D69" s="41" t="s">
        <v>224</v>
      </c>
      <c r="E69" s="85">
        <v>2000</v>
      </c>
      <c r="F69" s="85"/>
      <c r="G69" s="85">
        <f t="shared" si="32"/>
        <v>2000</v>
      </c>
      <c r="H69" s="85"/>
      <c r="I69" s="85">
        <f t="shared" si="33"/>
        <v>2000</v>
      </c>
      <c r="J69" s="85"/>
      <c r="K69" s="85">
        <f t="shared" si="34"/>
        <v>2000</v>
      </c>
      <c r="L69" s="85"/>
      <c r="M69" s="85">
        <f t="shared" si="35"/>
        <v>2000</v>
      </c>
      <c r="N69" s="85"/>
      <c r="O69" s="85">
        <f t="shared" si="36"/>
        <v>2000</v>
      </c>
      <c r="P69" s="85"/>
      <c r="Q69" s="85">
        <f t="shared" si="37"/>
        <v>2000</v>
      </c>
    </row>
    <row r="70" spans="1:17" s="27" customFormat="1" ht="24">
      <c r="A70" s="90"/>
      <c r="B70" s="86" t="s">
        <v>91</v>
      </c>
      <c r="C70" s="90"/>
      <c r="D70" s="41" t="s">
        <v>149</v>
      </c>
      <c r="E70" s="85">
        <f aca="true" t="shared" si="38" ref="E70:K70">SUM(E71:E80)</f>
        <v>300000</v>
      </c>
      <c r="F70" s="85">
        <f t="shared" si="38"/>
        <v>14000</v>
      </c>
      <c r="G70" s="85">
        <f t="shared" si="38"/>
        <v>314000</v>
      </c>
      <c r="H70" s="85">
        <f t="shared" si="38"/>
        <v>0</v>
      </c>
      <c r="I70" s="85">
        <f t="shared" si="38"/>
        <v>314000</v>
      </c>
      <c r="J70" s="85">
        <f t="shared" si="38"/>
        <v>0</v>
      </c>
      <c r="K70" s="85">
        <f t="shared" si="38"/>
        <v>314000</v>
      </c>
      <c r="L70" s="85">
        <f aca="true" t="shared" si="39" ref="L70:Q70">SUM(L71:L80)</f>
        <v>0</v>
      </c>
      <c r="M70" s="85">
        <f t="shared" si="39"/>
        <v>314000</v>
      </c>
      <c r="N70" s="85">
        <f t="shared" si="39"/>
        <v>0</v>
      </c>
      <c r="O70" s="85">
        <f t="shared" si="39"/>
        <v>314000</v>
      </c>
      <c r="P70" s="85">
        <f t="shared" si="39"/>
        <v>0</v>
      </c>
      <c r="Q70" s="85">
        <f t="shared" si="39"/>
        <v>314000</v>
      </c>
    </row>
    <row r="71" spans="1:17" s="27" customFormat="1" ht="21" customHeight="1">
      <c r="A71" s="90"/>
      <c r="B71" s="86"/>
      <c r="C71" s="71">
        <v>3030</v>
      </c>
      <c r="D71" s="41" t="s">
        <v>89</v>
      </c>
      <c r="E71" s="85">
        <v>257000</v>
      </c>
      <c r="F71" s="85"/>
      <c r="G71" s="85">
        <f>SUM(E71:F71)</f>
        <v>257000</v>
      </c>
      <c r="H71" s="85"/>
      <c r="I71" s="85">
        <f>SUM(G71:H71)</f>
        <v>257000</v>
      </c>
      <c r="J71" s="85"/>
      <c r="K71" s="85">
        <f>SUM(I71:J71)</f>
        <v>257000</v>
      </c>
      <c r="L71" s="85"/>
      <c r="M71" s="85">
        <f>SUM(K71:L71)</f>
        <v>257000</v>
      </c>
      <c r="N71" s="85"/>
      <c r="O71" s="85">
        <f>SUM(M71:N71)</f>
        <v>257000</v>
      </c>
      <c r="P71" s="85">
        <v>9000</v>
      </c>
      <c r="Q71" s="85">
        <f>SUM(O71:P71)</f>
        <v>266000</v>
      </c>
    </row>
    <row r="72" spans="1:17" s="27" customFormat="1" ht="21" customHeight="1">
      <c r="A72" s="90"/>
      <c r="B72" s="86"/>
      <c r="C72" s="71">
        <v>4170</v>
      </c>
      <c r="D72" s="41" t="s">
        <v>191</v>
      </c>
      <c r="E72" s="85">
        <v>2000</v>
      </c>
      <c r="F72" s="85"/>
      <c r="G72" s="85">
        <f aca="true" t="shared" si="40" ref="G72:G80">SUM(E72:F72)</f>
        <v>2000</v>
      </c>
      <c r="H72" s="85"/>
      <c r="I72" s="85">
        <f aca="true" t="shared" si="41" ref="I72:I80">SUM(G72:H72)</f>
        <v>2000</v>
      </c>
      <c r="J72" s="85"/>
      <c r="K72" s="85">
        <f aca="true" t="shared" si="42" ref="K72:K80">SUM(I72:J72)</f>
        <v>2000</v>
      </c>
      <c r="L72" s="85"/>
      <c r="M72" s="85">
        <f aca="true" t="shared" si="43" ref="M72:M80">SUM(K72:L72)</f>
        <v>2000</v>
      </c>
      <c r="N72" s="85"/>
      <c r="O72" s="85">
        <f aca="true" t="shared" si="44" ref="O72:O80">SUM(M72:N72)</f>
        <v>2000</v>
      </c>
      <c r="P72" s="85"/>
      <c r="Q72" s="85">
        <f aca="true" t="shared" si="45" ref="Q72:Q80">SUM(O72:P72)</f>
        <v>2000</v>
      </c>
    </row>
    <row r="73" spans="1:17" s="27" customFormat="1" ht="21" customHeight="1">
      <c r="A73" s="90"/>
      <c r="B73" s="86"/>
      <c r="C73" s="71">
        <v>4210</v>
      </c>
      <c r="D73" s="41" t="s">
        <v>92</v>
      </c>
      <c r="E73" s="85">
        <v>15500</v>
      </c>
      <c r="F73" s="85">
        <v>5000</v>
      </c>
      <c r="G73" s="85">
        <f t="shared" si="40"/>
        <v>20500</v>
      </c>
      <c r="H73" s="85"/>
      <c r="I73" s="85">
        <f t="shared" si="41"/>
        <v>20500</v>
      </c>
      <c r="J73" s="85"/>
      <c r="K73" s="85">
        <f t="shared" si="42"/>
        <v>20500</v>
      </c>
      <c r="L73" s="85"/>
      <c r="M73" s="85">
        <f t="shared" si="43"/>
        <v>20500</v>
      </c>
      <c r="N73" s="85"/>
      <c r="O73" s="85">
        <f t="shared" si="44"/>
        <v>20500</v>
      </c>
      <c r="P73" s="85">
        <v>1000</v>
      </c>
      <c r="Q73" s="85">
        <f t="shared" si="45"/>
        <v>21500</v>
      </c>
    </row>
    <row r="74" spans="1:17" s="27" customFormat="1" ht="27" customHeight="1">
      <c r="A74" s="90"/>
      <c r="B74" s="86"/>
      <c r="C74" s="71">
        <v>4300</v>
      </c>
      <c r="D74" s="41" t="s">
        <v>79</v>
      </c>
      <c r="E74" s="85">
        <v>17900</v>
      </c>
      <c r="F74" s="85">
        <v>3000</v>
      </c>
      <c r="G74" s="85">
        <f t="shared" si="40"/>
        <v>20900</v>
      </c>
      <c r="H74" s="85"/>
      <c r="I74" s="85">
        <f t="shared" si="41"/>
        <v>20900</v>
      </c>
      <c r="J74" s="85"/>
      <c r="K74" s="85">
        <f t="shared" si="42"/>
        <v>20900</v>
      </c>
      <c r="L74" s="85"/>
      <c r="M74" s="85">
        <f t="shared" si="43"/>
        <v>20900</v>
      </c>
      <c r="N74" s="85"/>
      <c r="O74" s="85">
        <f t="shared" si="44"/>
        <v>20900</v>
      </c>
      <c r="P74" s="85"/>
      <c r="Q74" s="85">
        <f t="shared" si="45"/>
        <v>20900</v>
      </c>
    </row>
    <row r="75" spans="1:17" s="27" customFormat="1" ht="36">
      <c r="A75" s="90"/>
      <c r="B75" s="86"/>
      <c r="C75" s="71">
        <v>4370</v>
      </c>
      <c r="D75" s="41" t="s">
        <v>494</v>
      </c>
      <c r="E75" s="85">
        <v>100</v>
      </c>
      <c r="F75" s="85"/>
      <c r="G75" s="85">
        <f t="shared" si="40"/>
        <v>100</v>
      </c>
      <c r="H75" s="85"/>
      <c r="I75" s="85">
        <f t="shared" si="41"/>
        <v>100</v>
      </c>
      <c r="J75" s="85"/>
      <c r="K75" s="85">
        <f t="shared" si="42"/>
        <v>100</v>
      </c>
      <c r="L75" s="85"/>
      <c r="M75" s="85">
        <f t="shared" si="43"/>
        <v>100</v>
      </c>
      <c r="N75" s="85"/>
      <c r="O75" s="85">
        <f t="shared" si="44"/>
        <v>100</v>
      </c>
      <c r="P75" s="85"/>
      <c r="Q75" s="85">
        <f t="shared" si="45"/>
        <v>100</v>
      </c>
    </row>
    <row r="76" spans="1:17" s="27" customFormat="1" ht="21" customHeight="1">
      <c r="A76" s="90"/>
      <c r="B76" s="86"/>
      <c r="C76" s="71">
        <v>4410</v>
      </c>
      <c r="D76" s="41" t="s">
        <v>90</v>
      </c>
      <c r="E76" s="85">
        <v>2000</v>
      </c>
      <c r="F76" s="85">
        <v>6000</v>
      </c>
      <c r="G76" s="85">
        <f t="shared" si="40"/>
        <v>8000</v>
      </c>
      <c r="H76" s="85"/>
      <c r="I76" s="85">
        <f t="shared" si="41"/>
        <v>8000</v>
      </c>
      <c r="J76" s="85"/>
      <c r="K76" s="85">
        <f t="shared" si="42"/>
        <v>8000</v>
      </c>
      <c r="L76" s="85"/>
      <c r="M76" s="85">
        <f t="shared" si="43"/>
        <v>8000</v>
      </c>
      <c r="N76" s="85"/>
      <c r="O76" s="85">
        <f t="shared" si="44"/>
        <v>8000</v>
      </c>
      <c r="P76" s="85">
        <v>-8000</v>
      </c>
      <c r="Q76" s="85">
        <f t="shared" si="45"/>
        <v>0</v>
      </c>
    </row>
    <row r="77" spans="1:17" s="27" customFormat="1" ht="21" customHeight="1">
      <c r="A77" s="90"/>
      <c r="B77" s="86"/>
      <c r="C77" s="71">
        <v>4420</v>
      </c>
      <c r="D77" s="41" t="s">
        <v>93</v>
      </c>
      <c r="E77" s="85">
        <v>2000</v>
      </c>
      <c r="F77" s="85"/>
      <c r="G77" s="85">
        <f t="shared" si="40"/>
        <v>2000</v>
      </c>
      <c r="H77" s="85"/>
      <c r="I77" s="85">
        <f t="shared" si="41"/>
        <v>2000</v>
      </c>
      <c r="J77" s="85"/>
      <c r="K77" s="85">
        <f t="shared" si="42"/>
        <v>2000</v>
      </c>
      <c r="L77" s="85"/>
      <c r="M77" s="85">
        <f t="shared" si="43"/>
        <v>2000</v>
      </c>
      <c r="N77" s="85"/>
      <c r="O77" s="85">
        <f t="shared" si="44"/>
        <v>2000</v>
      </c>
      <c r="P77" s="85">
        <v>-2000</v>
      </c>
      <c r="Q77" s="85">
        <f t="shared" si="45"/>
        <v>0</v>
      </c>
    </row>
    <row r="78" spans="1:17" s="27" customFormat="1" ht="21" customHeight="1">
      <c r="A78" s="90"/>
      <c r="B78" s="86"/>
      <c r="C78" s="74">
        <v>4430</v>
      </c>
      <c r="D78" s="41" t="s">
        <v>94</v>
      </c>
      <c r="E78" s="85">
        <v>500</v>
      </c>
      <c r="F78" s="85"/>
      <c r="G78" s="85">
        <f t="shared" si="40"/>
        <v>500</v>
      </c>
      <c r="H78" s="85"/>
      <c r="I78" s="85">
        <f t="shared" si="41"/>
        <v>500</v>
      </c>
      <c r="J78" s="85"/>
      <c r="K78" s="85">
        <f t="shared" si="42"/>
        <v>500</v>
      </c>
      <c r="L78" s="85"/>
      <c r="M78" s="85">
        <f t="shared" si="43"/>
        <v>500</v>
      </c>
      <c r="N78" s="85"/>
      <c r="O78" s="85">
        <f t="shared" si="44"/>
        <v>500</v>
      </c>
      <c r="P78" s="85"/>
      <c r="Q78" s="85">
        <f t="shared" si="45"/>
        <v>500</v>
      </c>
    </row>
    <row r="79" spans="1:17" s="27" customFormat="1" ht="24">
      <c r="A79" s="90"/>
      <c r="B79" s="86"/>
      <c r="C79" s="74">
        <v>4740</v>
      </c>
      <c r="D79" s="41" t="s">
        <v>288</v>
      </c>
      <c r="E79" s="85">
        <v>2000</v>
      </c>
      <c r="F79" s="85"/>
      <c r="G79" s="85">
        <f t="shared" si="40"/>
        <v>2000</v>
      </c>
      <c r="H79" s="85"/>
      <c r="I79" s="85">
        <f t="shared" si="41"/>
        <v>2000</v>
      </c>
      <c r="J79" s="85"/>
      <c r="K79" s="85">
        <f t="shared" si="42"/>
        <v>2000</v>
      </c>
      <c r="L79" s="85"/>
      <c r="M79" s="85">
        <f t="shared" si="43"/>
        <v>2000</v>
      </c>
      <c r="N79" s="85"/>
      <c r="O79" s="85">
        <f t="shared" si="44"/>
        <v>2000</v>
      </c>
      <c r="P79" s="85"/>
      <c r="Q79" s="85">
        <f t="shared" si="45"/>
        <v>2000</v>
      </c>
    </row>
    <row r="80" spans="1:17" s="27" customFormat="1" ht="24.75" customHeight="1">
      <c r="A80" s="90"/>
      <c r="B80" s="86"/>
      <c r="C80" s="74">
        <v>4750</v>
      </c>
      <c r="D80" s="41" t="s">
        <v>224</v>
      </c>
      <c r="E80" s="85">
        <v>1000</v>
      </c>
      <c r="F80" s="85"/>
      <c r="G80" s="85">
        <f t="shared" si="40"/>
        <v>1000</v>
      </c>
      <c r="H80" s="85"/>
      <c r="I80" s="85">
        <f t="shared" si="41"/>
        <v>1000</v>
      </c>
      <c r="J80" s="85"/>
      <c r="K80" s="85">
        <f t="shared" si="42"/>
        <v>1000</v>
      </c>
      <c r="L80" s="85"/>
      <c r="M80" s="85">
        <f t="shared" si="43"/>
        <v>1000</v>
      </c>
      <c r="N80" s="85"/>
      <c r="O80" s="85">
        <f t="shared" si="44"/>
        <v>1000</v>
      </c>
      <c r="P80" s="85"/>
      <c r="Q80" s="85">
        <f t="shared" si="45"/>
        <v>1000</v>
      </c>
    </row>
    <row r="81" spans="1:17" s="27" customFormat="1" ht="21" customHeight="1">
      <c r="A81" s="90"/>
      <c r="B81" s="86" t="s">
        <v>18</v>
      </c>
      <c r="C81" s="90"/>
      <c r="D81" s="41" t="s">
        <v>19</v>
      </c>
      <c r="E81" s="85">
        <f aca="true" t="shared" si="46" ref="E81:Q81">SUM(E82:E104)</f>
        <v>5072300</v>
      </c>
      <c r="F81" s="85">
        <f t="shared" si="46"/>
        <v>-380000</v>
      </c>
      <c r="G81" s="85">
        <f t="shared" si="46"/>
        <v>4692300</v>
      </c>
      <c r="H81" s="85">
        <f t="shared" si="46"/>
        <v>0</v>
      </c>
      <c r="I81" s="85">
        <f t="shared" si="46"/>
        <v>4692300</v>
      </c>
      <c r="J81" s="85">
        <f t="shared" si="46"/>
        <v>0</v>
      </c>
      <c r="K81" s="85">
        <f t="shared" si="46"/>
        <v>4692300</v>
      </c>
      <c r="L81" s="85">
        <f t="shared" si="46"/>
        <v>12111</v>
      </c>
      <c r="M81" s="85">
        <f t="shared" si="46"/>
        <v>4704411</v>
      </c>
      <c r="N81" s="85">
        <f t="shared" si="46"/>
        <v>0</v>
      </c>
      <c r="O81" s="85">
        <f t="shared" si="46"/>
        <v>4704411</v>
      </c>
      <c r="P81" s="85">
        <f t="shared" si="46"/>
        <v>0</v>
      </c>
      <c r="Q81" s="85">
        <f t="shared" si="46"/>
        <v>4704411</v>
      </c>
    </row>
    <row r="82" spans="1:17" s="27" customFormat="1" ht="21" customHeight="1">
      <c r="A82" s="90"/>
      <c r="B82" s="86"/>
      <c r="C82" s="71">
        <v>3020</v>
      </c>
      <c r="D82" s="41" t="s">
        <v>189</v>
      </c>
      <c r="E82" s="85">
        <v>27600</v>
      </c>
      <c r="F82" s="85"/>
      <c r="G82" s="85">
        <f>SUM(E82:F82)</f>
        <v>27600</v>
      </c>
      <c r="H82" s="85"/>
      <c r="I82" s="85">
        <f>SUM(G82:H82)</f>
        <v>27600</v>
      </c>
      <c r="J82" s="85"/>
      <c r="K82" s="85">
        <f>SUM(I82:J82)</f>
        <v>27600</v>
      </c>
      <c r="L82" s="85"/>
      <c r="M82" s="85">
        <f>SUM(K82:L82)</f>
        <v>27600</v>
      </c>
      <c r="N82" s="85"/>
      <c r="O82" s="85">
        <f>SUM(M82:N82)</f>
        <v>27600</v>
      </c>
      <c r="P82" s="85"/>
      <c r="Q82" s="85">
        <f>SUM(O82:P82)</f>
        <v>27600</v>
      </c>
    </row>
    <row r="83" spans="1:17" s="27" customFormat="1" ht="21" customHeight="1">
      <c r="A83" s="90"/>
      <c r="B83" s="86"/>
      <c r="C83" s="71">
        <v>4010</v>
      </c>
      <c r="D83" s="41" t="s">
        <v>84</v>
      </c>
      <c r="E83" s="85">
        <v>3160586</v>
      </c>
      <c r="F83" s="85">
        <v>-200000</v>
      </c>
      <c r="G83" s="85">
        <f aca="true" t="shared" si="47" ref="G83:G104">SUM(E83:F83)</f>
        <v>2960586</v>
      </c>
      <c r="H83" s="85"/>
      <c r="I83" s="85">
        <f aca="true" t="shared" si="48" ref="I83:I102">SUM(G83:H83)</f>
        <v>2960586</v>
      </c>
      <c r="J83" s="85"/>
      <c r="K83" s="85">
        <f aca="true" t="shared" si="49" ref="K83:K102">SUM(I83:J83)</f>
        <v>2960586</v>
      </c>
      <c r="L83" s="85"/>
      <c r="M83" s="85">
        <f aca="true" t="shared" si="50" ref="M83:M102">SUM(K83:L83)</f>
        <v>2960586</v>
      </c>
      <c r="N83" s="85"/>
      <c r="O83" s="85">
        <f aca="true" t="shared" si="51" ref="O83:O102">SUM(M83:N83)</f>
        <v>2960586</v>
      </c>
      <c r="P83" s="85"/>
      <c r="Q83" s="85">
        <f aca="true" t="shared" si="52" ref="Q83:Q102">SUM(O83:P83)</f>
        <v>2960586</v>
      </c>
    </row>
    <row r="84" spans="1:17" s="27" customFormat="1" ht="21" customHeight="1">
      <c r="A84" s="90"/>
      <c r="B84" s="86"/>
      <c r="C84" s="71">
        <v>4040</v>
      </c>
      <c r="D84" s="41" t="s">
        <v>85</v>
      </c>
      <c r="E84" s="85">
        <v>203749</v>
      </c>
      <c r="F84" s="85"/>
      <c r="G84" s="85">
        <f t="shared" si="47"/>
        <v>203749</v>
      </c>
      <c r="H84" s="85"/>
      <c r="I84" s="85">
        <f t="shared" si="48"/>
        <v>203749</v>
      </c>
      <c r="J84" s="85">
        <v>-8000</v>
      </c>
      <c r="K84" s="85">
        <f t="shared" si="49"/>
        <v>195749</v>
      </c>
      <c r="L84" s="85">
        <v>-7434</v>
      </c>
      <c r="M84" s="85">
        <f t="shared" si="50"/>
        <v>188315</v>
      </c>
      <c r="N84" s="85"/>
      <c r="O84" s="85">
        <f t="shared" si="51"/>
        <v>188315</v>
      </c>
      <c r="P84" s="85"/>
      <c r="Q84" s="85">
        <f t="shared" si="52"/>
        <v>188315</v>
      </c>
    </row>
    <row r="85" spans="1:17" s="27" customFormat="1" ht="21" customHeight="1">
      <c r="A85" s="90"/>
      <c r="B85" s="86"/>
      <c r="C85" s="71">
        <v>4110</v>
      </c>
      <c r="D85" s="41" t="s">
        <v>86</v>
      </c>
      <c r="E85" s="85">
        <v>496390</v>
      </c>
      <c r="F85" s="85"/>
      <c r="G85" s="85">
        <f t="shared" si="47"/>
        <v>496390</v>
      </c>
      <c r="H85" s="85"/>
      <c r="I85" s="85">
        <f t="shared" si="48"/>
        <v>496390</v>
      </c>
      <c r="J85" s="85"/>
      <c r="K85" s="85">
        <f t="shared" si="49"/>
        <v>496390</v>
      </c>
      <c r="L85" s="85">
        <v>-5055</v>
      </c>
      <c r="M85" s="85">
        <f t="shared" si="50"/>
        <v>491335</v>
      </c>
      <c r="N85" s="85"/>
      <c r="O85" s="85">
        <f t="shared" si="51"/>
        <v>491335</v>
      </c>
      <c r="P85" s="85"/>
      <c r="Q85" s="85">
        <f t="shared" si="52"/>
        <v>491335</v>
      </c>
    </row>
    <row r="86" spans="1:17" s="27" customFormat="1" ht="21" customHeight="1">
      <c r="A86" s="90"/>
      <c r="B86" s="86"/>
      <c r="C86" s="71">
        <v>4120</v>
      </c>
      <c r="D86" s="41" t="s">
        <v>87</v>
      </c>
      <c r="E86" s="85">
        <v>92714</v>
      </c>
      <c r="F86" s="85"/>
      <c r="G86" s="85">
        <f t="shared" si="47"/>
        <v>92714</v>
      </c>
      <c r="H86" s="85"/>
      <c r="I86" s="85">
        <f t="shared" si="48"/>
        <v>92714</v>
      </c>
      <c r="J86" s="85"/>
      <c r="K86" s="85">
        <f t="shared" si="49"/>
        <v>92714</v>
      </c>
      <c r="L86" s="85">
        <v>-9000</v>
      </c>
      <c r="M86" s="85">
        <f t="shared" si="50"/>
        <v>83714</v>
      </c>
      <c r="N86" s="85"/>
      <c r="O86" s="85">
        <f t="shared" si="51"/>
        <v>83714</v>
      </c>
      <c r="P86" s="85"/>
      <c r="Q86" s="85">
        <f t="shared" si="52"/>
        <v>83714</v>
      </c>
    </row>
    <row r="87" spans="1:17" s="27" customFormat="1" ht="21" customHeight="1">
      <c r="A87" s="90"/>
      <c r="B87" s="86"/>
      <c r="C87" s="71">
        <v>4170</v>
      </c>
      <c r="D87" s="41" t="s">
        <v>191</v>
      </c>
      <c r="E87" s="85">
        <v>23200</v>
      </c>
      <c r="F87" s="85"/>
      <c r="G87" s="85">
        <f t="shared" si="47"/>
        <v>23200</v>
      </c>
      <c r="H87" s="85"/>
      <c r="I87" s="85">
        <f t="shared" si="48"/>
        <v>23200</v>
      </c>
      <c r="J87" s="85">
        <v>8000</v>
      </c>
      <c r="K87" s="85">
        <f t="shared" si="49"/>
        <v>31200</v>
      </c>
      <c r="L87" s="85">
        <v>3600</v>
      </c>
      <c r="M87" s="85">
        <f t="shared" si="50"/>
        <v>34800</v>
      </c>
      <c r="N87" s="85"/>
      <c r="O87" s="85">
        <f t="shared" si="51"/>
        <v>34800</v>
      </c>
      <c r="P87" s="85"/>
      <c r="Q87" s="85">
        <f t="shared" si="52"/>
        <v>34800</v>
      </c>
    </row>
    <row r="88" spans="1:17" s="27" customFormat="1" ht="21" customHeight="1">
      <c r="A88" s="90"/>
      <c r="B88" s="86"/>
      <c r="C88" s="71">
        <v>4210</v>
      </c>
      <c r="D88" s="41" t="s">
        <v>92</v>
      </c>
      <c r="E88" s="85">
        <v>107373</v>
      </c>
      <c r="F88" s="85"/>
      <c r="G88" s="85">
        <f t="shared" si="47"/>
        <v>107373</v>
      </c>
      <c r="H88" s="85"/>
      <c r="I88" s="85">
        <f t="shared" si="48"/>
        <v>107373</v>
      </c>
      <c r="J88" s="85">
        <v>3000</v>
      </c>
      <c r="K88" s="85">
        <f t="shared" si="49"/>
        <v>110373</v>
      </c>
      <c r="L88" s="85">
        <v>-13000</v>
      </c>
      <c r="M88" s="85">
        <f t="shared" si="50"/>
        <v>97373</v>
      </c>
      <c r="N88" s="85"/>
      <c r="O88" s="85">
        <f t="shared" si="51"/>
        <v>97373</v>
      </c>
      <c r="P88" s="85">
        <v>3500</v>
      </c>
      <c r="Q88" s="85">
        <f t="shared" si="52"/>
        <v>100873</v>
      </c>
    </row>
    <row r="89" spans="1:17" s="27" customFormat="1" ht="21" customHeight="1">
      <c r="A89" s="90"/>
      <c r="B89" s="86"/>
      <c r="C89" s="71">
        <v>4260</v>
      </c>
      <c r="D89" s="41" t="s">
        <v>95</v>
      </c>
      <c r="E89" s="85">
        <v>102000</v>
      </c>
      <c r="F89" s="85"/>
      <c r="G89" s="85">
        <f t="shared" si="47"/>
        <v>102000</v>
      </c>
      <c r="H89" s="85"/>
      <c r="I89" s="85">
        <f t="shared" si="48"/>
        <v>102000</v>
      </c>
      <c r="J89" s="85"/>
      <c r="K89" s="85">
        <f t="shared" si="49"/>
        <v>102000</v>
      </c>
      <c r="L89" s="85"/>
      <c r="M89" s="85">
        <f t="shared" si="50"/>
        <v>102000</v>
      </c>
      <c r="N89" s="85"/>
      <c r="O89" s="85">
        <f t="shared" si="51"/>
        <v>102000</v>
      </c>
      <c r="P89" s="85"/>
      <c r="Q89" s="85">
        <f t="shared" si="52"/>
        <v>102000</v>
      </c>
    </row>
    <row r="90" spans="1:17" s="27" customFormat="1" ht="21" customHeight="1">
      <c r="A90" s="90"/>
      <c r="B90" s="86"/>
      <c r="C90" s="71">
        <v>4270</v>
      </c>
      <c r="D90" s="41" t="s">
        <v>78</v>
      </c>
      <c r="E90" s="85">
        <v>109000</v>
      </c>
      <c r="F90" s="85">
        <v>-50000</v>
      </c>
      <c r="G90" s="85">
        <f t="shared" si="47"/>
        <v>59000</v>
      </c>
      <c r="H90" s="85"/>
      <c r="I90" s="85">
        <f t="shared" si="48"/>
        <v>59000</v>
      </c>
      <c r="J90" s="85"/>
      <c r="K90" s="85">
        <f t="shared" si="49"/>
        <v>59000</v>
      </c>
      <c r="L90" s="85"/>
      <c r="M90" s="85">
        <f t="shared" si="50"/>
        <v>59000</v>
      </c>
      <c r="N90" s="85"/>
      <c r="O90" s="85">
        <f t="shared" si="51"/>
        <v>59000</v>
      </c>
      <c r="P90" s="85">
        <v>1000</v>
      </c>
      <c r="Q90" s="85">
        <f t="shared" si="52"/>
        <v>60000</v>
      </c>
    </row>
    <row r="91" spans="1:17" s="27" customFormat="1" ht="21" customHeight="1">
      <c r="A91" s="90"/>
      <c r="B91" s="86"/>
      <c r="C91" s="71">
        <v>4280</v>
      </c>
      <c r="D91" s="41" t="s">
        <v>218</v>
      </c>
      <c r="E91" s="85">
        <v>10200</v>
      </c>
      <c r="F91" s="85"/>
      <c r="G91" s="85">
        <f t="shared" si="47"/>
        <v>10200</v>
      </c>
      <c r="H91" s="85"/>
      <c r="I91" s="85">
        <f t="shared" si="48"/>
        <v>10200</v>
      </c>
      <c r="J91" s="85"/>
      <c r="K91" s="85">
        <f t="shared" si="49"/>
        <v>10200</v>
      </c>
      <c r="L91" s="85"/>
      <c r="M91" s="85">
        <f t="shared" si="50"/>
        <v>10200</v>
      </c>
      <c r="N91" s="85"/>
      <c r="O91" s="85">
        <f t="shared" si="51"/>
        <v>10200</v>
      </c>
      <c r="P91" s="85"/>
      <c r="Q91" s="85">
        <f t="shared" si="52"/>
        <v>10200</v>
      </c>
    </row>
    <row r="92" spans="1:17" s="27" customFormat="1" ht="21" customHeight="1">
      <c r="A92" s="90"/>
      <c r="B92" s="86"/>
      <c r="C92" s="71">
        <v>4300</v>
      </c>
      <c r="D92" s="41" t="s">
        <v>79</v>
      </c>
      <c r="E92" s="85">
        <v>168000</v>
      </c>
      <c r="F92" s="85"/>
      <c r="G92" s="85">
        <f t="shared" si="47"/>
        <v>168000</v>
      </c>
      <c r="H92" s="85"/>
      <c r="I92" s="85">
        <f t="shared" si="48"/>
        <v>168000</v>
      </c>
      <c r="J92" s="85">
        <v>14000</v>
      </c>
      <c r="K92" s="85">
        <f t="shared" si="49"/>
        <v>182000</v>
      </c>
      <c r="L92" s="85">
        <v>30000</v>
      </c>
      <c r="M92" s="85">
        <f t="shared" si="50"/>
        <v>212000</v>
      </c>
      <c r="N92" s="85"/>
      <c r="O92" s="85">
        <f t="shared" si="51"/>
        <v>212000</v>
      </c>
      <c r="P92" s="85">
        <v>-11500</v>
      </c>
      <c r="Q92" s="85">
        <f t="shared" si="52"/>
        <v>200500</v>
      </c>
    </row>
    <row r="93" spans="1:17" s="27" customFormat="1" ht="21" customHeight="1">
      <c r="A93" s="90"/>
      <c r="B93" s="86"/>
      <c r="C93" s="71">
        <v>4350</v>
      </c>
      <c r="D93" s="41" t="s">
        <v>206</v>
      </c>
      <c r="E93" s="85">
        <v>14500</v>
      </c>
      <c r="F93" s="85"/>
      <c r="G93" s="85">
        <f t="shared" si="47"/>
        <v>14500</v>
      </c>
      <c r="H93" s="85"/>
      <c r="I93" s="85">
        <f t="shared" si="48"/>
        <v>14500</v>
      </c>
      <c r="J93" s="85"/>
      <c r="K93" s="85">
        <f t="shared" si="49"/>
        <v>14500</v>
      </c>
      <c r="L93" s="85"/>
      <c r="M93" s="85">
        <f t="shared" si="50"/>
        <v>14500</v>
      </c>
      <c r="N93" s="85"/>
      <c r="O93" s="85">
        <f t="shared" si="51"/>
        <v>14500</v>
      </c>
      <c r="P93" s="85"/>
      <c r="Q93" s="85">
        <f t="shared" si="52"/>
        <v>14500</v>
      </c>
    </row>
    <row r="94" spans="1:17" s="27" customFormat="1" ht="38.25" customHeight="1">
      <c r="A94" s="90"/>
      <c r="B94" s="86"/>
      <c r="C94" s="71">
        <v>4360</v>
      </c>
      <c r="D94" s="41" t="s">
        <v>495</v>
      </c>
      <c r="E94" s="85">
        <v>26000</v>
      </c>
      <c r="F94" s="85"/>
      <c r="G94" s="85">
        <f t="shared" si="47"/>
        <v>26000</v>
      </c>
      <c r="H94" s="85"/>
      <c r="I94" s="85">
        <f t="shared" si="48"/>
        <v>26000</v>
      </c>
      <c r="J94" s="85"/>
      <c r="K94" s="85">
        <f t="shared" si="49"/>
        <v>26000</v>
      </c>
      <c r="L94" s="85"/>
      <c r="M94" s="85">
        <f t="shared" si="50"/>
        <v>26000</v>
      </c>
      <c r="N94" s="85">
        <v>-500</v>
      </c>
      <c r="O94" s="85">
        <f t="shared" si="51"/>
        <v>25500</v>
      </c>
      <c r="P94" s="85">
        <v>-3000</v>
      </c>
      <c r="Q94" s="85">
        <f t="shared" si="52"/>
        <v>22500</v>
      </c>
    </row>
    <row r="95" spans="1:17" s="27" customFormat="1" ht="36">
      <c r="A95" s="90"/>
      <c r="B95" s="86"/>
      <c r="C95" s="71">
        <v>4370</v>
      </c>
      <c r="D95" s="41" t="s">
        <v>494</v>
      </c>
      <c r="E95" s="85">
        <v>28500</v>
      </c>
      <c r="F95" s="85"/>
      <c r="G95" s="85">
        <f t="shared" si="47"/>
        <v>28500</v>
      </c>
      <c r="H95" s="85"/>
      <c r="I95" s="85">
        <f t="shared" si="48"/>
        <v>28500</v>
      </c>
      <c r="J95" s="85"/>
      <c r="K95" s="85">
        <f t="shared" si="49"/>
        <v>28500</v>
      </c>
      <c r="L95" s="85"/>
      <c r="M95" s="85">
        <f t="shared" si="50"/>
        <v>28500</v>
      </c>
      <c r="N95" s="85"/>
      <c r="O95" s="85">
        <f t="shared" si="51"/>
        <v>28500</v>
      </c>
      <c r="P95" s="85"/>
      <c r="Q95" s="85">
        <f t="shared" si="52"/>
        <v>28500</v>
      </c>
    </row>
    <row r="96" spans="1:17" s="27" customFormat="1" ht="21.75" customHeight="1">
      <c r="A96" s="90"/>
      <c r="B96" s="86"/>
      <c r="C96" s="71">
        <v>4410</v>
      </c>
      <c r="D96" s="41" t="s">
        <v>90</v>
      </c>
      <c r="E96" s="85">
        <v>55000</v>
      </c>
      <c r="F96" s="85">
        <v>-20000</v>
      </c>
      <c r="G96" s="85">
        <f t="shared" si="47"/>
        <v>35000</v>
      </c>
      <c r="H96" s="85"/>
      <c r="I96" s="85">
        <f t="shared" si="48"/>
        <v>35000</v>
      </c>
      <c r="J96" s="85"/>
      <c r="K96" s="85">
        <f t="shared" si="49"/>
        <v>35000</v>
      </c>
      <c r="L96" s="85"/>
      <c r="M96" s="85">
        <f t="shared" si="50"/>
        <v>35000</v>
      </c>
      <c r="N96" s="85"/>
      <c r="O96" s="85">
        <f t="shared" si="51"/>
        <v>35000</v>
      </c>
      <c r="P96" s="85">
        <v>8000</v>
      </c>
      <c r="Q96" s="85">
        <f t="shared" si="52"/>
        <v>43000</v>
      </c>
    </row>
    <row r="97" spans="1:17" s="27" customFormat="1" ht="21.75" customHeight="1">
      <c r="A97" s="90"/>
      <c r="B97" s="86"/>
      <c r="C97" s="71">
        <v>4420</v>
      </c>
      <c r="D97" s="41" t="s">
        <v>93</v>
      </c>
      <c r="E97" s="85"/>
      <c r="F97" s="85"/>
      <c r="G97" s="85"/>
      <c r="H97" s="85"/>
      <c r="I97" s="85">
        <v>0</v>
      </c>
      <c r="J97" s="85">
        <v>500</v>
      </c>
      <c r="K97" s="85">
        <f t="shared" si="49"/>
        <v>500</v>
      </c>
      <c r="L97" s="85"/>
      <c r="M97" s="85">
        <f t="shared" si="50"/>
        <v>500</v>
      </c>
      <c r="N97" s="85">
        <v>500</v>
      </c>
      <c r="O97" s="85">
        <f t="shared" si="51"/>
        <v>1000</v>
      </c>
      <c r="P97" s="85">
        <v>2000</v>
      </c>
      <c r="Q97" s="85">
        <f t="shared" si="52"/>
        <v>3000</v>
      </c>
    </row>
    <row r="98" spans="1:17" s="27" customFormat="1" ht="16.5" customHeight="1">
      <c r="A98" s="90"/>
      <c r="B98" s="86"/>
      <c r="C98" s="74">
        <v>4430</v>
      </c>
      <c r="D98" s="41" t="s">
        <v>94</v>
      </c>
      <c r="E98" s="85">
        <v>8300</v>
      </c>
      <c r="F98" s="85"/>
      <c r="G98" s="85">
        <f t="shared" si="47"/>
        <v>8300</v>
      </c>
      <c r="H98" s="85"/>
      <c r="I98" s="85">
        <f t="shared" si="48"/>
        <v>8300</v>
      </c>
      <c r="J98" s="85"/>
      <c r="K98" s="85">
        <f t="shared" si="49"/>
        <v>8300</v>
      </c>
      <c r="L98" s="85"/>
      <c r="M98" s="85">
        <f t="shared" si="50"/>
        <v>8300</v>
      </c>
      <c r="N98" s="85"/>
      <c r="O98" s="85">
        <f t="shared" si="51"/>
        <v>8300</v>
      </c>
      <c r="P98" s="85"/>
      <c r="Q98" s="85">
        <f t="shared" si="52"/>
        <v>8300</v>
      </c>
    </row>
    <row r="99" spans="1:17" s="27" customFormat="1" ht="24">
      <c r="A99" s="90"/>
      <c r="B99" s="86"/>
      <c r="C99" s="74">
        <v>4440</v>
      </c>
      <c r="D99" s="41" t="s">
        <v>88</v>
      </c>
      <c r="E99" s="85">
        <v>108869</v>
      </c>
      <c r="F99" s="85"/>
      <c r="G99" s="85">
        <f t="shared" si="47"/>
        <v>108869</v>
      </c>
      <c r="H99" s="85"/>
      <c r="I99" s="85">
        <f t="shared" si="48"/>
        <v>108869</v>
      </c>
      <c r="J99" s="85">
        <v>-17500</v>
      </c>
      <c r="K99" s="85">
        <f t="shared" si="49"/>
        <v>91369</v>
      </c>
      <c r="L99" s="85"/>
      <c r="M99" s="85">
        <f t="shared" si="50"/>
        <v>91369</v>
      </c>
      <c r="N99" s="85"/>
      <c r="O99" s="85">
        <f t="shared" si="51"/>
        <v>91369</v>
      </c>
      <c r="P99" s="85"/>
      <c r="Q99" s="85">
        <f t="shared" si="52"/>
        <v>91369</v>
      </c>
    </row>
    <row r="100" spans="1:17" s="27" customFormat="1" ht="21.75" customHeight="1">
      <c r="A100" s="90"/>
      <c r="B100" s="86"/>
      <c r="C100" s="74">
        <v>4510</v>
      </c>
      <c r="D100" s="41" t="s">
        <v>145</v>
      </c>
      <c r="E100" s="85"/>
      <c r="F100" s="85"/>
      <c r="G100" s="85"/>
      <c r="H100" s="85"/>
      <c r="I100" s="85">
        <v>0</v>
      </c>
      <c r="J100" s="85">
        <v>500</v>
      </c>
      <c r="K100" s="85">
        <f t="shared" si="49"/>
        <v>500</v>
      </c>
      <c r="L100" s="85"/>
      <c r="M100" s="85">
        <f t="shared" si="50"/>
        <v>500</v>
      </c>
      <c r="N100" s="85"/>
      <c r="O100" s="85">
        <f t="shared" si="51"/>
        <v>500</v>
      </c>
      <c r="P100" s="85"/>
      <c r="Q100" s="85">
        <f t="shared" si="52"/>
        <v>500</v>
      </c>
    </row>
    <row r="101" spans="1:17" s="27" customFormat="1" ht="22.5" customHeight="1">
      <c r="A101" s="90"/>
      <c r="B101" s="86"/>
      <c r="C101" s="74">
        <v>4700</v>
      </c>
      <c r="D101" s="41" t="s">
        <v>260</v>
      </c>
      <c r="E101" s="85">
        <v>40800</v>
      </c>
      <c r="F101" s="85">
        <v>-10000</v>
      </c>
      <c r="G101" s="85">
        <f t="shared" si="47"/>
        <v>30800</v>
      </c>
      <c r="H101" s="85"/>
      <c r="I101" s="85">
        <f t="shared" si="48"/>
        <v>30800</v>
      </c>
      <c r="J101" s="85">
        <v>-500</v>
      </c>
      <c r="K101" s="85">
        <f t="shared" si="49"/>
        <v>30300</v>
      </c>
      <c r="L101" s="85"/>
      <c r="M101" s="85">
        <f t="shared" si="50"/>
        <v>30300</v>
      </c>
      <c r="N101" s="85"/>
      <c r="O101" s="85">
        <f t="shared" si="51"/>
        <v>30300</v>
      </c>
      <c r="P101" s="85"/>
      <c r="Q101" s="85">
        <f t="shared" si="52"/>
        <v>30300</v>
      </c>
    </row>
    <row r="102" spans="1:17" s="27" customFormat="1" ht="28.5" customHeight="1">
      <c r="A102" s="90"/>
      <c r="B102" s="86"/>
      <c r="C102" s="74">
        <v>4740</v>
      </c>
      <c r="D102" s="41" t="s">
        <v>288</v>
      </c>
      <c r="E102" s="85">
        <v>20000</v>
      </c>
      <c r="F102" s="85"/>
      <c r="G102" s="85">
        <f t="shared" si="47"/>
        <v>20000</v>
      </c>
      <c r="H102" s="85"/>
      <c r="I102" s="85">
        <f t="shared" si="48"/>
        <v>20000</v>
      </c>
      <c r="J102" s="85"/>
      <c r="K102" s="85">
        <f t="shared" si="49"/>
        <v>20000</v>
      </c>
      <c r="L102" s="85"/>
      <c r="M102" s="85">
        <f t="shared" si="50"/>
        <v>20000</v>
      </c>
      <c r="N102" s="85"/>
      <c r="O102" s="85">
        <f t="shared" si="51"/>
        <v>20000</v>
      </c>
      <c r="P102" s="85"/>
      <c r="Q102" s="85">
        <f t="shared" si="52"/>
        <v>20000</v>
      </c>
    </row>
    <row r="103" spans="1:17" s="27" customFormat="1" ht="27.75" customHeight="1">
      <c r="A103" s="90"/>
      <c r="B103" s="86"/>
      <c r="C103" s="74">
        <v>4750</v>
      </c>
      <c r="D103" s="41" t="s">
        <v>224</v>
      </c>
      <c r="E103" s="85">
        <v>119519</v>
      </c>
      <c r="F103" s="85"/>
      <c r="G103" s="85">
        <f>SUM(E103:F103)</f>
        <v>119519</v>
      </c>
      <c r="H103" s="85"/>
      <c r="I103" s="85">
        <f>SUM(G103:H103)</f>
        <v>119519</v>
      </c>
      <c r="J103" s="85"/>
      <c r="K103" s="85">
        <f>SUM(I103:J103)</f>
        <v>119519</v>
      </c>
      <c r="L103" s="85">
        <v>13000</v>
      </c>
      <c r="M103" s="85">
        <f>SUM(K103:L103)</f>
        <v>132519</v>
      </c>
      <c r="N103" s="85"/>
      <c r="O103" s="85">
        <f>SUM(M103:N103)</f>
        <v>132519</v>
      </c>
      <c r="P103" s="85"/>
      <c r="Q103" s="85">
        <f>SUM(O103:P103)</f>
        <v>132519</v>
      </c>
    </row>
    <row r="104" spans="1:17" s="27" customFormat="1" ht="24">
      <c r="A104" s="90"/>
      <c r="B104" s="86"/>
      <c r="C104" s="74">
        <v>6050</v>
      </c>
      <c r="D104" s="41" t="s">
        <v>73</v>
      </c>
      <c r="E104" s="85">
        <v>150000</v>
      </c>
      <c r="F104" s="85">
        <v>-100000</v>
      </c>
      <c r="G104" s="85">
        <f t="shared" si="47"/>
        <v>50000</v>
      </c>
      <c r="H104" s="85"/>
      <c r="I104" s="85">
        <f>SUM(G104:H104)</f>
        <v>50000</v>
      </c>
      <c r="J104" s="85"/>
      <c r="K104" s="85">
        <f>SUM(I104:J104)</f>
        <v>50000</v>
      </c>
      <c r="L104" s="85"/>
      <c r="M104" s="85">
        <f>SUM(K104:L104)</f>
        <v>50000</v>
      </c>
      <c r="N104" s="85"/>
      <c r="O104" s="85">
        <f>SUM(M104:N104)</f>
        <v>50000</v>
      </c>
      <c r="P104" s="85"/>
      <c r="Q104" s="85">
        <f>SUM(O104:P104)</f>
        <v>50000</v>
      </c>
    </row>
    <row r="105" spans="1:17" s="27" customFormat="1" ht="24">
      <c r="A105" s="90"/>
      <c r="B105" s="86">
        <v>75075</v>
      </c>
      <c r="C105" s="90"/>
      <c r="D105" s="41" t="s">
        <v>203</v>
      </c>
      <c r="E105" s="85">
        <f aca="true" t="shared" si="53" ref="E105:J105">SUM(E107:E117)</f>
        <v>238000</v>
      </c>
      <c r="F105" s="85">
        <f t="shared" si="53"/>
        <v>-48000</v>
      </c>
      <c r="G105" s="85">
        <f t="shared" si="53"/>
        <v>190000</v>
      </c>
      <c r="H105" s="85">
        <f t="shared" si="53"/>
        <v>0</v>
      </c>
      <c r="I105" s="85">
        <f t="shared" si="53"/>
        <v>190000</v>
      </c>
      <c r="J105" s="85">
        <f t="shared" si="53"/>
        <v>0</v>
      </c>
      <c r="K105" s="85">
        <f aca="true" t="shared" si="54" ref="K105:Q105">SUM(K106:K117)</f>
        <v>190000</v>
      </c>
      <c r="L105" s="85">
        <f t="shared" si="54"/>
        <v>5000</v>
      </c>
      <c r="M105" s="85">
        <f t="shared" si="54"/>
        <v>195000</v>
      </c>
      <c r="N105" s="85">
        <f t="shared" si="54"/>
        <v>0</v>
      </c>
      <c r="O105" s="85">
        <f t="shared" si="54"/>
        <v>195000</v>
      </c>
      <c r="P105" s="85">
        <f t="shared" si="54"/>
        <v>0</v>
      </c>
      <c r="Q105" s="85">
        <f t="shared" si="54"/>
        <v>195000</v>
      </c>
    </row>
    <row r="106" spans="1:17" s="27" customFormat="1" ht="48">
      <c r="A106" s="90"/>
      <c r="B106" s="86"/>
      <c r="C106" s="90">
        <v>2320</v>
      </c>
      <c r="D106" s="41" t="s">
        <v>150</v>
      </c>
      <c r="E106" s="85"/>
      <c r="F106" s="85"/>
      <c r="G106" s="85"/>
      <c r="H106" s="85"/>
      <c r="I106" s="85"/>
      <c r="J106" s="85"/>
      <c r="K106" s="85">
        <v>0</v>
      </c>
      <c r="L106" s="85">
        <v>5000</v>
      </c>
      <c r="M106" s="85">
        <f>SUM(K106:L106)</f>
        <v>5000</v>
      </c>
      <c r="N106" s="85"/>
      <c r="O106" s="85">
        <f>SUM(M106:N106)</f>
        <v>5000</v>
      </c>
      <c r="P106" s="85"/>
      <c r="Q106" s="85">
        <f>SUM(O106:P106)</f>
        <v>5000</v>
      </c>
    </row>
    <row r="107" spans="1:17" s="27" customFormat="1" ht="21" customHeight="1">
      <c r="A107" s="90"/>
      <c r="B107" s="86"/>
      <c r="C107" s="90">
        <v>3020</v>
      </c>
      <c r="D107" s="41" t="s">
        <v>189</v>
      </c>
      <c r="E107" s="85">
        <v>10000</v>
      </c>
      <c r="F107" s="85"/>
      <c r="G107" s="85">
        <f>SUM(E107:F107)</f>
        <v>10000</v>
      </c>
      <c r="H107" s="85"/>
      <c r="I107" s="85">
        <f>SUM(G107:H107)</f>
        <v>10000</v>
      </c>
      <c r="J107" s="85"/>
      <c r="K107" s="85">
        <f>SUM(I107:J107)</f>
        <v>10000</v>
      </c>
      <c r="L107" s="85"/>
      <c r="M107" s="85">
        <f>SUM(K107:L107)</f>
        <v>10000</v>
      </c>
      <c r="N107" s="85"/>
      <c r="O107" s="85">
        <f>SUM(M107:N107)</f>
        <v>10000</v>
      </c>
      <c r="P107" s="85"/>
      <c r="Q107" s="85">
        <f>SUM(O107:P107)</f>
        <v>10000</v>
      </c>
    </row>
    <row r="108" spans="1:17" s="27" customFormat="1" ht="21" customHeight="1">
      <c r="A108" s="90"/>
      <c r="B108" s="86"/>
      <c r="C108" s="90">
        <v>4110</v>
      </c>
      <c r="D108" s="41" t="s">
        <v>86</v>
      </c>
      <c r="E108" s="85">
        <v>1300</v>
      </c>
      <c r="F108" s="85"/>
      <c r="G108" s="85">
        <f aca="true" t="shared" si="55" ref="G108:G117">SUM(E108:F108)</f>
        <v>1300</v>
      </c>
      <c r="H108" s="85"/>
      <c r="I108" s="85">
        <f aca="true" t="shared" si="56" ref="I108:I117">SUM(G108:H108)</f>
        <v>1300</v>
      </c>
      <c r="J108" s="85"/>
      <c r="K108" s="85">
        <f aca="true" t="shared" si="57" ref="K108:K117">SUM(I108:J108)</f>
        <v>1300</v>
      </c>
      <c r="L108" s="85"/>
      <c r="M108" s="85">
        <f aca="true" t="shared" si="58" ref="M108:M117">SUM(K108:L108)</f>
        <v>1300</v>
      </c>
      <c r="N108" s="85"/>
      <c r="O108" s="85">
        <f aca="true" t="shared" si="59" ref="O108:O117">SUM(M108:N108)</f>
        <v>1300</v>
      </c>
      <c r="P108" s="85"/>
      <c r="Q108" s="85">
        <f aca="true" t="shared" si="60" ref="Q108:Q117">SUM(O108:P108)</f>
        <v>1300</v>
      </c>
    </row>
    <row r="109" spans="1:17" s="27" customFormat="1" ht="21" customHeight="1">
      <c r="A109" s="90"/>
      <c r="B109" s="86"/>
      <c r="C109" s="90">
        <v>4120</v>
      </c>
      <c r="D109" s="41" t="s">
        <v>87</v>
      </c>
      <c r="E109" s="85">
        <v>200</v>
      </c>
      <c r="F109" s="85"/>
      <c r="G109" s="85">
        <f t="shared" si="55"/>
        <v>200</v>
      </c>
      <c r="H109" s="85"/>
      <c r="I109" s="85">
        <f t="shared" si="56"/>
        <v>200</v>
      </c>
      <c r="J109" s="85"/>
      <c r="K109" s="85">
        <f t="shared" si="57"/>
        <v>200</v>
      </c>
      <c r="L109" s="85"/>
      <c r="M109" s="85">
        <f t="shared" si="58"/>
        <v>200</v>
      </c>
      <c r="N109" s="85"/>
      <c r="O109" s="85">
        <f t="shared" si="59"/>
        <v>200</v>
      </c>
      <c r="P109" s="85"/>
      <c r="Q109" s="85">
        <f t="shared" si="60"/>
        <v>200</v>
      </c>
    </row>
    <row r="110" spans="1:17" s="27" customFormat="1" ht="21" customHeight="1">
      <c r="A110" s="90"/>
      <c r="B110" s="86"/>
      <c r="C110" s="90">
        <v>4170</v>
      </c>
      <c r="D110" s="41" t="s">
        <v>191</v>
      </c>
      <c r="E110" s="85">
        <v>15000</v>
      </c>
      <c r="F110" s="85"/>
      <c r="G110" s="85">
        <f t="shared" si="55"/>
        <v>15000</v>
      </c>
      <c r="H110" s="85"/>
      <c r="I110" s="85">
        <f t="shared" si="56"/>
        <v>15000</v>
      </c>
      <c r="J110" s="85"/>
      <c r="K110" s="85">
        <f t="shared" si="57"/>
        <v>15000</v>
      </c>
      <c r="L110" s="85"/>
      <c r="M110" s="85">
        <f t="shared" si="58"/>
        <v>15000</v>
      </c>
      <c r="N110" s="85"/>
      <c r="O110" s="85">
        <f t="shared" si="59"/>
        <v>15000</v>
      </c>
      <c r="P110" s="85"/>
      <c r="Q110" s="85">
        <f t="shared" si="60"/>
        <v>15000</v>
      </c>
    </row>
    <row r="111" spans="1:17" s="27" customFormat="1" ht="21" customHeight="1">
      <c r="A111" s="90"/>
      <c r="B111" s="86"/>
      <c r="C111" s="90">
        <v>4210</v>
      </c>
      <c r="D111" s="41" t="s">
        <v>92</v>
      </c>
      <c r="E111" s="85">
        <v>64500</v>
      </c>
      <c r="F111" s="85">
        <v>-20000</v>
      </c>
      <c r="G111" s="85">
        <f t="shared" si="55"/>
        <v>44500</v>
      </c>
      <c r="H111" s="85"/>
      <c r="I111" s="85">
        <f t="shared" si="56"/>
        <v>44500</v>
      </c>
      <c r="J111" s="85"/>
      <c r="K111" s="85">
        <f t="shared" si="57"/>
        <v>44500</v>
      </c>
      <c r="L111" s="85"/>
      <c r="M111" s="85">
        <f t="shared" si="58"/>
        <v>44500</v>
      </c>
      <c r="N111" s="85"/>
      <c r="O111" s="85">
        <f t="shared" si="59"/>
        <v>44500</v>
      </c>
      <c r="P111" s="85"/>
      <c r="Q111" s="85">
        <f t="shared" si="60"/>
        <v>44500</v>
      </c>
    </row>
    <row r="112" spans="1:17" s="27" customFormat="1" ht="21" customHeight="1">
      <c r="A112" s="90"/>
      <c r="B112" s="86"/>
      <c r="C112" s="71">
        <v>4300</v>
      </c>
      <c r="D112" s="41" t="s">
        <v>79</v>
      </c>
      <c r="E112" s="85">
        <v>130200</v>
      </c>
      <c r="F112" s="85">
        <f>-23000-5000</f>
        <v>-28000</v>
      </c>
      <c r="G112" s="85">
        <f t="shared" si="55"/>
        <v>102200</v>
      </c>
      <c r="H112" s="85"/>
      <c r="I112" s="85">
        <f t="shared" si="56"/>
        <v>102200</v>
      </c>
      <c r="J112" s="85"/>
      <c r="K112" s="85">
        <f t="shared" si="57"/>
        <v>102200</v>
      </c>
      <c r="L112" s="85"/>
      <c r="M112" s="85">
        <f t="shared" si="58"/>
        <v>102200</v>
      </c>
      <c r="N112" s="85"/>
      <c r="O112" s="85">
        <f t="shared" si="59"/>
        <v>102200</v>
      </c>
      <c r="P112" s="85"/>
      <c r="Q112" s="85">
        <f t="shared" si="60"/>
        <v>102200</v>
      </c>
    </row>
    <row r="113" spans="1:17" s="27" customFormat="1" ht="21" customHeight="1">
      <c r="A113" s="90"/>
      <c r="B113" s="86"/>
      <c r="C113" s="71">
        <v>4410</v>
      </c>
      <c r="D113" s="41" t="s">
        <v>90</v>
      </c>
      <c r="E113" s="85">
        <v>4000</v>
      </c>
      <c r="F113" s="85"/>
      <c r="G113" s="85">
        <f t="shared" si="55"/>
        <v>4000</v>
      </c>
      <c r="H113" s="85"/>
      <c r="I113" s="85">
        <f t="shared" si="56"/>
        <v>4000</v>
      </c>
      <c r="J113" s="85"/>
      <c r="K113" s="85">
        <f t="shared" si="57"/>
        <v>4000</v>
      </c>
      <c r="L113" s="85"/>
      <c r="M113" s="85">
        <f t="shared" si="58"/>
        <v>4000</v>
      </c>
      <c r="N113" s="85"/>
      <c r="O113" s="85">
        <f t="shared" si="59"/>
        <v>4000</v>
      </c>
      <c r="P113" s="85"/>
      <c r="Q113" s="85">
        <f t="shared" si="60"/>
        <v>4000</v>
      </c>
    </row>
    <row r="114" spans="1:17" s="27" customFormat="1" ht="21" customHeight="1">
      <c r="A114" s="90"/>
      <c r="B114" s="86"/>
      <c r="C114" s="90">
        <v>4420</v>
      </c>
      <c r="D114" s="41" t="s">
        <v>93</v>
      </c>
      <c r="E114" s="85">
        <v>10000</v>
      </c>
      <c r="F114" s="85"/>
      <c r="G114" s="85">
        <f t="shared" si="55"/>
        <v>10000</v>
      </c>
      <c r="H114" s="85"/>
      <c r="I114" s="85">
        <f t="shared" si="56"/>
        <v>10000</v>
      </c>
      <c r="J114" s="85"/>
      <c r="K114" s="85">
        <f t="shared" si="57"/>
        <v>10000</v>
      </c>
      <c r="L114" s="85"/>
      <c r="M114" s="85">
        <f t="shared" si="58"/>
        <v>10000</v>
      </c>
      <c r="N114" s="85"/>
      <c r="O114" s="85">
        <f t="shared" si="59"/>
        <v>10000</v>
      </c>
      <c r="P114" s="85"/>
      <c r="Q114" s="85">
        <f t="shared" si="60"/>
        <v>10000</v>
      </c>
    </row>
    <row r="115" spans="1:17" s="27" customFormat="1" ht="21" customHeight="1">
      <c r="A115" s="90"/>
      <c r="B115" s="86"/>
      <c r="C115" s="71">
        <v>4430</v>
      </c>
      <c r="D115" s="41" t="s">
        <v>94</v>
      </c>
      <c r="E115" s="85">
        <v>2000</v>
      </c>
      <c r="F115" s="85"/>
      <c r="G115" s="85">
        <f t="shared" si="55"/>
        <v>2000</v>
      </c>
      <c r="H115" s="85"/>
      <c r="I115" s="85">
        <f t="shared" si="56"/>
        <v>2000</v>
      </c>
      <c r="J115" s="85"/>
      <c r="K115" s="85">
        <f t="shared" si="57"/>
        <v>2000</v>
      </c>
      <c r="L115" s="85"/>
      <c r="M115" s="85">
        <f t="shared" si="58"/>
        <v>2000</v>
      </c>
      <c r="N115" s="85"/>
      <c r="O115" s="85">
        <f t="shared" si="59"/>
        <v>2000</v>
      </c>
      <c r="P115" s="85"/>
      <c r="Q115" s="85">
        <f t="shared" si="60"/>
        <v>2000</v>
      </c>
    </row>
    <row r="116" spans="1:17" s="27" customFormat="1" ht="28.5" customHeight="1">
      <c r="A116" s="90"/>
      <c r="B116" s="86"/>
      <c r="C116" s="71">
        <v>4740</v>
      </c>
      <c r="D116" s="41" t="s">
        <v>288</v>
      </c>
      <c r="E116" s="85">
        <v>300</v>
      </c>
      <c r="F116" s="85"/>
      <c r="G116" s="85">
        <f t="shared" si="55"/>
        <v>300</v>
      </c>
      <c r="H116" s="85"/>
      <c r="I116" s="85">
        <f t="shared" si="56"/>
        <v>300</v>
      </c>
      <c r="J116" s="85"/>
      <c r="K116" s="85">
        <f t="shared" si="57"/>
        <v>300</v>
      </c>
      <c r="L116" s="85"/>
      <c r="M116" s="85">
        <f t="shared" si="58"/>
        <v>300</v>
      </c>
      <c r="N116" s="85"/>
      <c r="O116" s="85">
        <f t="shared" si="59"/>
        <v>300</v>
      </c>
      <c r="P116" s="85"/>
      <c r="Q116" s="85">
        <f t="shared" si="60"/>
        <v>300</v>
      </c>
    </row>
    <row r="117" spans="1:17" s="27" customFormat="1" ht="24">
      <c r="A117" s="90"/>
      <c r="B117" s="86"/>
      <c r="C117" s="71">
        <v>4750</v>
      </c>
      <c r="D117" s="41" t="s">
        <v>224</v>
      </c>
      <c r="E117" s="85">
        <v>500</v>
      </c>
      <c r="F117" s="85"/>
      <c r="G117" s="85">
        <f t="shared" si="55"/>
        <v>500</v>
      </c>
      <c r="H117" s="85"/>
      <c r="I117" s="85">
        <f t="shared" si="56"/>
        <v>500</v>
      </c>
      <c r="J117" s="85"/>
      <c r="K117" s="85">
        <f t="shared" si="57"/>
        <v>500</v>
      </c>
      <c r="L117" s="85"/>
      <c r="M117" s="85">
        <f t="shared" si="58"/>
        <v>500</v>
      </c>
      <c r="N117" s="85"/>
      <c r="O117" s="85">
        <f t="shared" si="59"/>
        <v>500</v>
      </c>
      <c r="P117" s="85"/>
      <c r="Q117" s="85">
        <f t="shared" si="60"/>
        <v>500</v>
      </c>
    </row>
    <row r="118" spans="1:17" s="27" customFormat="1" ht="21" customHeight="1">
      <c r="A118" s="90"/>
      <c r="B118" s="86">
        <v>75095</v>
      </c>
      <c r="C118" s="71"/>
      <c r="D118" s="41" t="s">
        <v>6</v>
      </c>
      <c r="E118" s="85">
        <f aca="true" t="shared" si="61" ref="E118:K118">SUM(E119:E122)</f>
        <v>114765</v>
      </c>
      <c r="F118" s="85">
        <f t="shared" si="61"/>
        <v>0</v>
      </c>
      <c r="G118" s="85">
        <f t="shared" si="61"/>
        <v>114765</v>
      </c>
      <c r="H118" s="85">
        <f t="shared" si="61"/>
        <v>0</v>
      </c>
      <c r="I118" s="85">
        <f t="shared" si="61"/>
        <v>114765</v>
      </c>
      <c r="J118" s="85">
        <f t="shared" si="61"/>
        <v>0</v>
      </c>
      <c r="K118" s="85">
        <f t="shared" si="61"/>
        <v>114765</v>
      </c>
      <c r="L118" s="85">
        <f>SUM(L119:L122)</f>
        <v>-1400</v>
      </c>
      <c r="M118" s="85">
        <f>SUM(M119:M122)</f>
        <v>113365</v>
      </c>
      <c r="N118" s="85">
        <f>SUM(N119:N122)</f>
        <v>0</v>
      </c>
      <c r="O118" s="85">
        <f>SUM(O119:O123)</f>
        <v>113365</v>
      </c>
      <c r="P118" s="85">
        <f>SUM(P119:P123)</f>
        <v>0</v>
      </c>
      <c r="Q118" s="85">
        <f>SUM(Q119:Q123)</f>
        <v>113365</v>
      </c>
    </row>
    <row r="119" spans="1:17" s="27" customFormat="1" ht="21" customHeight="1">
      <c r="A119" s="90"/>
      <c r="B119" s="86"/>
      <c r="C119" s="71">
        <v>3030</v>
      </c>
      <c r="D119" s="41" t="s">
        <v>89</v>
      </c>
      <c r="E119" s="85">
        <v>60000</v>
      </c>
      <c r="F119" s="85"/>
      <c r="G119" s="85">
        <f>SUM(E119:F119)</f>
        <v>60000</v>
      </c>
      <c r="H119" s="85"/>
      <c r="I119" s="85">
        <f>SUM(G119:H119)</f>
        <v>60000</v>
      </c>
      <c r="J119" s="85"/>
      <c r="K119" s="85">
        <f>SUM(I119:J119)</f>
        <v>60000</v>
      </c>
      <c r="L119" s="85">
        <v>-300</v>
      </c>
      <c r="M119" s="85">
        <f>SUM(K119:L119)</f>
        <v>59700</v>
      </c>
      <c r="N119" s="85"/>
      <c r="O119" s="85">
        <f>SUM(M119:N119)</f>
        <v>59700</v>
      </c>
      <c r="P119" s="85">
        <v>4600</v>
      </c>
      <c r="Q119" s="85">
        <f>SUM(O119:P119)</f>
        <v>64300</v>
      </c>
    </row>
    <row r="120" spans="1:17" s="27" customFormat="1" ht="21" customHeight="1">
      <c r="A120" s="90"/>
      <c r="B120" s="86"/>
      <c r="C120" s="71">
        <v>4210</v>
      </c>
      <c r="D120" s="41" t="s">
        <v>92</v>
      </c>
      <c r="E120" s="85">
        <f>6000+1665</f>
        <v>7665</v>
      </c>
      <c r="F120" s="85"/>
      <c r="G120" s="85">
        <f>SUM(E120:F120)</f>
        <v>7665</v>
      </c>
      <c r="H120" s="85"/>
      <c r="I120" s="85">
        <f>SUM(G120:H120)</f>
        <v>7665</v>
      </c>
      <c r="J120" s="85"/>
      <c r="K120" s="85">
        <f>SUM(I120:J120)</f>
        <v>7665</v>
      </c>
      <c r="L120" s="85"/>
      <c r="M120" s="85">
        <f>SUM(K120:L120)</f>
        <v>7665</v>
      </c>
      <c r="N120" s="85"/>
      <c r="O120" s="85">
        <f>SUM(M120:N120)</f>
        <v>7665</v>
      </c>
      <c r="P120" s="85"/>
      <c r="Q120" s="85">
        <f>SUM(O120:P120)</f>
        <v>7665</v>
      </c>
    </row>
    <row r="121" spans="1:17" s="27" customFormat="1" ht="21" customHeight="1">
      <c r="A121" s="90"/>
      <c r="B121" s="86"/>
      <c r="C121" s="71">
        <v>4410</v>
      </c>
      <c r="D121" s="41" t="s">
        <v>90</v>
      </c>
      <c r="E121" s="85">
        <v>6000</v>
      </c>
      <c r="F121" s="85"/>
      <c r="G121" s="85">
        <f>SUM(E121:F121)</f>
        <v>6000</v>
      </c>
      <c r="H121" s="85"/>
      <c r="I121" s="85">
        <f>SUM(G121:H121)</f>
        <v>6000</v>
      </c>
      <c r="J121" s="85"/>
      <c r="K121" s="85">
        <f>SUM(I121:J121)</f>
        <v>6000</v>
      </c>
      <c r="L121" s="85">
        <v>-1100</v>
      </c>
      <c r="M121" s="85">
        <f>SUM(K121:L121)</f>
        <v>4900</v>
      </c>
      <c r="N121" s="85"/>
      <c r="O121" s="85">
        <f>SUM(M121:N121)</f>
        <v>4900</v>
      </c>
      <c r="P121" s="85">
        <v>-4900</v>
      </c>
      <c r="Q121" s="85">
        <f>SUM(O121:P121)</f>
        <v>0</v>
      </c>
    </row>
    <row r="122" spans="1:17" s="27" customFormat="1" ht="21" customHeight="1">
      <c r="A122" s="90"/>
      <c r="B122" s="86"/>
      <c r="C122" s="71">
        <v>4430</v>
      </c>
      <c r="D122" s="41" t="s">
        <v>94</v>
      </c>
      <c r="E122" s="85">
        <v>41100</v>
      </c>
      <c r="F122" s="85"/>
      <c r="G122" s="85">
        <f>SUM(E122:F122)</f>
        <v>41100</v>
      </c>
      <c r="H122" s="85"/>
      <c r="I122" s="85">
        <f>SUM(G122:H122)</f>
        <v>41100</v>
      </c>
      <c r="J122" s="85"/>
      <c r="K122" s="85">
        <f>SUM(I122:J122)</f>
        <v>41100</v>
      </c>
      <c r="L122" s="85"/>
      <c r="M122" s="85">
        <f>SUM(K122:L122)</f>
        <v>41100</v>
      </c>
      <c r="N122" s="85"/>
      <c r="O122" s="85">
        <f>SUM(M122:N122)</f>
        <v>41100</v>
      </c>
      <c r="P122" s="85"/>
      <c r="Q122" s="85">
        <f>SUM(O122:P122)</f>
        <v>41100</v>
      </c>
    </row>
    <row r="123" spans="1:17" s="27" customFormat="1" ht="24">
      <c r="A123" s="90"/>
      <c r="B123" s="86"/>
      <c r="C123" s="71">
        <v>4610</v>
      </c>
      <c r="D123" s="41" t="s">
        <v>182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>
        <v>0</v>
      </c>
      <c r="P123" s="85">
        <v>300</v>
      </c>
      <c r="Q123" s="85">
        <f>SUM(O123:P123)</f>
        <v>300</v>
      </c>
    </row>
    <row r="124" spans="1:17" s="7" customFormat="1" ht="36">
      <c r="A124" s="36">
        <v>751</v>
      </c>
      <c r="B124" s="37"/>
      <c r="C124" s="38"/>
      <c r="D124" s="39" t="s">
        <v>98</v>
      </c>
      <c r="E124" s="40">
        <f aca="true" t="shared" si="62" ref="E124:Q124">SUM(E125)</f>
        <v>3952</v>
      </c>
      <c r="F124" s="40">
        <f t="shared" si="62"/>
        <v>0</v>
      </c>
      <c r="G124" s="40">
        <f t="shared" si="62"/>
        <v>3952</v>
      </c>
      <c r="H124" s="40">
        <f t="shared" si="62"/>
        <v>0</v>
      </c>
      <c r="I124" s="40">
        <f t="shared" si="62"/>
        <v>3952</v>
      </c>
      <c r="J124" s="40">
        <f t="shared" si="62"/>
        <v>0</v>
      </c>
      <c r="K124" s="40">
        <f t="shared" si="62"/>
        <v>3952</v>
      </c>
      <c r="L124" s="40">
        <f t="shared" si="62"/>
        <v>0</v>
      </c>
      <c r="M124" s="40">
        <f t="shared" si="62"/>
        <v>3952</v>
      </c>
      <c r="N124" s="40">
        <f t="shared" si="62"/>
        <v>0</v>
      </c>
      <c r="O124" s="40">
        <f t="shared" si="62"/>
        <v>3952</v>
      </c>
      <c r="P124" s="40">
        <f t="shared" si="62"/>
        <v>0</v>
      </c>
      <c r="Q124" s="40">
        <f t="shared" si="62"/>
        <v>3952</v>
      </c>
    </row>
    <row r="125" spans="1:17" s="27" customFormat="1" ht="28.5" customHeight="1">
      <c r="A125" s="90"/>
      <c r="B125" s="86">
        <v>75101</v>
      </c>
      <c r="C125" s="90"/>
      <c r="D125" s="41" t="s">
        <v>21</v>
      </c>
      <c r="E125" s="85">
        <f aca="true" t="shared" si="63" ref="E125:K125">SUM(E126:E128)</f>
        <v>3952</v>
      </c>
      <c r="F125" s="85">
        <f t="shared" si="63"/>
        <v>0</v>
      </c>
      <c r="G125" s="85">
        <f t="shared" si="63"/>
        <v>3952</v>
      </c>
      <c r="H125" s="85">
        <f t="shared" si="63"/>
        <v>0</v>
      </c>
      <c r="I125" s="85">
        <f t="shared" si="63"/>
        <v>3952</v>
      </c>
      <c r="J125" s="85">
        <f t="shared" si="63"/>
        <v>0</v>
      </c>
      <c r="K125" s="85">
        <f t="shared" si="63"/>
        <v>3952</v>
      </c>
      <c r="L125" s="85">
        <f aca="true" t="shared" si="64" ref="L125:Q125">SUM(L126:L128)</f>
        <v>0</v>
      </c>
      <c r="M125" s="85">
        <f t="shared" si="64"/>
        <v>3952</v>
      </c>
      <c r="N125" s="85">
        <f t="shared" si="64"/>
        <v>0</v>
      </c>
      <c r="O125" s="85">
        <f t="shared" si="64"/>
        <v>3952</v>
      </c>
      <c r="P125" s="85">
        <f t="shared" si="64"/>
        <v>0</v>
      </c>
      <c r="Q125" s="85">
        <f t="shared" si="64"/>
        <v>3952</v>
      </c>
    </row>
    <row r="126" spans="1:17" s="27" customFormat="1" ht="21.75" customHeight="1">
      <c r="A126" s="90"/>
      <c r="B126" s="86"/>
      <c r="C126" s="90">
        <v>4010</v>
      </c>
      <c r="D126" s="41" t="s">
        <v>84</v>
      </c>
      <c r="E126" s="85">
        <v>3360</v>
      </c>
      <c r="F126" s="85"/>
      <c r="G126" s="85">
        <f>SUM(E126:F126)</f>
        <v>3360</v>
      </c>
      <c r="H126" s="85"/>
      <c r="I126" s="85">
        <f>SUM(G126:H126)</f>
        <v>3360</v>
      </c>
      <c r="J126" s="85"/>
      <c r="K126" s="85">
        <f>SUM(I126:J126)</f>
        <v>3360</v>
      </c>
      <c r="L126" s="85"/>
      <c r="M126" s="85">
        <f>SUM(K126:L126)</f>
        <v>3360</v>
      </c>
      <c r="N126" s="85"/>
      <c r="O126" s="85">
        <f>SUM(M126:N126)</f>
        <v>3360</v>
      </c>
      <c r="P126" s="85"/>
      <c r="Q126" s="85">
        <f>SUM(O126:P126)</f>
        <v>3360</v>
      </c>
    </row>
    <row r="127" spans="1:17" s="27" customFormat="1" ht="18.75" customHeight="1">
      <c r="A127" s="90"/>
      <c r="B127" s="86"/>
      <c r="C127" s="90">
        <v>4110</v>
      </c>
      <c r="D127" s="41" t="s">
        <v>86</v>
      </c>
      <c r="E127" s="85">
        <v>510</v>
      </c>
      <c r="F127" s="85"/>
      <c r="G127" s="85">
        <f>SUM(E127:F127)</f>
        <v>510</v>
      </c>
      <c r="H127" s="85"/>
      <c r="I127" s="85">
        <f>SUM(G127:H127)</f>
        <v>510</v>
      </c>
      <c r="J127" s="85"/>
      <c r="K127" s="85">
        <f>SUM(I127:J127)</f>
        <v>510</v>
      </c>
      <c r="L127" s="85"/>
      <c r="M127" s="85">
        <f>SUM(K127:L127)</f>
        <v>510</v>
      </c>
      <c r="N127" s="85"/>
      <c r="O127" s="85">
        <f>SUM(M127:N127)</f>
        <v>510</v>
      </c>
      <c r="P127" s="85"/>
      <c r="Q127" s="85">
        <f>SUM(O127:P127)</f>
        <v>510</v>
      </c>
    </row>
    <row r="128" spans="1:17" s="27" customFormat="1" ht="19.5" customHeight="1">
      <c r="A128" s="90"/>
      <c r="B128" s="86"/>
      <c r="C128" s="90">
        <v>4120</v>
      </c>
      <c r="D128" s="41" t="s">
        <v>87</v>
      </c>
      <c r="E128" s="85">
        <v>82</v>
      </c>
      <c r="F128" s="85"/>
      <c r="G128" s="85">
        <f>SUM(E128:F128)</f>
        <v>82</v>
      </c>
      <c r="H128" s="85"/>
      <c r="I128" s="85">
        <f>SUM(G128:H128)</f>
        <v>82</v>
      </c>
      <c r="J128" s="85"/>
      <c r="K128" s="85">
        <f>SUM(I128:J128)</f>
        <v>82</v>
      </c>
      <c r="L128" s="85"/>
      <c r="M128" s="85">
        <f>SUM(K128:L128)</f>
        <v>82</v>
      </c>
      <c r="N128" s="85"/>
      <c r="O128" s="85">
        <f>SUM(M128:N128)</f>
        <v>82</v>
      </c>
      <c r="P128" s="85"/>
      <c r="Q128" s="85">
        <f>SUM(O128:P128)</f>
        <v>82</v>
      </c>
    </row>
    <row r="129" spans="1:17" s="7" customFormat="1" ht="24.75" customHeight="1">
      <c r="A129" s="36" t="s">
        <v>22</v>
      </c>
      <c r="B129" s="37"/>
      <c r="C129" s="38"/>
      <c r="D129" s="39" t="s">
        <v>23</v>
      </c>
      <c r="E129" s="40">
        <f aca="true" t="shared" si="65" ref="E129:J129">SUM(E130,E145,E165,)</f>
        <v>481515</v>
      </c>
      <c r="F129" s="40">
        <f t="shared" si="65"/>
        <v>290000</v>
      </c>
      <c r="G129" s="40">
        <f t="shared" si="65"/>
        <v>771515</v>
      </c>
      <c r="H129" s="40">
        <f t="shared" si="65"/>
        <v>0</v>
      </c>
      <c r="I129" s="40">
        <f t="shared" si="65"/>
        <v>771515</v>
      </c>
      <c r="J129" s="40">
        <f t="shared" si="65"/>
        <v>0</v>
      </c>
      <c r="K129" s="40">
        <f aca="true" t="shared" si="66" ref="K129:Q129">SUM(K130,K145,K165,K162)</f>
        <v>771515</v>
      </c>
      <c r="L129" s="40">
        <f t="shared" si="66"/>
        <v>5289</v>
      </c>
      <c r="M129" s="40">
        <f t="shared" si="66"/>
        <v>776804</v>
      </c>
      <c r="N129" s="40">
        <f t="shared" si="66"/>
        <v>0</v>
      </c>
      <c r="O129" s="40">
        <f t="shared" si="66"/>
        <v>776804</v>
      </c>
      <c r="P129" s="40">
        <f t="shared" si="66"/>
        <v>0</v>
      </c>
      <c r="Q129" s="40">
        <f t="shared" si="66"/>
        <v>776804</v>
      </c>
    </row>
    <row r="130" spans="1:17" s="27" customFormat="1" ht="21.75" customHeight="1">
      <c r="A130" s="90"/>
      <c r="B130" s="86" t="s">
        <v>99</v>
      </c>
      <c r="C130" s="90"/>
      <c r="D130" s="41" t="s">
        <v>100</v>
      </c>
      <c r="E130" s="85">
        <f aca="true" t="shared" si="67" ref="E130:K130">SUM(E131:E144)</f>
        <v>197515</v>
      </c>
      <c r="F130" s="85">
        <f t="shared" si="67"/>
        <v>220000</v>
      </c>
      <c r="G130" s="85">
        <f t="shared" si="67"/>
        <v>417515</v>
      </c>
      <c r="H130" s="85">
        <f t="shared" si="67"/>
        <v>0</v>
      </c>
      <c r="I130" s="85">
        <f t="shared" si="67"/>
        <v>417515</v>
      </c>
      <c r="J130" s="85">
        <f t="shared" si="67"/>
        <v>0</v>
      </c>
      <c r="K130" s="85">
        <f t="shared" si="67"/>
        <v>417515</v>
      </c>
      <c r="L130" s="85">
        <f aca="true" t="shared" si="68" ref="L130:Q130">SUM(L131:L144)</f>
        <v>0</v>
      </c>
      <c r="M130" s="85">
        <f t="shared" si="68"/>
        <v>417515</v>
      </c>
      <c r="N130" s="85">
        <f t="shared" si="68"/>
        <v>0</v>
      </c>
      <c r="O130" s="85">
        <f t="shared" si="68"/>
        <v>417515</v>
      </c>
      <c r="P130" s="85">
        <f t="shared" si="68"/>
        <v>0</v>
      </c>
      <c r="Q130" s="85">
        <f t="shared" si="68"/>
        <v>417515</v>
      </c>
    </row>
    <row r="131" spans="1:17" s="27" customFormat="1" ht="21" customHeight="1">
      <c r="A131" s="90"/>
      <c r="B131" s="86"/>
      <c r="C131" s="90">
        <v>3020</v>
      </c>
      <c r="D131" s="41" t="s">
        <v>189</v>
      </c>
      <c r="E131" s="85">
        <f>1200+1000+13600</f>
        <v>15800</v>
      </c>
      <c r="F131" s="85"/>
      <c r="G131" s="85">
        <f>SUM(E131:F131)</f>
        <v>15800</v>
      </c>
      <c r="H131" s="85"/>
      <c r="I131" s="85">
        <f>SUM(G131:H131)</f>
        <v>15800</v>
      </c>
      <c r="J131" s="85"/>
      <c r="K131" s="85">
        <f>SUM(I131:J131)</f>
        <v>15800</v>
      </c>
      <c r="L131" s="85"/>
      <c r="M131" s="85">
        <f>SUM(K131:L131)</f>
        <v>15800</v>
      </c>
      <c r="N131" s="85"/>
      <c r="O131" s="85">
        <f>SUM(M131:N131)</f>
        <v>15800</v>
      </c>
      <c r="P131" s="85"/>
      <c r="Q131" s="85">
        <f>SUM(O131:P131)</f>
        <v>15800</v>
      </c>
    </row>
    <row r="132" spans="1:17" s="27" customFormat="1" ht="21" customHeight="1">
      <c r="A132" s="90"/>
      <c r="B132" s="86"/>
      <c r="C132" s="90">
        <v>3030</v>
      </c>
      <c r="D132" s="41" t="s">
        <v>89</v>
      </c>
      <c r="E132" s="85">
        <v>14180</v>
      </c>
      <c r="F132" s="85"/>
      <c r="G132" s="85">
        <f aca="true" t="shared" si="69" ref="G132:G144">SUM(E132:F132)</f>
        <v>14180</v>
      </c>
      <c r="H132" s="85"/>
      <c r="I132" s="85">
        <f aca="true" t="shared" si="70" ref="I132:I144">SUM(G132:H132)</f>
        <v>14180</v>
      </c>
      <c r="J132" s="85"/>
      <c r="K132" s="85">
        <f aca="true" t="shared" si="71" ref="K132:K144">SUM(I132:J132)</f>
        <v>14180</v>
      </c>
      <c r="L132" s="85"/>
      <c r="M132" s="85">
        <f aca="true" t="shared" si="72" ref="M132:M144">SUM(K132:L132)</f>
        <v>14180</v>
      </c>
      <c r="N132" s="85"/>
      <c r="O132" s="85">
        <f aca="true" t="shared" si="73" ref="O132:O144">SUM(M132:N132)</f>
        <v>14180</v>
      </c>
      <c r="P132" s="85"/>
      <c r="Q132" s="85">
        <f aca="true" t="shared" si="74" ref="Q132:Q144">SUM(O132:P132)</f>
        <v>14180</v>
      </c>
    </row>
    <row r="133" spans="1:17" s="27" customFormat="1" ht="21" customHeight="1">
      <c r="A133" s="90"/>
      <c r="B133" s="86"/>
      <c r="C133" s="90">
        <v>4110</v>
      </c>
      <c r="D133" s="41" t="s">
        <v>86</v>
      </c>
      <c r="E133" s="85">
        <v>5500</v>
      </c>
      <c r="F133" s="85"/>
      <c r="G133" s="85">
        <f t="shared" si="69"/>
        <v>5500</v>
      </c>
      <c r="H133" s="85"/>
      <c r="I133" s="85">
        <f t="shared" si="70"/>
        <v>5500</v>
      </c>
      <c r="J133" s="85"/>
      <c r="K133" s="85">
        <f t="shared" si="71"/>
        <v>5500</v>
      </c>
      <c r="L133" s="85">
        <v>-3000</v>
      </c>
      <c r="M133" s="85">
        <f t="shared" si="72"/>
        <v>2500</v>
      </c>
      <c r="N133" s="85"/>
      <c r="O133" s="85">
        <f t="shared" si="73"/>
        <v>2500</v>
      </c>
      <c r="P133" s="85"/>
      <c r="Q133" s="85">
        <f t="shared" si="74"/>
        <v>2500</v>
      </c>
    </row>
    <row r="134" spans="1:17" s="27" customFormat="1" ht="21" customHeight="1">
      <c r="A134" s="90"/>
      <c r="B134" s="86"/>
      <c r="C134" s="90">
        <v>4120</v>
      </c>
      <c r="D134" s="41" t="s">
        <v>219</v>
      </c>
      <c r="E134" s="85">
        <v>880</v>
      </c>
      <c r="F134" s="85"/>
      <c r="G134" s="85">
        <f t="shared" si="69"/>
        <v>880</v>
      </c>
      <c r="H134" s="85"/>
      <c r="I134" s="85">
        <f t="shared" si="70"/>
        <v>880</v>
      </c>
      <c r="J134" s="85"/>
      <c r="K134" s="85">
        <f t="shared" si="71"/>
        <v>880</v>
      </c>
      <c r="L134" s="85">
        <v>-200</v>
      </c>
      <c r="M134" s="85">
        <f t="shared" si="72"/>
        <v>680</v>
      </c>
      <c r="N134" s="85"/>
      <c r="O134" s="85">
        <f t="shared" si="73"/>
        <v>680</v>
      </c>
      <c r="P134" s="85"/>
      <c r="Q134" s="85">
        <f t="shared" si="74"/>
        <v>680</v>
      </c>
    </row>
    <row r="135" spans="1:17" s="27" customFormat="1" ht="21" customHeight="1">
      <c r="A135" s="90"/>
      <c r="B135" s="86"/>
      <c r="C135" s="71">
        <v>4170</v>
      </c>
      <c r="D135" s="41" t="s">
        <v>191</v>
      </c>
      <c r="E135" s="85">
        <v>35640</v>
      </c>
      <c r="F135" s="85"/>
      <c r="G135" s="85">
        <f t="shared" si="69"/>
        <v>35640</v>
      </c>
      <c r="H135" s="85"/>
      <c r="I135" s="85">
        <f t="shared" si="70"/>
        <v>35640</v>
      </c>
      <c r="J135" s="85"/>
      <c r="K135" s="85">
        <f t="shared" si="71"/>
        <v>35640</v>
      </c>
      <c r="L135" s="85">
        <v>-4000</v>
      </c>
      <c r="M135" s="85">
        <f t="shared" si="72"/>
        <v>31640</v>
      </c>
      <c r="N135" s="85"/>
      <c r="O135" s="85">
        <f t="shared" si="73"/>
        <v>31640</v>
      </c>
      <c r="P135" s="85"/>
      <c r="Q135" s="85">
        <f t="shared" si="74"/>
        <v>31640</v>
      </c>
    </row>
    <row r="136" spans="1:17" s="27" customFormat="1" ht="21" customHeight="1">
      <c r="A136" s="90"/>
      <c r="B136" s="86"/>
      <c r="C136" s="71">
        <v>4210</v>
      </c>
      <c r="D136" s="41" t="s">
        <v>92</v>
      </c>
      <c r="E136" s="85">
        <f>32800+3400+1915</f>
        <v>38115</v>
      </c>
      <c r="F136" s="85"/>
      <c r="G136" s="85">
        <f t="shared" si="69"/>
        <v>38115</v>
      </c>
      <c r="H136" s="85"/>
      <c r="I136" s="85">
        <f t="shared" si="70"/>
        <v>38115</v>
      </c>
      <c r="J136" s="85"/>
      <c r="K136" s="85">
        <f t="shared" si="71"/>
        <v>38115</v>
      </c>
      <c r="L136" s="85">
        <v>3000</v>
      </c>
      <c r="M136" s="85">
        <f t="shared" si="72"/>
        <v>41115</v>
      </c>
      <c r="N136" s="85"/>
      <c r="O136" s="85">
        <f t="shared" si="73"/>
        <v>41115</v>
      </c>
      <c r="P136" s="85"/>
      <c r="Q136" s="85">
        <f t="shared" si="74"/>
        <v>41115</v>
      </c>
    </row>
    <row r="137" spans="1:17" s="27" customFormat="1" ht="21" customHeight="1">
      <c r="A137" s="90"/>
      <c r="B137" s="86"/>
      <c r="C137" s="71">
        <v>4260</v>
      </c>
      <c r="D137" s="41" t="s">
        <v>95</v>
      </c>
      <c r="E137" s="85">
        <v>15300</v>
      </c>
      <c r="F137" s="85"/>
      <c r="G137" s="85">
        <f t="shared" si="69"/>
        <v>15300</v>
      </c>
      <c r="H137" s="85"/>
      <c r="I137" s="85">
        <f t="shared" si="70"/>
        <v>15300</v>
      </c>
      <c r="J137" s="85"/>
      <c r="K137" s="85">
        <f t="shared" si="71"/>
        <v>15300</v>
      </c>
      <c r="L137" s="85"/>
      <c r="M137" s="85">
        <f t="shared" si="72"/>
        <v>15300</v>
      </c>
      <c r="N137" s="85"/>
      <c r="O137" s="85">
        <f t="shared" si="73"/>
        <v>15300</v>
      </c>
      <c r="P137" s="85"/>
      <c r="Q137" s="85">
        <f t="shared" si="74"/>
        <v>15300</v>
      </c>
    </row>
    <row r="138" spans="1:17" s="27" customFormat="1" ht="21" customHeight="1">
      <c r="A138" s="90"/>
      <c r="B138" s="86"/>
      <c r="C138" s="71">
        <v>4270</v>
      </c>
      <c r="D138" s="41" t="s">
        <v>78</v>
      </c>
      <c r="E138" s="85">
        <v>13500</v>
      </c>
      <c r="F138" s="85"/>
      <c r="G138" s="85">
        <f t="shared" si="69"/>
        <v>13500</v>
      </c>
      <c r="H138" s="85"/>
      <c r="I138" s="85">
        <f t="shared" si="70"/>
        <v>13500</v>
      </c>
      <c r="J138" s="85"/>
      <c r="K138" s="85">
        <f t="shared" si="71"/>
        <v>13500</v>
      </c>
      <c r="L138" s="85"/>
      <c r="M138" s="85">
        <f t="shared" si="72"/>
        <v>13500</v>
      </c>
      <c r="N138" s="85"/>
      <c r="O138" s="85">
        <f t="shared" si="73"/>
        <v>13500</v>
      </c>
      <c r="P138" s="85"/>
      <c r="Q138" s="85">
        <f t="shared" si="74"/>
        <v>13500</v>
      </c>
    </row>
    <row r="139" spans="1:17" s="27" customFormat="1" ht="21" customHeight="1">
      <c r="A139" s="90"/>
      <c r="B139" s="86"/>
      <c r="C139" s="71">
        <v>4280</v>
      </c>
      <c r="D139" s="41" t="s">
        <v>218</v>
      </c>
      <c r="E139" s="85">
        <v>6000</v>
      </c>
      <c r="F139" s="85"/>
      <c r="G139" s="85">
        <f t="shared" si="69"/>
        <v>6000</v>
      </c>
      <c r="H139" s="85"/>
      <c r="I139" s="85">
        <f t="shared" si="70"/>
        <v>6000</v>
      </c>
      <c r="J139" s="85"/>
      <c r="K139" s="85">
        <f t="shared" si="71"/>
        <v>6000</v>
      </c>
      <c r="L139" s="85"/>
      <c r="M139" s="85">
        <f t="shared" si="72"/>
        <v>6000</v>
      </c>
      <c r="N139" s="85"/>
      <c r="O139" s="85">
        <f t="shared" si="73"/>
        <v>6000</v>
      </c>
      <c r="P139" s="85"/>
      <c r="Q139" s="85">
        <f t="shared" si="74"/>
        <v>6000</v>
      </c>
    </row>
    <row r="140" spans="1:17" s="27" customFormat="1" ht="21" customHeight="1">
      <c r="A140" s="90"/>
      <c r="B140" s="86"/>
      <c r="C140" s="71">
        <v>4300</v>
      </c>
      <c r="D140" s="41" t="s">
        <v>79</v>
      </c>
      <c r="E140" s="85">
        <v>10594</v>
      </c>
      <c r="F140" s="85"/>
      <c r="G140" s="85">
        <f t="shared" si="69"/>
        <v>10594</v>
      </c>
      <c r="H140" s="85"/>
      <c r="I140" s="85">
        <f t="shared" si="70"/>
        <v>10594</v>
      </c>
      <c r="J140" s="85"/>
      <c r="K140" s="85">
        <f t="shared" si="71"/>
        <v>10594</v>
      </c>
      <c r="L140" s="85">
        <v>4200</v>
      </c>
      <c r="M140" s="85">
        <f t="shared" si="72"/>
        <v>14794</v>
      </c>
      <c r="N140" s="85"/>
      <c r="O140" s="85">
        <f t="shared" si="73"/>
        <v>14794</v>
      </c>
      <c r="P140" s="85"/>
      <c r="Q140" s="85">
        <f t="shared" si="74"/>
        <v>14794</v>
      </c>
    </row>
    <row r="141" spans="1:17" s="27" customFormat="1" ht="21" customHeight="1">
      <c r="A141" s="90"/>
      <c r="B141" s="86"/>
      <c r="C141" s="71">
        <v>4410</v>
      </c>
      <c r="D141" s="41" t="s">
        <v>90</v>
      </c>
      <c r="E141" s="85">
        <v>4000</v>
      </c>
      <c r="F141" s="85"/>
      <c r="G141" s="85">
        <f t="shared" si="69"/>
        <v>4000</v>
      </c>
      <c r="H141" s="85"/>
      <c r="I141" s="85">
        <f t="shared" si="70"/>
        <v>4000</v>
      </c>
      <c r="J141" s="85"/>
      <c r="K141" s="85">
        <f t="shared" si="71"/>
        <v>4000</v>
      </c>
      <c r="L141" s="85"/>
      <c r="M141" s="85">
        <f t="shared" si="72"/>
        <v>4000</v>
      </c>
      <c r="N141" s="85"/>
      <c r="O141" s="85">
        <f t="shared" si="73"/>
        <v>4000</v>
      </c>
      <c r="P141" s="85"/>
      <c r="Q141" s="85">
        <f t="shared" si="74"/>
        <v>4000</v>
      </c>
    </row>
    <row r="142" spans="1:17" s="27" customFormat="1" ht="21" customHeight="1">
      <c r="A142" s="90"/>
      <c r="B142" s="86"/>
      <c r="C142" s="71">
        <v>4430</v>
      </c>
      <c r="D142" s="41" t="s">
        <v>94</v>
      </c>
      <c r="E142" s="85">
        <v>13006</v>
      </c>
      <c r="F142" s="85"/>
      <c r="G142" s="85">
        <f t="shared" si="69"/>
        <v>13006</v>
      </c>
      <c r="H142" s="85"/>
      <c r="I142" s="85">
        <f t="shared" si="70"/>
        <v>13006</v>
      </c>
      <c r="J142" s="85"/>
      <c r="K142" s="85">
        <f t="shared" si="71"/>
        <v>13006</v>
      </c>
      <c r="L142" s="85"/>
      <c r="M142" s="85">
        <f t="shared" si="72"/>
        <v>13006</v>
      </c>
      <c r="N142" s="85"/>
      <c r="O142" s="85">
        <f t="shared" si="73"/>
        <v>13006</v>
      </c>
      <c r="P142" s="85"/>
      <c r="Q142" s="85">
        <f t="shared" si="74"/>
        <v>13006</v>
      </c>
    </row>
    <row r="143" spans="1:17" s="27" customFormat="1" ht="24">
      <c r="A143" s="90"/>
      <c r="B143" s="86"/>
      <c r="C143" s="71">
        <v>6050</v>
      </c>
      <c r="D143" s="14" t="s">
        <v>73</v>
      </c>
      <c r="E143" s="85">
        <v>0</v>
      </c>
      <c r="F143" s="85">
        <f>200000+20000</f>
        <v>220000</v>
      </c>
      <c r="G143" s="85">
        <f t="shared" si="69"/>
        <v>220000</v>
      </c>
      <c r="H143" s="85"/>
      <c r="I143" s="85">
        <f t="shared" si="70"/>
        <v>220000</v>
      </c>
      <c r="J143" s="85"/>
      <c r="K143" s="85">
        <f t="shared" si="71"/>
        <v>220000</v>
      </c>
      <c r="L143" s="85"/>
      <c r="M143" s="85">
        <f t="shared" si="72"/>
        <v>220000</v>
      </c>
      <c r="N143" s="85"/>
      <c r="O143" s="85">
        <f t="shared" si="73"/>
        <v>220000</v>
      </c>
      <c r="P143" s="85"/>
      <c r="Q143" s="85">
        <f t="shared" si="74"/>
        <v>220000</v>
      </c>
    </row>
    <row r="144" spans="1:17" s="27" customFormat="1" ht="24">
      <c r="A144" s="90"/>
      <c r="B144" s="86"/>
      <c r="C144" s="71">
        <v>6060</v>
      </c>
      <c r="D144" s="41" t="s">
        <v>96</v>
      </c>
      <c r="E144" s="85">
        <v>25000</v>
      </c>
      <c r="F144" s="85"/>
      <c r="G144" s="85">
        <f t="shared" si="69"/>
        <v>25000</v>
      </c>
      <c r="H144" s="85"/>
      <c r="I144" s="85">
        <f t="shared" si="70"/>
        <v>25000</v>
      </c>
      <c r="J144" s="85"/>
      <c r="K144" s="85">
        <f t="shared" si="71"/>
        <v>25000</v>
      </c>
      <c r="L144" s="85"/>
      <c r="M144" s="85">
        <f t="shared" si="72"/>
        <v>25000</v>
      </c>
      <c r="N144" s="85"/>
      <c r="O144" s="85">
        <f t="shared" si="73"/>
        <v>25000</v>
      </c>
      <c r="P144" s="85"/>
      <c r="Q144" s="85">
        <f t="shared" si="74"/>
        <v>25000</v>
      </c>
    </row>
    <row r="145" spans="1:17" s="27" customFormat="1" ht="21" customHeight="1">
      <c r="A145" s="90"/>
      <c r="B145" s="86">
        <v>75416</v>
      </c>
      <c r="C145" s="90"/>
      <c r="D145" s="41" t="s">
        <v>25</v>
      </c>
      <c r="E145" s="85">
        <f aca="true" t="shared" si="75" ref="E145:K145">SUM(E146:E161)</f>
        <v>275000</v>
      </c>
      <c r="F145" s="85">
        <f t="shared" si="75"/>
        <v>0</v>
      </c>
      <c r="G145" s="85">
        <f t="shared" si="75"/>
        <v>275000</v>
      </c>
      <c r="H145" s="85">
        <f t="shared" si="75"/>
        <v>0</v>
      </c>
      <c r="I145" s="85">
        <f t="shared" si="75"/>
        <v>275000</v>
      </c>
      <c r="J145" s="85">
        <f t="shared" si="75"/>
        <v>0</v>
      </c>
      <c r="K145" s="85">
        <f t="shared" si="75"/>
        <v>275000</v>
      </c>
      <c r="L145" s="85">
        <f aca="true" t="shared" si="76" ref="L145:Q145">SUM(L146:L161)</f>
        <v>-711</v>
      </c>
      <c r="M145" s="85">
        <f t="shared" si="76"/>
        <v>274289</v>
      </c>
      <c r="N145" s="85">
        <f t="shared" si="76"/>
        <v>0</v>
      </c>
      <c r="O145" s="85">
        <f t="shared" si="76"/>
        <v>274289</v>
      </c>
      <c r="P145" s="85">
        <f t="shared" si="76"/>
        <v>0</v>
      </c>
      <c r="Q145" s="85">
        <f t="shared" si="76"/>
        <v>274289</v>
      </c>
    </row>
    <row r="146" spans="1:17" s="27" customFormat="1" ht="24">
      <c r="A146" s="90"/>
      <c r="B146" s="86"/>
      <c r="C146" s="71">
        <v>3020</v>
      </c>
      <c r="D146" s="41" t="s">
        <v>189</v>
      </c>
      <c r="E146" s="85">
        <v>7100</v>
      </c>
      <c r="F146" s="85"/>
      <c r="G146" s="85">
        <f>SUM(E146:F146)</f>
        <v>7100</v>
      </c>
      <c r="H146" s="85"/>
      <c r="I146" s="85">
        <f>SUM(G146:H146)</f>
        <v>7100</v>
      </c>
      <c r="J146" s="85"/>
      <c r="K146" s="85">
        <f>SUM(I146:J146)</f>
        <v>7100</v>
      </c>
      <c r="L146" s="85"/>
      <c r="M146" s="85">
        <f>SUM(K146:L146)</f>
        <v>7100</v>
      </c>
      <c r="N146" s="85"/>
      <c r="O146" s="85">
        <f>SUM(M146:N146)</f>
        <v>7100</v>
      </c>
      <c r="P146" s="85"/>
      <c r="Q146" s="85">
        <f>SUM(O146:P146)</f>
        <v>7100</v>
      </c>
    </row>
    <row r="147" spans="1:17" s="27" customFormat="1" ht="21" customHeight="1">
      <c r="A147" s="90"/>
      <c r="B147" s="86"/>
      <c r="C147" s="71">
        <v>4010</v>
      </c>
      <c r="D147" s="41" t="s">
        <v>84</v>
      </c>
      <c r="E147" s="85">
        <v>186240</v>
      </c>
      <c r="F147" s="85"/>
      <c r="G147" s="85">
        <f aca="true" t="shared" si="77" ref="G147:G161">SUM(E147:F147)</f>
        <v>186240</v>
      </c>
      <c r="H147" s="85"/>
      <c r="I147" s="85">
        <f aca="true" t="shared" si="78" ref="I147:I161">SUM(G147:H147)</f>
        <v>186240</v>
      </c>
      <c r="J147" s="85"/>
      <c r="K147" s="85">
        <f aca="true" t="shared" si="79" ref="K147:K161">SUM(I147:J147)</f>
        <v>186240</v>
      </c>
      <c r="L147" s="85"/>
      <c r="M147" s="85">
        <f aca="true" t="shared" si="80" ref="M147:M161">SUM(K147:L147)</f>
        <v>186240</v>
      </c>
      <c r="N147" s="85"/>
      <c r="O147" s="85">
        <f aca="true" t="shared" si="81" ref="O147:O161">SUM(M147:N147)</f>
        <v>186240</v>
      </c>
      <c r="P147" s="85">
        <v>-3691</v>
      </c>
      <c r="Q147" s="85">
        <f aca="true" t="shared" si="82" ref="Q147:Q161">SUM(O147:P147)</f>
        <v>182549</v>
      </c>
    </row>
    <row r="148" spans="1:17" s="27" customFormat="1" ht="21" customHeight="1">
      <c r="A148" s="90"/>
      <c r="B148" s="86"/>
      <c r="C148" s="71">
        <v>4040</v>
      </c>
      <c r="D148" s="41" t="s">
        <v>85</v>
      </c>
      <c r="E148" s="85">
        <v>13500</v>
      </c>
      <c r="F148" s="85"/>
      <c r="G148" s="85">
        <f t="shared" si="77"/>
        <v>13500</v>
      </c>
      <c r="H148" s="85"/>
      <c r="I148" s="85">
        <f t="shared" si="78"/>
        <v>13500</v>
      </c>
      <c r="J148" s="85"/>
      <c r="K148" s="85">
        <f t="shared" si="79"/>
        <v>13500</v>
      </c>
      <c r="L148" s="85">
        <v>-711</v>
      </c>
      <c r="M148" s="85">
        <f t="shared" si="80"/>
        <v>12789</v>
      </c>
      <c r="N148" s="85"/>
      <c r="O148" s="85">
        <f t="shared" si="81"/>
        <v>12789</v>
      </c>
      <c r="P148" s="85"/>
      <c r="Q148" s="85">
        <f t="shared" si="82"/>
        <v>12789</v>
      </c>
    </row>
    <row r="149" spans="1:17" s="27" customFormat="1" ht="21" customHeight="1">
      <c r="A149" s="90"/>
      <c r="B149" s="86"/>
      <c r="C149" s="71">
        <v>4110</v>
      </c>
      <c r="D149" s="41" t="s">
        <v>86</v>
      </c>
      <c r="E149" s="85">
        <v>29000</v>
      </c>
      <c r="F149" s="85"/>
      <c r="G149" s="85">
        <f t="shared" si="77"/>
        <v>29000</v>
      </c>
      <c r="H149" s="85"/>
      <c r="I149" s="85">
        <f t="shared" si="78"/>
        <v>29000</v>
      </c>
      <c r="J149" s="85"/>
      <c r="K149" s="85">
        <f t="shared" si="79"/>
        <v>29000</v>
      </c>
      <c r="L149" s="85"/>
      <c r="M149" s="85">
        <f t="shared" si="80"/>
        <v>29000</v>
      </c>
      <c r="N149" s="85"/>
      <c r="O149" s="85">
        <f t="shared" si="81"/>
        <v>29000</v>
      </c>
      <c r="P149" s="85">
        <v>3575</v>
      </c>
      <c r="Q149" s="85">
        <f t="shared" si="82"/>
        <v>32575</v>
      </c>
    </row>
    <row r="150" spans="1:17" s="27" customFormat="1" ht="21" customHeight="1">
      <c r="A150" s="90"/>
      <c r="B150" s="86"/>
      <c r="C150" s="71">
        <v>4120</v>
      </c>
      <c r="D150" s="41" t="s">
        <v>87</v>
      </c>
      <c r="E150" s="85">
        <v>4800</v>
      </c>
      <c r="F150" s="85"/>
      <c r="G150" s="85">
        <f t="shared" si="77"/>
        <v>4800</v>
      </c>
      <c r="H150" s="85"/>
      <c r="I150" s="85">
        <f t="shared" si="78"/>
        <v>4800</v>
      </c>
      <c r="J150" s="85"/>
      <c r="K150" s="85">
        <f t="shared" si="79"/>
        <v>4800</v>
      </c>
      <c r="L150" s="85"/>
      <c r="M150" s="85">
        <f t="shared" si="80"/>
        <v>4800</v>
      </c>
      <c r="N150" s="85"/>
      <c r="O150" s="85">
        <f t="shared" si="81"/>
        <v>4800</v>
      </c>
      <c r="P150" s="85">
        <v>116</v>
      </c>
      <c r="Q150" s="85">
        <f t="shared" si="82"/>
        <v>4916</v>
      </c>
    </row>
    <row r="151" spans="1:17" s="27" customFormat="1" ht="21" customHeight="1">
      <c r="A151" s="90"/>
      <c r="B151" s="86"/>
      <c r="C151" s="71">
        <v>4210</v>
      </c>
      <c r="D151" s="41" t="s">
        <v>92</v>
      </c>
      <c r="E151" s="85">
        <v>10850</v>
      </c>
      <c r="F151" s="85"/>
      <c r="G151" s="85">
        <f t="shared" si="77"/>
        <v>10850</v>
      </c>
      <c r="H151" s="85"/>
      <c r="I151" s="85">
        <f t="shared" si="78"/>
        <v>10850</v>
      </c>
      <c r="J151" s="85">
        <v>-112</v>
      </c>
      <c r="K151" s="85">
        <f t="shared" si="79"/>
        <v>10738</v>
      </c>
      <c r="L151" s="85"/>
      <c r="M151" s="85">
        <f t="shared" si="80"/>
        <v>10738</v>
      </c>
      <c r="N151" s="85"/>
      <c r="O151" s="85">
        <f t="shared" si="81"/>
        <v>10738</v>
      </c>
      <c r="P151" s="85"/>
      <c r="Q151" s="85">
        <f t="shared" si="82"/>
        <v>10738</v>
      </c>
    </row>
    <row r="152" spans="1:17" s="27" customFormat="1" ht="21" customHeight="1">
      <c r="A152" s="90"/>
      <c r="B152" s="86"/>
      <c r="C152" s="71">
        <v>4270</v>
      </c>
      <c r="D152" s="41" t="s">
        <v>78</v>
      </c>
      <c r="E152" s="85">
        <v>1000</v>
      </c>
      <c r="F152" s="85"/>
      <c r="G152" s="85">
        <f t="shared" si="77"/>
        <v>1000</v>
      </c>
      <c r="H152" s="85"/>
      <c r="I152" s="85">
        <f t="shared" si="78"/>
        <v>1000</v>
      </c>
      <c r="J152" s="85">
        <v>200</v>
      </c>
      <c r="K152" s="85">
        <f t="shared" si="79"/>
        <v>1200</v>
      </c>
      <c r="L152" s="85"/>
      <c r="M152" s="85">
        <f t="shared" si="80"/>
        <v>1200</v>
      </c>
      <c r="N152" s="85"/>
      <c r="O152" s="85">
        <f t="shared" si="81"/>
        <v>1200</v>
      </c>
      <c r="P152" s="85"/>
      <c r="Q152" s="85">
        <f t="shared" si="82"/>
        <v>1200</v>
      </c>
    </row>
    <row r="153" spans="1:17" s="27" customFormat="1" ht="21" customHeight="1">
      <c r="A153" s="90"/>
      <c r="B153" s="86"/>
      <c r="C153" s="71">
        <v>4280</v>
      </c>
      <c r="D153" s="41" t="s">
        <v>218</v>
      </c>
      <c r="E153" s="85">
        <v>500</v>
      </c>
      <c r="F153" s="85"/>
      <c r="G153" s="85">
        <f t="shared" si="77"/>
        <v>500</v>
      </c>
      <c r="H153" s="85"/>
      <c r="I153" s="85">
        <f t="shared" si="78"/>
        <v>500</v>
      </c>
      <c r="J153" s="85"/>
      <c r="K153" s="85">
        <f t="shared" si="79"/>
        <v>500</v>
      </c>
      <c r="L153" s="85"/>
      <c r="M153" s="85">
        <f t="shared" si="80"/>
        <v>500</v>
      </c>
      <c r="N153" s="85"/>
      <c r="O153" s="85">
        <f t="shared" si="81"/>
        <v>500</v>
      </c>
      <c r="P153" s="85"/>
      <c r="Q153" s="85">
        <f t="shared" si="82"/>
        <v>500</v>
      </c>
    </row>
    <row r="154" spans="1:17" s="27" customFormat="1" ht="21" customHeight="1">
      <c r="A154" s="90"/>
      <c r="B154" s="86"/>
      <c r="C154" s="71">
        <v>4300</v>
      </c>
      <c r="D154" s="41" t="s">
        <v>79</v>
      </c>
      <c r="E154" s="85">
        <v>4700</v>
      </c>
      <c r="F154" s="85"/>
      <c r="G154" s="85">
        <f t="shared" si="77"/>
        <v>4700</v>
      </c>
      <c r="H154" s="85"/>
      <c r="I154" s="85">
        <f t="shared" si="78"/>
        <v>4700</v>
      </c>
      <c r="J154" s="85">
        <v>-200</v>
      </c>
      <c r="K154" s="85">
        <f t="shared" si="79"/>
        <v>4500</v>
      </c>
      <c r="L154" s="85"/>
      <c r="M154" s="85">
        <f t="shared" si="80"/>
        <v>4500</v>
      </c>
      <c r="N154" s="85"/>
      <c r="O154" s="85">
        <f t="shared" si="81"/>
        <v>4500</v>
      </c>
      <c r="P154" s="85"/>
      <c r="Q154" s="85">
        <f t="shared" si="82"/>
        <v>4500</v>
      </c>
    </row>
    <row r="155" spans="1:17" s="27" customFormat="1" ht="36">
      <c r="A155" s="90"/>
      <c r="B155" s="86"/>
      <c r="C155" s="71">
        <v>4360</v>
      </c>
      <c r="D155" s="41" t="s">
        <v>495</v>
      </c>
      <c r="E155" s="85">
        <v>2200</v>
      </c>
      <c r="F155" s="85"/>
      <c r="G155" s="85">
        <f t="shared" si="77"/>
        <v>2200</v>
      </c>
      <c r="H155" s="85"/>
      <c r="I155" s="85">
        <f t="shared" si="78"/>
        <v>2200</v>
      </c>
      <c r="J155" s="85"/>
      <c r="K155" s="85">
        <f t="shared" si="79"/>
        <v>2200</v>
      </c>
      <c r="L155" s="85"/>
      <c r="M155" s="85">
        <f t="shared" si="80"/>
        <v>2200</v>
      </c>
      <c r="N155" s="85"/>
      <c r="O155" s="85">
        <f t="shared" si="81"/>
        <v>2200</v>
      </c>
      <c r="P155" s="85"/>
      <c r="Q155" s="85">
        <f t="shared" si="82"/>
        <v>2200</v>
      </c>
    </row>
    <row r="156" spans="1:17" s="27" customFormat="1" ht="27.75" customHeight="1">
      <c r="A156" s="90"/>
      <c r="B156" s="86"/>
      <c r="C156" s="71">
        <v>4400</v>
      </c>
      <c r="D156" s="41" t="s">
        <v>252</v>
      </c>
      <c r="E156" s="85">
        <v>560</v>
      </c>
      <c r="F156" s="85"/>
      <c r="G156" s="85">
        <f t="shared" si="77"/>
        <v>560</v>
      </c>
      <c r="H156" s="85"/>
      <c r="I156" s="85">
        <f t="shared" si="78"/>
        <v>560</v>
      </c>
      <c r="J156" s="85">
        <v>112</v>
      </c>
      <c r="K156" s="85">
        <f t="shared" si="79"/>
        <v>672</v>
      </c>
      <c r="L156" s="85"/>
      <c r="M156" s="85">
        <f t="shared" si="80"/>
        <v>672</v>
      </c>
      <c r="N156" s="85"/>
      <c r="O156" s="85">
        <f t="shared" si="81"/>
        <v>672</v>
      </c>
      <c r="P156" s="85"/>
      <c r="Q156" s="85">
        <f t="shared" si="82"/>
        <v>672</v>
      </c>
    </row>
    <row r="157" spans="1:17" s="27" customFormat="1" ht="21" customHeight="1">
      <c r="A157" s="90"/>
      <c r="B157" s="86"/>
      <c r="C157" s="71">
        <v>4410</v>
      </c>
      <c r="D157" s="41" t="s">
        <v>90</v>
      </c>
      <c r="E157" s="85">
        <v>1000</v>
      </c>
      <c r="F157" s="85"/>
      <c r="G157" s="85">
        <f t="shared" si="77"/>
        <v>1000</v>
      </c>
      <c r="H157" s="85"/>
      <c r="I157" s="85">
        <f t="shared" si="78"/>
        <v>1000</v>
      </c>
      <c r="J157" s="85"/>
      <c r="K157" s="85">
        <f t="shared" si="79"/>
        <v>1000</v>
      </c>
      <c r="L157" s="85"/>
      <c r="M157" s="85">
        <f t="shared" si="80"/>
        <v>1000</v>
      </c>
      <c r="N157" s="85"/>
      <c r="O157" s="85">
        <f t="shared" si="81"/>
        <v>1000</v>
      </c>
      <c r="P157" s="85"/>
      <c r="Q157" s="85">
        <f t="shared" si="82"/>
        <v>1000</v>
      </c>
    </row>
    <row r="158" spans="1:17" s="27" customFormat="1" ht="21" customHeight="1">
      <c r="A158" s="90"/>
      <c r="B158" s="86"/>
      <c r="C158" s="74">
        <v>4430</v>
      </c>
      <c r="D158" s="41" t="s">
        <v>94</v>
      </c>
      <c r="E158" s="85">
        <v>2500</v>
      </c>
      <c r="F158" s="85"/>
      <c r="G158" s="85">
        <f t="shared" si="77"/>
        <v>2500</v>
      </c>
      <c r="H158" s="85"/>
      <c r="I158" s="85">
        <f t="shared" si="78"/>
        <v>2500</v>
      </c>
      <c r="J158" s="85"/>
      <c r="K158" s="85">
        <f t="shared" si="79"/>
        <v>2500</v>
      </c>
      <c r="L158" s="85"/>
      <c r="M158" s="85">
        <f t="shared" si="80"/>
        <v>2500</v>
      </c>
      <c r="N158" s="85"/>
      <c r="O158" s="85">
        <f t="shared" si="81"/>
        <v>2500</v>
      </c>
      <c r="P158" s="85"/>
      <c r="Q158" s="85">
        <f t="shared" si="82"/>
        <v>2500</v>
      </c>
    </row>
    <row r="159" spans="1:17" s="27" customFormat="1" ht="24">
      <c r="A159" s="90"/>
      <c r="B159" s="86"/>
      <c r="C159" s="74">
        <v>4440</v>
      </c>
      <c r="D159" s="41" t="s">
        <v>88</v>
      </c>
      <c r="E159" s="85">
        <v>5850</v>
      </c>
      <c r="F159" s="85"/>
      <c r="G159" s="85">
        <f t="shared" si="77"/>
        <v>5850</v>
      </c>
      <c r="H159" s="85"/>
      <c r="I159" s="85">
        <f t="shared" si="78"/>
        <v>5850</v>
      </c>
      <c r="J159" s="85"/>
      <c r="K159" s="85">
        <f t="shared" si="79"/>
        <v>5850</v>
      </c>
      <c r="L159" s="85"/>
      <c r="M159" s="85">
        <f t="shared" si="80"/>
        <v>5850</v>
      </c>
      <c r="N159" s="85"/>
      <c r="O159" s="85">
        <f t="shared" si="81"/>
        <v>5850</v>
      </c>
      <c r="P159" s="85"/>
      <c r="Q159" s="85">
        <f t="shared" si="82"/>
        <v>5850</v>
      </c>
    </row>
    <row r="160" spans="1:17" s="27" customFormat="1" ht="21" customHeight="1">
      <c r="A160" s="90"/>
      <c r="B160" s="86"/>
      <c r="C160" s="74">
        <v>4510</v>
      </c>
      <c r="D160" s="41" t="s">
        <v>145</v>
      </c>
      <c r="E160" s="85">
        <v>100</v>
      </c>
      <c r="F160" s="85"/>
      <c r="G160" s="85">
        <f t="shared" si="77"/>
        <v>100</v>
      </c>
      <c r="H160" s="85"/>
      <c r="I160" s="85">
        <f t="shared" si="78"/>
        <v>100</v>
      </c>
      <c r="J160" s="85"/>
      <c r="K160" s="85">
        <f t="shared" si="79"/>
        <v>100</v>
      </c>
      <c r="L160" s="85"/>
      <c r="M160" s="85">
        <f t="shared" si="80"/>
        <v>100</v>
      </c>
      <c r="N160" s="85"/>
      <c r="O160" s="85">
        <f t="shared" si="81"/>
        <v>100</v>
      </c>
      <c r="P160" s="85"/>
      <c r="Q160" s="85">
        <f t="shared" si="82"/>
        <v>100</v>
      </c>
    </row>
    <row r="161" spans="1:17" s="27" customFormat="1" ht="28.5" customHeight="1">
      <c r="A161" s="90"/>
      <c r="B161" s="86"/>
      <c r="C161" s="74">
        <v>4700</v>
      </c>
      <c r="D161" s="41" t="s">
        <v>260</v>
      </c>
      <c r="E161" s="85">
        <v>5100</v>
      </c>
      <c r="F161" s="85"/>
      <c r="G161" s="85">
        <f t="shared" si="77"/>
        <v>5100</v>
      </c>
      <c r="H161" s="85"/>
      <c r="I161" s="85">
        <f t="shared" si="78"/>
        <v>5100</v>
      </c>
      <c r="J161" s="85"/>
      <c r="K161" s="85">
        <f t="shared" si="79"/>
        <v>5100</v>
      </c>
      <c r="L161" s="85"/>
      <c r="M161" s="85">
        <f t="shared" si="80"/>
        <v>5100</v>
      </c>
      <c r="N161" s="85"/>
      <c r="O161" s="85">
        <f t="shared" si="81"/>
        <v>5100</v>
      </c>
      <c r="P161" s="85"/>
      <c r="Q161" s="85">
        <f t="shared" si="82"/>
        <v>5100</v>
      </c>
    </row>
    <row r="162" spans="1:17" s="27" customFormat="1" ht="28.5" customHeight="1">
      <c r="A162" s="90"/>
      <c r="B162" s="86">
        <v>75421</v>
      </c>
      <c r="C162" s="74"/>
      <c r="D162" s="41" t="s">
        <v>422</v>
      </c>
      <c r="E162" s="85"/>
      <c r="F162" s="85"/>
      <c r="G162" s="85"/>
      <c r="H162" s="85"/>
      <c r="I162" s="85"/>
      <c r="J162" s="85"/>
      <c r="K162" s="85">
        <f aca="true" t="shared" si="83" ref="K162:Q162">SUM(K163:K164)</f>
        <v>0</v>
      </c>
      <c r="L162" s="85">
        <f t="shared" si="83"/>
        <v>6000</v>
      </c>
      <c r="M162" s="85">
        <f t="shared" si="83"/>
        <v>6000</v>
      </c>
      <c r="N162" s="85">
        <f t="shared" si="83"/>
        <v>0</v>
      </c>
      <c r="O162" s="85">
        <f t="shared" si="83"/>
        <v>6000</v>
      </c>
      <c r="P162" s="85">
        <f t="shared" si="83"/>
        <v>0</v>
      </c>
      <c r="Q162" s="85">
        <f t="shared" si="83"/>
        <v>6000</v>
      </c>
    </row>
    <row r="163" spans="1:17" s="27" customFormat="1" ht="21" customHeight="1">
      <c r="A163" s="90"/>
      <c r="B163" s="86"/>
      <c r="C163" s="74">
        <v>4210</v>
      </c>
      <c r="D163" s="41" t="s">
        <v>92</v>
      </c>
      <c r="E163" s="85"/>
      <c r="F163" s="85"/>
      <c r="G163" s="85"/>
      <c r="H163" s="85"/>
      <c r="I163" s="85"/>
      <c r="J163" s="85"/>
      <c r="K163" s="85">
        <v>0</v>
      </c>
      <c r="L163" s="85">
        <v>2000</v>
      </c>
      <c r="M163" s="85">
        <f>SUM(K163:L163)</f>
        <v>2000</v>
      </c>
      <c r="N163" s="85"/>
      <c r="O163" s="85">
        <f>SUM(M163:N163)</f>
        <v>2000</v>
      </c>
      <c r="P163" s="85"/>
      <c r="Q163" s="85">
        <f>SUM(O163:P163)</f>
        <v>2000</v>
      </c>
    </row>
    <row r="164" spans="1:17" s="27" customFormat="1" ht="18" customHeight="1">
      <c r="A164" s="90"/>
      <c r="B164" s="86"/>
      <c r="C164" s="74">
        <v>4300</v>
      </c>
      <c r="D164" s="41" t="s">
        <v>79</v>
      </c>
      <c r="E164" s="85"/>
      <c r="F164" s="85"/>
      <c r="G164" s="85"/>
      <c r="H164" s="85"/>
      <c r="I164" s="85"/>
      <c r="J164" s="85"/>
      <c r="K164" s="85">
        <v>0</v>
      </c>
      <c r="L164" s="85">
        <v>4000</v>
      </c>
      <c r="M164" s="85">
        <f>SUM(K164:L164)</f>
        <v>4000</v>
      </c>
      <c r="N164" s="85"/>
      <c r="O164" s="85">
        <f>SUM(M164:N164)</f>
        <v>4000</v>
      </c>
      <c r="P164" s="85"/>
      <c r="Q164" s="85">
        <f>SUM(O164:P164)</f>
        <v>4000</v>
      </c>
    </row>
    <row r="165" spans="1:17" s="27" customFormat="1" ht="21" customHeight="1">
      <c r="A165" s="90"/>
      <c r="B165" s="86" t="s">
        <v>101</v>
      </c>
      <c r="C165" s="90"/>
      <c r="D165" s="41" t="s">
        <v>6</v>
      </c>
      <c r="E165" s="85">
        <f aca="true" t="shared" si="84" ref="E165:K165">SUM(E166:E169)</f>
        <v>9000</v>
      </c>
      <c r="F165" s="85">
        <f t="shared" si="84"/>
        <v>70000</v>
      </c>
      <c r="G165" s="85">
        <f t="shared" si="84"/>
        <v>79000</v>
      </c>
      <c r="H165" s="85">
        <f t="shared" si="84"/>
        <v>0</v>
      </c>
      <c r="I165" s="85">
        <f t="shared" si="84"/>
        <v>79000</v>
      </c>
      <c r="J165" s="85">
        <f t="shared" si="84"/>
        <v>0</v>
      </c>
      <c r="K165" s="85">
        <f t="shared" si="84"/>
        <v>79000</v>
      </c>
      <c r="L165" s="85">
        <f aca="true" t="shared" si="85" ref="L165:Q165">SUM(L166:L169)</f>
        <v>0</v>
      </c>
      <c r="M165" s="85">
        <f t="shared" si="85"/>
        <v>79000</v>
      </c>
      <c r="N165" s="85">
        <f t="shared" si="85"/>
        <v>0</v>
      </c>
      <c r="O165" s="85">
        <f t="shared" si="85"/>
        <v>79000</v>
      </c>
      <c r="P165" s="85">
        <f t="shared" si="85"/>
        <v>0</v>
      </c>
      <c r="Q165" s="85">
        <f t="shared" si="85"/>
        <v>79000</v>
      </c>
    </row>
    <row r="166" spans="1:17" s="27" customFormat="1" ht="21" customHeight="1">
      <c r="A166" s="90"/>
      <c r="B166" s="86"/>
      <c r="C166" s="90">
        <v>4210</v>
      </c>
      <c r="D166" s="41" t="s">
        <v>92</v>
      </c>
      <c r="E166" s="85">
        <v>3900</v>
      </c>
      <c r="F166" s="85"/>
      <c r="G166" s="85">
        <f>SUM(E166:F166)</f>
        <v>3900</v>
      </c>
      <c r="H166" s="85"/>
      <c r="I166" s="85">
        <f>SUM(G166:H166)</f>
        <v>3900</v>
      </c>
      <c r="J166" s="85"/>
      <c r="K166" s="85">
        <f>SUM(I166:J166)</f>
        <v>3900</v>
      </c>
      <c r="L166" s="85"/>
      <c r="M166" s="85">
        <f>SUM(K166:L166)</f>
        <v>3900</v>
      </c>
      <c r="N166" s="85"/>
      <c r="O166" s="85">
        <f>SUM(M166:N166)</f>
        <v>3900</v>
      </c>
      <c r="P166" s="85"/>
      <c r="Q166" s="85">
        <f>SUM(O166:P166)</f>
        <v>3900</v>
      </c>
    </row>
    <row r="167" spans="1:17" s="27" customFormat="1" ht="21" customHeight="1">
      <c r="A167" s="90"/>
      <c r="B167" s="86"/>
      <c r="C167" s="74">
        <v>4430</v>
      </c>
      <c r="D167" s="41" t="s">
        <v>94</v>
      </c>
      <c r="E167" s="85">
        <v>5000</v>
      </c>
      <c r="F167" s="85"/>
      <c r="G167" s="85">
        <f>SUM(E167:F167)</f>
        <v>5000</v>
      </c>
      <c r="H167" s="85"/>
      <c r="I167" s="85">
        <f>SUM(G167:H167)</f>
        <v>5000</v>
      </c>
      <c r="J167" s="85"/>
      <c r="K167" s="85">
        <f>SUM(I167:J167)</f>
        <v>5000</v>
      </c>
      <c r="L167" s="85"/>
      <c r="M167" s="85">
        <f>SUM(K167:L167)</f>
        <v>5000</v>
      </c>
      <c r="N167" s="85"/>
      <c r="O167" s="85">
        <f>SUM(M167:N167)</f>
        <v>5000</v>
      </c>
      <c r="P167" s="85"/>
      <c r="Q167" s="85">
        <f>SUM(O167:P167)</f>
        <v>5000</v>
      </c>
    </row>
    <row r="168" spans="1:17" s="27" customFormat="1" ht="24">
      <c r="A168" s="90"/>
      <c r="B168" s="86"/>
      <c r="C168" s="74">
        <v>4740</v>
      </c>
      <c r="D168" s="41" t="s">
        <v>223</v>
      </c>
      <c r="E168" s="85">
        <v>100</v>
      </c>
      <c r="F168" s="85"/>
      <c r="G168" s="85">
        <f>SUM(E168:F168)</f>
        <v>100</v>
      </c>
      <c r="H168" s="85"/>
      <c r="I168" s="85">
        <f>SUM(G168:H168)</f>
        <v>100</v>
      </c>
      <c r="J168" s="85"/>
      <c r="K168" s="85">
        <f>SUM(I168:J168)</f>
        <v>100</v>
      </c>
      <c r="L168" s="85"/>
      <c r="M168" s="85">
        <f>SUM(K168:L168)</f>
        <v>100</v>
      </c>
      <c r="N168" s="85"/>
      <c r="O168" s="85">
        <f>SUM(M168:N168)</f>
        <v>100</v>
      </c>
      <c r="P168" s="85"/>
      <c r="Q168" s="85">
        <f>SUM(O168:P168)</f>
        <v>100</v>
      </c>
    </row>
    <row r="169" spans="1:17" s="27" customFormat="1" ht="24">
      <c r="A169" s="90"/>
      <c r="B169" s="86"/>
      <c r="C169" s="74">
        <v>6050</v>
      </c>
      <c r="D169" s="14" t="s">
        <v>73</v>
      </c>
      <c r="E169" s="85">
        <v>0</v>
      </c>
      <c r="F169" s="85">
        <f>70000</f>
        <v>70000</v>
      </c>
      <c r="G169" s="85">
        <f>SUM(E169:F169)</f>
        <v>70000</v>
      </c>
      <c r="H169" s="85"/>
      <c r="I169" s="85">
        <f>SUM(G169:H169)</f>
        <v>70000</v>
      </c>
      <c r="J169" s="85"/>
      <c r="K169" s="85">
        <f>SUM(I169:J169)</f>
        <v>70000</v>
      </c>
      <c r="L169" s="85"/>
      <c r="M169" s="85">
        <f>SUM(K169:L169)</f>
        <v>70000</v>
      </c>
      <c r="N169" s="85"/>
      <c r="O169" s="85">
        <f>SUM(M169:N169)</f>
        <v>70000</v>
      </c>
      <c r="P169" s="85"/>
      <c r="Q169" s="85">
        <f>SUM(O169:P169)</f>
        <v>70000</v>
      </c>
    </row>
    <row r="170" spans="1:17" s="44" customFormat="1" ht="60">
      <c r="A170" s="38">
        <v>756</v>
      </c>
      <c r="B170" s="66"/>
      <c r="C170" s="65"/>
      <c r="D170" s="39" t="s">
        <v>153</v>
      </c>
      <c r="E170" s="40">
        <f aca="true" t="shared" si="86" ref="E170:Q170">SUM(E171)</f>
        <v>102000</v>
      </c>
      <c r="F170" s="40">
        <f t="shared" si="86"/>
        <v>0</v>
      </c>
      <c r="G170" s="40">
        <f t="shared" si="86"/>
        <v>102000</v>
      </c>
      <c r="H170" s="40">
        <f t="shared" si="86"/>
        <v>0</v>
      </c>
      <c r="I170" s="40">
        <f t="shared" si="86"/>
        <v>102000</v>
      </c>
      <c r="J170" s="40">
        <f t="shared" si="86"/>
        <v>0</v>
      </c>
      <c r="K170" s="40">
        <f t="shared" si="86"/>
        <v>102000</v>
      </c>
      <c r="L170" s="40">
        <f t="shared" si="86"/>
        <v>0</v>
      </c>
      <c r="M170" s="40">
        <f t="shared" si="86"/>
        <v>102000</v>
      </c>
      <c r="N170" s="40">
        <f t="shared" si="86"/>
        <v>0</v>
      </c>
      <c r="O170" s="40">
        <f t="shared" si="86"/>
        <v>102000</v>
      </c>
      <c r="P170" s="40">
        <f t="shared" si="86"/>
        <v>0</v>
      </c>
      <c r="Q170" s="40">
        <f t="shared" si="86"/>
        <v>102000</v>
      </c>
    </row>
    <row r="171" spans="1:17" s="27" customFormat="1" ht="31.5" customHeight="1">
      <c r="A171" s="90"/>
      <c r="B171" s="86">
        <v>75647</v>
      </c>
      <c r="C171" s="74"/>
      <c r="D171" s="41" t="s">
        <v>181</v>
      </c>
      <c r="E171" s="85">
        <f aca="true" t="shared" si="87" ref="E171:K171">SUM(E172:E179)</f>
        <v>102000</v>
      </c>
      <c r="F171" s="85">
        <f t="shared" si="87"/>
        <v>0</v>
      </c>
      <c r="G171" s="85">
        <f t="shared" si="87"/>
        <v>102000</v>
      </c>
      <c r="H171" s="85">
        <f t="shared" si="87"/>
        <v>0</v>
      </c>
      <c r="I171" s="85">
        <f t="shared" si="87"/>
        <v>102000</v>
      </c>
      <c r="J171" s="85">
        <f t="shared" si="87"/>
        <v>0</v>
      </c>
      <c r="K171" s="85">
        <f t="shared" si="87"/>
        <v>102000</v>
      </c>
      <c r="L171" s="85">
        <f aca="true" t="shared" si="88" ref="L171:Q171">SUM(L172:L179)</f>
        <v>0</v>
      </c>
      <c r="M171" s="85">
        <f t="shared" si="88"/>
        <v>102000</v>
      </c>
      <c r="N171" s="85">
        <f t="shared" si="88"/>
        <v>0</v>
      </c>
      <c r="O171" s="85">
        <f t="shared" si="88"/>
        <v>102000</v>
      </c>
      <c r="P171" s="85">
        <f t="shared" si="88"/>
        <v>0</v>
      </c>
      <c r="Q171" s="85">
        <f t="shared" si="88"/>
        <v>102000</v>
      </c>
    </row>
    <row r="172" spans="1:17" s="27" customFormat="1" ht="21" customHeight="1">
      <c r="A172" s="90"/>
      <c r="B172" s="86"/>
      <c r="C172" s="74">
        <v>4100</v>
      </c>
      <c r="D172" s="41" t="s">
        <v>97</v>
      </c>
      <c r="E172" s="85">
        <v>40000</v>
      </c>
      <c r="F172" s="85"/>
      <c r="G172" s="85">
        <f>SUM(E172:F172)</f>
        <v>40000</v>
      </c>
      <c r="H172" s="85"/>
      <c r="I172" s="85">
        <f>SUM(G172:H172)</f>
        <v>40000</v>
      </c>
      <c r="J172" s="85"/>
      <c r="K172" s="85">
        <f>SUM(I172:J172)</f>
        <v>40000</v>
      </c>
      <c r="L172" s="85"/>
      <c r="M172" s="85">
        <f>SUM(K172:L172)</f>
        <v>40000</v>
      </c>
      <c r="N172" s="85"/>
      <c r="O172" s="85">
        <f>SUM(M172:N172)</f>
        <v>40000</v>
      </c>
      <c r="P172" s="85"/>
      <c r="Q172" s="85">
        <f>SUM(O172:P172)</f>
        <v>40000</v>
      </c>
    </row>
    <row r="173" spans="1:17" s="27" customFormat="1" ht="21" customHeight="1">
      <c r="A173" s="90"/>
      <c r="B173" s="86"/>
      <c r="C173" s="74">
        <v>4170</v>
      </c>
      <c r="D173" s="41" t="s">
        <v>191</v>
      </c>
      <c r="E173" s="85">
        <v>5000</v>
      </c>
      <c r="F173" s="85"/>
      <c r="G173" s="85">
        <f aca="true" t="shared" si="89" ref="G173:G179">SUM(E173:F173)</f>
        <v>5000</v>
      </c>
      <c r="H173" s="85"/>
      <c r="I173" s="85">
        <f aca="true" t="shared" si="90" ref="I173:I179">SUM(G173:H173)</f>
        <v>5000</v>
      </c>
      <c r="J173" s="85"/>
      <c r="K173" s="85">
        <f aca="true" t="shared" si="91" ref="K173:K179">SUM(I173:J173)</f>
        <v>5000</v>
      </c>
      <c r="L173" s="85"/>
      <c r="M173" s="85">
        <f aca="true" t="shared" si="92" ref="M173:M179">SUM(K173:L173)</f>
        <v>5000</v>
      </c>
      <c r="N173" s="85"/>
      <c r="O173" s="85">
        <f aca="true" t="shared" si="93" ref="O173:O179">SUM(M173:N173)</f>
        <v>5000</v>
      </c>
      <c r="P173" s="85"/>
      <c r="Q173" s="85">
        <f aca="true" t="shared" si="94" ref="Q173:Q179">SUM(O173:P173)</f>
        <v>5000</v>
      </c>
    </row>
    <row r="174" spans="1:17" s="27" customFormat="1" ht="21" customHeight="1">
      <c r="A174" s="90"/>
      <c r="B174" s="86"/>
      <c r="C174" s="74">
        <v>4210</v>
      </c>
      <c r="D174" s="41" t="s">
        <v>72</v>
      </c>
      <c r="E174" s="85">
        <v>2000</v>
      </c>
      <c r="F174" s="85"/>
      <c r="G174" s="85">
        <f t="shared" si="89"/>
        <v>2000</v>
      </c>
      <c r="H174" s="85"/>
      <c r="I174" s="85">
        <f t="shared" si="90"/>
        <v>2000</v>
      </c>
      <c r="J174" s="85"/>
      <c r="K174" s="85">
        <f t="shared" si="91"/>
        <v>2000</v>
      </c>
      <c r="L174" s="85"/>
      <c r="M174" s="85">
        <f t="shared" si="92"/>
        <v>2000</v>
      </c>
      <c r="N174" s="85"/>
      <c r="O174" s="85">
        <f t="shared" si="93"/>
        <v>2000</v>
      </c>
      <c r="P174" s="85"/>
      <c r="Q174" s="85">
        <f t="shared" si="94"/>
        <v>2000</v>
      </c>
    </row>
    <row r="175" spans="1:17" s="27" customFormat="1" ht="21" customHeight="1">
      <c r="A175" s="90"/>
      <c r="B175" s="86"/>
      <c r="C175" s="74">
        <v>4300</v>
      </c>
      <c r="D175" s="41" t="s">
        <v>79</v>
      </c>
      <c r="E175" s="85">
        <v>20000</v>
      </c>
      <c r="F175" s="85"/>
      <c r="G175" s="85">
        <f t="shared" si="89"/>
        <v>20000</v>
      </c>
      <c r="H175" s="85"/>
      <c r="I175" s="85">
        <f t="shared" si="90"/>
        <v>20000</v>
      </c>
      <c r="J175" s="85"/>
      <c r="K175" s="85">
        <f t="shared" si="91"/>
        <v>20000</v>
      </c>
      <c r="L175" s="85"/>
      <c r="M175" s="85">
        <f t="shared" si="92"/>
        <v>20000</v>
      </c>
      <c r="N175" s="85"/>
      <c r="O175" s="85">
        <f t="shared" si="93"/>
        <v>20000</v>
      </c>
      <c r="P175" s="85">
        <v>2000</v>
      </c>
      <c r="Q175" s="85">
        <f t="shared" si="94"/>
        <v>22000</v>
      </c>
    </row>
    <row r="176" spans="1:17" s="27" customFormat="1" ht="21" customHeight="1">
      <c r="A176" s="90"/>
      <c r="B176" s="86"/>
      <c r="C176" s="74">
        <v>4430</v>
      </c>
      <c r="D176" s="41" t="s">
        <v>94</v>
      </c>
      <c r="E176" s="85">
        <v>2000</v>
      </c>
      <c r="F176" s="85"/>
      <c r="G176" s="85">
        <f t="shared" si="89"/>
        <v>2000</v>
      </c>
      <c r="H176" s="85"/>
      <c r="I176" s="85">
        <f t="shared" si="90"/>
        <v>2000</v>
      </c>
      <c r="J176" s="85"/>
      <c r="K176" s="85">
        <f t="shared" si="91"/>
        <v>2000</v>
      </c>
      <c r="L176" s="85"/>
      <c r="M176" s="85">
        <f t="shared" si="92"/>
        <v>2000</v>
      </c>
      <c r="N176" s="85"/>
      <c r="O176" s="85">
        <f t="shared" si="93"/>
        <v>2000</v>
      </c>
      <c r="P176" s="85"/>
      <c r="Q176" s="85">
        <f t="shared" si="94"/>
        <v>2000</v>
      </c>
    </row>
    <row r="177" spans="1:17" s="27" customFormat="1" ht="27" customHeight="1">
      <c r="A177" s="90"/>
      <c r="B177" s="86"/>
      <c r="C177" s="74">
        <v>4610</v>
      </c>
      <c r="D177" s="41" t="s">
        <v>182</v>
      </c>
      <c r="E177" s="85">
        <v>29000</v>
      </c>
      <c r="F177" s="85"/>
      <c r="G177" s="85">
        <f t="shared" si="89"/>
        <v>29000</v>
      </c>
      <c r="H177" s="85"/>
      <c r="I177" s="85">
        <f t="shared" si="90"/>
        <v>29000</v>
      </c>
      <c r="J177" s="85"/>
      <c r="K177" s="85">
        <f t="shared" si="91"/>
        <v>29000</v>
      </c>
      <c r="L177" s="85"/>
      <c r="M177" s="85">
        <f t="shared" si="92"/>
        <v>29000</v>
      </c>
      <c r="N177" s="85"/>
      <c r="O177" s="85">
        <f t="shared" si="93"/>
        <v>29000</v>
      </c>
      <c r="P177" s="85">
        <v>-2000</v>
      </c>
      <c r="Q177" s="85">
        <f t="shared" si="94"/>
        <v>27000</v>
      </c>
    </row>
    <row r="178" spans="1:17" s="27" customFormat="1" ht="24">
      <c r="A178" s="90"/>
      <c r="B178" s="86"/>
      <c r="C178" s="74">
        <v>4740</v>
      </c>
      <c r="D178" s="41" t="s">
        <v>288</v>
      </c>
      <c r="E178" s="85">
        <v>2000</v>
      </c>
      <c r="F178" s="85"/>
      <c r="G178" s="85">
        <f t="shared" si="89"/>
        <v>2000</v>
      </c>
      <c r="H178" s="85"/>
      <c r="I178" s="85">
        <f t="shared" si="90"/>
        <v>2000</v>
      </c>
      <c r="J178" s="85"/>
      <c r="K178" s="85">
        <f t="shared" si="91"/>
        <v>2000</v>
      </c>
      <c r="L178" s="85"/>
      <c r="M178" s="85">
        <f t="shared" si="92"/>
        <v>2000</v>
      </c>
      <c r="N178" s="85"/>
      <c r="O178" s="85">
        <f t="shared" si="93"/>
        <v>2000</v>
      </c>
      <c r="P178" s="85"/>
      <c r="Q178" s="85">
        <f t="shared" si="94"/>
        <v>2000</v>
      </c>
    </row>
    <row r="179" spans="1:17" s="27" customFormat="1" ht="24.75" customHeight="1">
      <c r="A179" s="90"/>
      <c r="B179" s="86"/>
      <c r="C179" s="74">
        <v>4750</v>
      </c>
      <c r="D179" s="41" t="s">
        <v>224</v>
      </c>
      <c r="E179" s="85">
        <v>2000</v>
      </c>
      <c r="F179" s="85"/>
      <c r="G179" s="85">
        <f t="shared" si="89"/>
        <v>2000</v>
      </c>
      <c r="H179" s="85"/>
      <c r="I179" s="85">
        <f t="shared" si="90"/>
        <v>2000</v>
      </c>
      <c r="J179" s="85"/>
      <c r="K179" s="85">
        <f t="shared" si="91"/>
        <v>2000</v>
      </c>
      <c r="L179" s="85"/>
      <c r="M179" s="85">
        <f t="shared" si="92"/>
        <v>2000</v>
      </c>
      <c r="N179" s="85"/>
      <c r="O179" s="85">
        <f t="shared" si="93"/>
        <v>2000</v>
      </c>
      <c r="P179" s="85"/>
      <c r="Q179" s="85">
        <f t="shared" si="94"/>
        <v>2000</v>
      </c>
    </row>
    <row r="180" spans="1:17" s="7" customFormat="1" ht="21.75" customHeight="1">
      <c r="A180" s="36" t="s">
        <v>102</v>
      </c>
      <c r="B180" s="37"/>
      <c r="C180" s="38"/>
      <c r="D180" s="39" t="s">
        <v>103</v>
      </c>
      <c r="E180" s="40">
        <f aca="true" t="shared" si="95" ref="E180:Q180">SUM(E181)</f>
        <v>900004</v>
      </c>
      <c r="F180" s="40">
        <f t="shared" si="95"/>
        <v>0</v>
      </c>
      <c r="G180" s="40">
        <f t="shared" si="95"/>
        <v>900004</v>
      </c>
      <c r="H180" s="40">
        <f t="shared" si="95"/>
        <v>0</v>
      </c>
      <c r="I180" s="40">
        <f t="shared" si="95"/>
        <v>900004</v>
      </c>
      <c r="J180" s="40">
        <f t="shared" si="95"/>
        <v>0</v>
      </c>
      <c r="K180" s="40">
        <f t="shared" si="95"/>
        <v>900004</v>
      </c>
      <c r="L180" s="40">
        <f t="shared" si="95"/>
        <v>0</v>
      </c>
      <c r="M180" s="40">
        <f t="shared" si="95"/>
        <v>900004</v>
      </c>
      <c r="N180" s="40">
        <f t="shared" si="95"/>
        <v>0</v>
      </c>
      <c r="O180" s="40">
        <f t="shared" si="95"/>
        <v>900004</v>
      </c>
      <c r="P180" s="40">
        <f t="shared" si="95"/>
        <v>0</v>
      </c>
      <c r="Q180" s="40">
        <f t="shared" si="95"/>
        <v>900004</v>
      </c>
    </row>
    <row r="181" spans="1:17" s="27" customFormat="1" ht="33.75">
      <c r="A181" s="71"/>
      <c r="B181" s="86" t="s">
        <v>104</v>
      </c>
      <c r="C181" s="90"/>
      <c r="D181" s="41" t="s">
        <v>105</v>
      </c>
      <c r="E181" s="85">
        <f aca="true" t="shared" si="96" ref="E181:Q181">SUM(E182:E182)</f>
        <v>900004</v>
      </c>
      <c r="F181" s="85">
        <f t="shared" si="96"/>
        <v>0</v>
      </c>
      <c r="G181" s="85">
        <f t="shared" si="96"/>
        <v>900004</v>
      </c>
      <c r="H181" s="85">
        <f t="shared" si="96"/>
        <v>0</v>
      </c>
      <c r="I181" s="85">
        <f t="shared" si="96"/>
        <v>900004</v>
      </c>
      <c r="J181" s="85">
        <f t="shared" si="96"/>
        <v>0</v>
      </c>
      <c r="K181" s="85">
        <f t="shared" si="96"/>
        <v>900004</v>
      </c>
      <c r="L181" s="85">
        <f t="shared" si="96"/>
        <v>0</v>
      </c>
      <c r="M181" s="85">
        <f t="shared" si="96"/>
        <v>900004</v>
      </c>
      <c r="N181" s="85">
        <f t="shared" si="96"/>
        <v>0</v>
      </c>
      <c r="O181" s="85">
        <f t="shared" si="96"/>
        <v>900004</v>
      </c>
      <c r="P181" s="85">
        <f t="shared" si="96"/>
        <v>0</v>
      </c>
      <c r="Q181" s="85">
        <f t="shared" si="96"/>
        <v>900004</v>
      </c>
    </row>
    <row r="182" spans="1:17" s="227" customFormat="1" ht="45">
      <c r="A182" s="225"/>
      <c r="B182" s="226"/>
      <c r="C182" s="90">
        <v>8110</v>
      </c>
      <c r="D182" s="41" t="s">
        <v>352</v>
      </c>
      <c r="E182" s="85">
        <v>900004</v>
      </c>
      <c r="F182" s="85"/>
      <c r="G182" s="85">
        <f>SUM(E182:F182)</f>
        <v>900004</v>
      </c>
      <c r="H182" s="85"/>
      <c r="I182" s="85">
        <f>SUM(G182:H182)</f>
        <v>900004</v>
      </c>
      <c r="J182" s="85"/>
      <c r="K182" s="85">
        <f>SUM(I182:J182)</f>
        <v>900004</v>
      </c>
      <c r="L182" s="85"/>
      <c r="M182" s="85">
        <f>SUM(K182:L182)</f>
        <v>900004</v>
      </c>
      <c r="N182" s="85"/>
      <c r="O182" s="85">
        <f>SUM(M182:N182)</f>
        <v>900004</v>
      </c>
      <c r="P182" s="85"/>
      <c r="Q182" s="85">
        <f>SUM(O182:P182)</f>
        <v>900004</v>
      </c>
    </row>
    <row r="183" spans="1:17" s="7" customFormat="1" ht="21" customHeight="1">
      <c r="A183" s="36" t="s">
        <v>45</v>
      </c>
      <c r="B183" s="37"/>
      <c r="C183" s="38"/>
      <c r="D183" s="39" t="s">
        <v>46</v>
      </c>
      <c r="E183" s="40">
        <f aca="true" t="shared" si="97" ref="E183:Q183">SUM(E184)</f>
        <v>1295930</v>
      </c>
      <c r="F183" s="40">
        <f t="shared" si="97"/>
        <v>318684</v>
      </c>
      <c r="G183" s="40">
        <f t="shared" si="97"/>
        <v>1614614</v>
      </c>
      <c r="H183" s="40">
        <f t="shared" si="97"/>
        <v>0</v>
      </c>
      <c r="I183" s="40">
        <f t="shared" si="97"/>
        <v>1614614</v>
      </c>
      <c r="J183" s="40">
        <f t="shared" si="97"/>
        <v>-47545</v>
      </c>
      <c r="K183" s="40">
        <f t="shared" si="97"/>
        <v>1567069</v>
      </c>
      <c r="L183" s="40">
        <f t="shared" si="97"/>
        <v>-933000</v>
      </c>
      <c r="M183" s="40">
        <f t="shared" si="97"/>
        <v>634069</v>
      </c>
      <c r="N183" s="40">
        <f t="shared" si="97"/>
        <v>0</v>
      </c>
      <c r="O183" s="40">
        <f t="shared" si="97"/>
        <v>634069</v>
      </c>
      <c r="P183" s="40">
        <f t="shared" si="97"/>
        <v>0</v>
      </c>
      <c r="Q183" s="40">
        <f t="shared" si="97"/>
        <v>634069</v>
      </c>
    </row>
    <row r="184" spans="1:17" s="27" customFormat="1" ht="21" customHeight="1">
      <c r="A184" s="71"/>
      <c r="B184" s="86" t="s">
        <v>106</v>
      </c>
      <c r="C184" s="90"/>
      <c r="D184" s="41" t="s">
        <v>107</v>
      </c>
      <c r="E184" s="85">
        <f aca="true" t="shared" si="98" ref="E184:K184">SUM(E185:E186)</f>
        <v>1295930</v>
      </c>
      <c r="F184" s="85">
        <f t="shared" si="98"/>
        <v>318684</v>
      </c>
      <c r="G184" s="85">
        <f t="shared" si="98"/>
        <v>1614614</v>
      </c>
      <c r="H184" s="85">
        <f t="shared" si="98"/>
        <v>0</v>
      </c>
      <c r="I184" s="85">
        <f t="shared" si="98"/>
        <v>1614614</v>
      </c>
      <c r="J184" s="85">
        <f t="shared" si="98"/>
        <v>-47545</v>
      </c>
      <c r="K184" s="85">
        <f t="shared" si="98"/>
        <v>1567069</v>
      </c>
      <c r="L184" s="85">
        <f aca="true" t="shared" si="99" ref="L184:Q184">SUM(L185:L186)</f>
        <v>-933000</v>
      </c>
      <c r="M184" s="85">
        <f t="shared" si="99"/>
        <v>634069</v>
      </c>
      <c r="N184" s="85">
        <f t="shared" si="99"/>
        <v>0</v>
      </c>
      <c r="O184" s="85">
        <f t="shared" si="99"/>
        <v>634069</v>
      </c>
      <c r="P184" s="85">
        <f t="shared" si="99"/>
        <v>0</v>
      </c>
      <c r="Q184" s="85">
        <f t="shared" si="99"/>
        <v>634069</v>
      </c>
    </row>
    <row r="185" spans="1:17" s="27" customFormat="1" ht="21" customHeight="1">
      <c r="A185" s="71"/>
      <c r="B185" s="91"/>
      <c r="C185" s="90">
        <v>4810</v>
      </c>
      <c r="D185" s="41" t="s">
        <v>108</v>
      </c>
      <c r="E185" s="85">
        <f>154270+150000+40560+76000+40000+55000+13500+450000+20000+80600</f>
        <v>1079930</v>
      </c>
      <c r="F185" s="85">
        <f>25000+40000+248684+5000</f>
        <v>318684</v>
      </c>
      <c r="G185" s="85">
        <f>SUM(E185:F185)</f>
        <v>1398614</v>
      </c>
      <c r="H185" s="85"/>
      <c r="I185" s="85">
        <f>SUM(G185:H185)</f>
        <v>1398614</v>
      </c>
      <c r="J185" s="85">
        <v>-47545</v>
      </c>
      <c r="K185" s="85">
        <f>SUM(I185:J185)</f>
        <v>1351069</v>
      </c>
      <c r="L185" s="85">
        <f>-6000-20000-5000-400000-402000</f>
        <v>-833000</v>
      </c>
      <c r="M185" s="85">
        <f>SUM(K185:L185)</f>
        <v>518069</v>
      </c>
      <c r="N185" s="85"/>
      <c r="O185" s="85">
        <f>SUM(M185:N185)</f>
        <v>518069</v>
      </c>
      <c r="P185" s="85"/>
      <c r="Q185" s="85">
        <f>SUM(O185:P185)</f>
        <v>518069</v>
      </c>
    </row>
    <row r="186" spans="1:17" s="27" customFormat="1" ht="21" customHeight="1">
      <c r="A186" s="71"/>
      <c r="B186" s="91"/>
      <c r="C186" s="90">
        <v>6800</v>
      </c>
      <c r="D186" s="41" t="s">
        <v>263</v>
      </c>
      <c r="E186" s="85">
        <f>25000+75000+100000+16000</f>
        <v>216000</v>
      </c>
      <c r="F186" s="85"/>
      <c r="G186" s="85">
        <f>SUM(E186:F186)</f>
        <v>216000</v>
      </c>
      <c r="H186" s="85"/>
      <c r="I186" s="85">
        <f>SUM(G186:H186)</f>
        <v>216000</v>
      </c>
      <c r="J186" s="85"/>
      <c r="K186" s="85">
        <f>SUM(I186:J186)</f>
        <v>216000</v>
      </c>
      <c r="L186" s="85">
        <v>-100000</v>
      </c>
      <c r="M186" s="85">
        <f>SUM(K186:L186)</f>
        <v>116000</v>
      </c>
      <c r="N186" s="85"/>
      <c r="O186" s="85">
        <f>SUM(M186:N186)</f>
        <v>116000</v>
      </c>
      <c r="P186" s="85"/>
      <c r="Q186" s="85">
        <f>SUM(O186:P186)</f>
        <v>116000</v>
      </c>
    </row>
    <row r="187" spans="1:17" s="8" customFormat="1" ht="20.25" customHeight="1">
      <c r="A187" s="36" t="s">
        <v>109</v>
      </c>
      <c r="B187" s="37"/>
      <c r="C187" s="38"/>
      <c r="D187" s="39" t="s">
        <v>110</v>
      </c>
      <c r="E187" s="40">
        <f aca="true" t="shared" si="100" ref="E187:K187">SUM(E188,E215,E233,E238,E263,E270,E275,E290)</f>
        <v>30107018</v>
      </c>
      <c r="F187" s="40">
        <f t="shared" si="100"/>
        <v>-861184</v>
      </c>
      <c r="G187" s="40">
        <f t="shared" si="100"/>
        <v>29245834</v>
      </c>
      <c r="H187" s="40">
        <f t="shared" si="100"/>
        <v>0</v>
      </c>
      <c r="I187" s="40">
        <f t="shared" si="100"/>
        <v>29245834</v>
      </c>
      <c r="J187" s="40">
        <f t="shared" si="100"/>
        <v>0</v>
      </c>
      <c r="K187" s="40">
        <f t="shared" si="100"/>
        <v>29245834</v>
      </c>
      <c r="L187" s="40">
        <f aca="true" t="shared" si="101" ref="L187:Q187">SUM(L188,L215,L233,L238,L263,L270,L275,L290)</f>
        <v>46574</v>
      </c>
      <c r="M187" s="40">
        <f t="shared" si="101"/>
        <v>29292408</v>
      </c>
      <c r="N187" s="40">
        <f t="shared" si="101"/>
        <v>19000</v>
      </c>
      <c r="O187" s="40">
        <f t="shared" si="101"/>
        <v>29311408</v>
      </c>
      <c r="P187" s="40">
        <f t="shared" si="101"/>
        <v>75816</v>
      </c>
      <c r="Q187" s="40">
        <f t="shared" si="101"/>
        <v>29387224</v>
      </c>
    </row>
    <row r="188" spans="1:17" s="27" customFormat="1" ht="22.5" customHeight="1">
      <c r="A188" s="71"/>
      <c r="B188" s="86" t="s">
        <v>111</v>
      </c>
      <c r="C188" s="90"/>
      <c r="D188" s="41" t="s">
        <v>51</v>
      </c>
      <c r="E188" s="85">
        <f aca="true" t="shared" si="102" ref="E188:K188">SUM(E189:E214)</f>
        <v>12980229</v>
      </c>
      <c r="F188" s="85">
        <f t="shared" si="102"/>
        <v>-110000</v>
      </c>
      <c r="G188" s="85">
        <f t="shared" si="102"/>
        <v>12870229</v>
      </c>
      <c r="H188" s="85">
        <f t="shared" si="102"/>
        <v>0</v>
      </c>
      <c r="I188" s="85">
        <f t="shared" si="102"/>
        <v>12870229</v>
      </c>
      <c r="J188" s="85">
        <f t="shared" si="102"/>
        <v>0</v>
      </c>
      <c r="K188" s="85">
        <f t="shared" si="102"/>
        <v>12870229</v>
      </c>
      <c r="L188" s="85">
        <f aca="true" t="shared" si="103" ref="L188:Q188">SUM(L189:L214)</f>
        <v>11710</v>
      </c>
      <c r="M188" s="85">
        <f t="shared" si="103"/>
        <v>12881939</v>
      </c>
      <c r="N188" s="85">
        <f t="shared" si="103"/>
        <v>19000</v>
      </c>
      <c r="O188" s="85">
        <f t="shared" si="103"/>
        <v>12900939</v>
      </c>
      <c r="P188" s="85">
        <f t="shared" si="103"/>
        <v>75816</v>
      </c>
      <c r="Q188" s="85">
        <f t="shared" si="103"/>
        <v>12976755</v>
      </c>
    </row>
    <row r="189" spans="1:19" s="27" customFormat="1" ht="56.25">
      <c r="A189" s="71"/>
      <c r="B189" s="86"/>
      <c r="C189" s="90">
        <v>2590</v>
      </c>
      <c r="D189" s="41" t="s">
        <v>350</v>
      </c>
      <c r="E189" s="85">
        <v>746055</v>
      </c>
      <c r="F189" s="85"/>
      <c r="G189" s="85">
        <f>SUM(E189:F189)</f>
        <v>746055</v>
      </c>
      <c r="H189" s="85"/>
      <c r="I189" s="85">
        <f>SUM(G189:H189)</f>
        <v>746055</v>
      </c>
      <c r="J189" s="85"/>
      <c r="K189" s="85">
        <f>SUM(I189:J189)</f>
        <v>746055</v>
      </c>
      <c r="L189" s="85"/>
      <c r="M189" s="85">
        <f>SUM(K189:L189)</f>
        <v>746055</v>
      </c>
      <c r="N189" s="85"/>
      <c r="O189" s="85">
        <f>SUM(M189:N189)</f>
        <v>746055</v>
      </c>
      <c r="P189" s="85"/>
      <c r="Q189" s="85">
        <f>SUM(O189:P189)</f>
        <v>746055</v>
      </c>
      <c r="R189" s="123"/>
      <c r="S189" s="123"/>
    </row>
    <row r="190" spans="1:17" s="27" customFormat="1" ht="22.5">
      <c r="A190" s="71"/>
      <c r="B190" s="86"/>
      <c r="C190" s="71">
        <v>3020</v>
      </c>
      <c r="D190" s="41" t="s">
        <v>210</v>
      </c>
      <c r="E190" s="85">
        <v>220760</v>
      </c>
      <c r="F190" s="85"/>
      <c r="G190" s="85">
        <f>SUM(E190:F190)</f>
        <v>220760</v>
      </c>
      <c r="H190" s="85"/>
      <c r="I190" s="85">
        <f>SUM(G190:H190)</f>
        <v>220760</v>
      </c>
      <c r="J190" s="85"/>
      <c r="K190" s="85">
        <f>SUM(I190:J190)</f>
        <v>220760</v>
      </c>
      <c r="L190" s="85"/>
      <c r="M190" s="85">
        <f>SUM(K190:L190)</f>
        <v>220760</v>
      </c>
      <c r="N190" s="85"/>
      <c r="O190" s="85">
        <f>SUM(M190:N190)</f>
        <v>220760</v>
      </c>
      <c r="P190" s="85"/>
      <c r="Q190" s="85">
        <f>SUM(O190:P190)</f>
        <v>220760</v>
      </c>
    </row>
    <row r="191" spans="1:17" s="27" customFormat="1" ht="21" customHeight="1">
      <c r="A191" s="71"/>
      <c r="B191" s="86"/>
      <c r="C191" s="71">
        <v>4010</v>
      </c>
      <c r="D191" s="41" t="s">
        <v>84</v>
      </c>
      <c r="E191" s="85">
        <v>7370338</v>
      </c>
      <c r="F191" s="85"/>
      <c r="G191" s="85">
        <f aca="true" t="shared" si="104" ref="G191:G214">SUM(E191:F191)</f>
        <v>7370338</v>
      </c>
      <c r="H191" s="85"/>
      <c r="I191" s="85">
        <f aca="true" t="shared" si="105" ref="I191:I203">SUM(G191:H191)</f>
        <v>7370338</v>
      </c>
      <c r="J191" s="85"/>
      <c r="K191" s="85">
        <f aca="true" t="shared" si="106" ref="K191:K214">SUM(I191:J191)</f>
        <v>7370338</v>
      </c>
      <c r="L191" s="85">
        <f>2440+17103</f>
        <v>19543</v>
      </c>
      <c r="M191" s="85">
        <f aca="true" t="shared" si="107" ref="M191:M214">SUM(K191:L191)</f>
        <v>7389881</v>
      </c>
      <c r="N191" s="85"/>
      <c r="O191" s="85">
        <f aca="true" t="shared" si="108" ref="O191:O214">SUM(M191:N191)</f>
        <v>7389881</v>
      </c>
      <c r="P191" s="85"/>
      <c r="Q191" s="85">
        <f aca="true" t="shared" si="109" ref="Q191:Q214">SUM(O191:P191)</f>
        <v>7389881</v>
      </c>
    </row>
    <row r="192" spans="1:17" s="27" customFormat="1" ht="21" customHeight="1">
      <c r="A192" s="71"/>
      <c r="B192" s="86"/>
      <c r="C192" s="71">
        <v>4040</v>
      </c>
      <c r="D192" s="41" t="s">
        <v>85</v>
      </c>
      <c r="E192" s="85">
        <v>586366</v>
      </c>
      <c r="F192" s="85"/>
      <c r="G192" s="85">
        <f t="shared" si="104"/>
        <v>586366</v>
      </c>
      <c r="H192" s="85"/>
      <c r="I192" s="85">
        <f t="shared" si="105"/>
        <v>586366</v>
      </c>
      <c r="J192" s="85"/>
      <c r="K192" s="85">
        <f t="shared" si="106"/>
        <v>586366</v>
      </c>
      <c r="L192" s="85">
        <v>-15057</v>
      </c>
      <c r="M192" s="85">
        <f t="shared" si="107"/>
        <v>571309</v>
      </c>
      <c r="N192" s="85"/>
      <c r="O192" s="85">
        <f t="shared" si="108"/>
        <v>571309</v>
      </c>
      <c r="P192" s="85"/>
      <c r="Q192" s="85">
        <f t="shared" si="109"/>
        <v>571309</v>
      </c>
    </row>
    <row r="193" spans="1:17" s="27" customFormat="1" ht="21" customHeight="1">
      <c r="A193" s="71"/>
      <c r="B193" s="86"/>
      <c r="C193" s="71">
        <v>4110</v>
      </c>
      <c r="D193" s="41" t="s">
        <v>86</v>
      </c>
      <c r="E193" s="85">
        <v>1218585</v>
      </c>
      <c r="F193" s="85"/>
      <c r="G193" s="85">
        <f t="shared" si="104"/>
        <v>1218585</v>
      </c>
      <c r="H193" s="85"/>
      <c r="I193" s="85">
        <f t="shared" si="105"/>
        <v>1218585</v>
      </c>
      <c r="J193" s="85"/>
      <c r="K193" s="85">
        <f t="shared" si="106"/>
        <v>1218585</v>
      </c>
      <c r="L193" s="85">
        <v>401</v>
      </c>
      <c r="M193" s="85">
        <f t="shared" si="107"/>
        <v>1218986</v>
      </c>
      <c r="N193" s="85"/>
      <c r="O193" s="85">
        <f t="shared" si="108"/>
        <v>1218986</v>
      </c>
      <c r="P193" s="85"/>
      <c r="Q193" s="85">
        <f t="shared" si="109"/>
        <v>1218986</v>
      </c>
    </row>
    <row r="194" spans="1:17" s="27" customFormat="1" ht="21" customHeight="1">
      <c r="A194" s="71"/>
      <c r="B194" s="86"/>
      <c r="C194" s="71">
        <v>4120</v>
      </c>
      <c r="D194" s="41" t="s">
        <v>87</v>
      </c>
      <c r="E194" s="85">
        <v>200869</v>
      </c>
      <c r="F194" s="85"/>
      <c r="G194" s="85">
        <f t="shared" si="104"/>
        <v>200869</v>
      </c>
      <c r="H194" s="85"/>
      <c r="I194" s="85">
        <f t="shared" si="105"/>
        <v>200869</v>
      </c>
      <c r="J194" s="85"/>
      <c r="K194" s="85">
        <f t="shared" si="106"/>
        <v>200869</v>
      </c>
      <c r="L194" s="85">
        <v>63</v>
      </c>
      <c r="M194" s="85">
        <f t="shared" si="107"/>
        <v>200932</v>
      </c>
      <c r="N194" s="85"/>
      <c r="O194" s="85">
        <f t="shared" si="108"/>
        <v>200932</v>
      </c>
      <c r="P194" s="85"/>
      <c r="Q194" s="85">
        <f t="shared" si="109"/>
        <v>200932</v>
      </c>
    </row>
    <row r="195" spans="1:17" s="27" customFormat="1" ht="21" customHeight="1">
      <c r="A195" s="71"/>
      <c r="B195" s="86"/>
      <c r="C195" s="71">
        <v>4170</v>
      </c>
      <c r="D195" s="41" t="s">
        <v>191</v>
      </c>
      <c r="E195" s="85">
        <v>22100</v>
      </c>
      <c r="F195" s="85"/>
      <c r="G195" s="85">
        <f t="shared" si="104"/>
        <v>22100</v>
      </c>
      <c r="H195" s="85"/>
      <c r="I195" s="85">
        <f t="shared" si="105"/>
        <v>22100</v>
      </c>
      <c r="J195" s="85"/>
      <c r="K195" s="85">
        <f t="shared" si="106"/>
        <v>22100</v>
      </c>
      <c r="L195" s="85">
        <v>3500</v>
      </c>
      <c r="M195" s="85">
        <f t="shared" si="107"/>
        <v>25600</v>
      </c>
      <c r="N195" s="85"/>
      <c r="O195" s="85">
        <f t="shared" si="108"/>
        <v>25600</v>
      </c>
      <c r="P195" s="85"/>
      <c r="Q195" s="85">
        <f t="shared" si="109"/>
        <v>25600</v>
      </c>
    </row>
    <row r="196" spans="1:17" s="27" customFormat="1" ht="21" customHeight="1">
      <c r="A196" s="71"/>
      <c r="B196" s="86"/>
      <c r="C196" s="71">
        <v>4210</v>
      </c>
      <c r="D196" s="41" t="s">
        <v>92</v>
      </c>
      <c r="E196" s="85">
        <f>380104+1968</f>
        <v>382072</v>
      </c>
      <c r="F196" s="85"/>
      <c r="G196" s="85">
        <f t="shared" si="104"/>
        <v>382072</v>
      </c>
      <c r="H196" s="85"/>
      <c r="I196" s="85">
        <f t="shared" si="105"/>
        <v>382072</v>
      </c>
      <c r="J196" s="85"/>
      <c r="K196" s="85">
        <f t="shared" si="106"/>
        <v>382072</v>
      </c>
      <c r="L196" s="85">
        <f>300+500+500+1360</f>
        <v>2660</v>
      </c>
      <c r="M196" s="85">
        <f t="shared" si="107"/>
        <v>384732</v>
      </c>
      <c r="N196" s="85"/>
      <c r="O196" s="85">
        <f t="shared" si="108"/>
        <v>384732</v>
      </c>
      <c r="P196" s="85"/>
      <c r="Q196" s="85">
        <f t="shared" si="109"/>
        <v>384732</v>
      </c>
    </row>
    <row r="197" spans="1:17" s="27" customFormat="1" ht="27" customHeight="1">
      <c r="A197" s="71"/>
      <c r="B197" s="86"/>
      <c r="C197" s="90">
        <v>4230</v>
      </c>
      <c r="D197" s="41" t="s">
        <v>258</v>
      </c>
      <c r="E197" s="85">
        <v>2150</v>
      </c>
      <c r="F197" s="85"/>
      <c r="G197" s="85">
        <f t="shared" si="104"/>
        <v>2150</v>
      </c>
      <c r="H197" s="85"/>
      <c r="I197" s="85">
        <f t="shared" si="105"/>
        <v>2150</v>
      </c>
      <c r="J197" s="85"/>
      <c r="K197" s="85">
        <f t="shared" si="106"/>
        <v>2150</v>
      </c>
      <c r="L197" s="85"/>
      <c r="M197" s="85">
        <f t="shared" si="107"/>
        <v>2150</v>
      </c>
      <c r="N197" s="85"/>
      <c r="O197" s="85">
        <f t="shared" si="108"/>
        <v>2150</v>
      </c>
      <c r="P197" s="85"/>
      <c r="Q197" s="85">
        <f t="shared" si="109"/>
        <v>2150</v>
      </c>
    </row>
    <row r="198" spans="1:17" s="27" customFormat="1" ht="22.5">
      <c r="A198" s="71"/>
      <c r="B198" s="86"/>
      <c r="C198" s="90">
        <v>4240</v>
      </c>
      <c r="D198" s="41" t="s">
        <v>123</v>
      </c>
      <c r="E198" s="85">
        <f>40550+3400</f>
        <v>43950</v>
      </c>
      <c r="F198" s="85"/>
      <c r="G198" s="85">
        <f t="shared" si="104"/>
        <v>43950</v>
      </c>
      <c r="H198" s="85"/>
      <c r="I198" s="85">
        <f t="shared" si="105"/>
        <v>43950</v>
      </c>
      <c r="J198" s="85"/>
      <c r="K198" s="85">
        <f t="shared" si="106"/>
        <v>43950</v>
      </c>
      <c r="L198" s="85">
        <v>600</v>
      </c>
      <c r="M198" s="85">
        <f t="shared" si="107"/>
        <v>44550</v>
      </c>
      <c r="N198" s="85"/>
      <c r="O198" s="85">
        <f t="shared" si="108"/>
        <v>44550</v>
      </c>
      <c r="P198" s="85">
        <f>6000+5966</f>
        <v>11966</v>
      </c>
      <c r="Q198" s="85">
        <f t="shared" si="109"/>
        <v>56516</v>
      </c>
    </row>
    <row r="199" spans="1:17" s="27" customFormat="1" ht="21" customHeight="1">
      <c r="A199" s="71"/>
      <c r="B199" s="86"/>
      <c r="C199" s="71">
        <v>4260</v>
      </c>
      <c r="D199" s="41" t="s">
        <v>95</v>
      </c>
      <c r="E199" s="85">
        <v>566857</v>
      </c>
      <c r="F199" s="85"/>
      <c r="G199" s="85">
        <f t="shared" si="104"/>
        <v>566857</v>
      </c>
      <c r="H199" s="85"/>
      <c r="I199" s="85">
        <f t="shared" si="105"/>
        <v>566857</v>
      </c>
      <c r="J199" s="85"/>
      <c r="K199" s="85">
        <f t="shared" si="106"/>
        <v>566857</v>
      </c>
      <c r="L199" s="85"/>
      <c r="M199" s="85">
        <f t="shared" si="107"/>
        <v>566857</v>
      </c>
      <c r="N199" s="85"/>
      <c r="O199" s="85">
        <f t="shared" si="108"/>
        <v>566857</v>
      </c>
      <c r="P199" s="85"/>
      <c r="Q199" s="85">
        <f t="shared" si="109"/>
        <v>566857</v>
      </c>
    </row>
    <row r="200" spans="1:17" s="27" customFormat="1" ht="21" customHeight="1">
      <c r="A200" s="71"/>
      <c r="B200" s="86"/>
      <c r="C200" s="71">
        <v>4270</v>
      </c>
      <c r="D200" s="41" t="s">
        <v>78</v>
      </c>
      <c r="E200" s="85">
        <f>110721+150000</f>
        <v>260721</v>
      </c>
      <c r="F200" s="85"/>
      <c r="G200" s="85">
        <f t="shared" si="104"/>
        <v>260721</v>
      </c>
      <c r="H200" s="85"/>
      <c r="I200" s="85">
        <f t="shared" si="105"/>
        <v>260721</v>
      </c>
      <c r="J200" s="85"/>
      <c r="K200" s="85">
        <f t="shared" si="106"/>
        <v>260721</v>
      </c>
      <c r="L200" s="85">
        <v>-3500</v>
      </c>
      <c r="M200" s="85">
        <f t="shared" si="107"/>
        <v>257221</v>
      </c>
      <c r="N200" s="85"/>
      <c r="O200" s="85">
        <f t="shared" si="108"/>
        <v>257221</v>
      </c>
      <c r="P200" s="85"/>
      <c r="Q200" s="85">
        <f t="shared" si="109"/>
        <v>257221</v>
      </c>
    </row>
    <row r="201" spans="1:17" s="27" customFormat="1" ht="21" customHeight="1">
      <c r="A201" s="71"/>
      <c r="B201" s="86"/>
      <c r="C201" s="71">
        <v>4280</v>
      </c>
      <c r="D201" s="41" t="s">
        <v>198</v>
      </c>
      <c r="E201" s="85">
        <v>19800</v>
      </c>
      <c r="F201" s="85"/>
      <c r="G201" s="85">
        <f t="shared" si="104"/>
        <v>19800</v>
      </c>
      <c r="H201" s="85"/>
      <c r="I201" s="85">
        <f t="shared" si="105"/>
        <v>19800</v>
      </c>
      <c r="J201" s="85"/>
      <c r="K201" s="85">
        <f t="shared" si="106"/>
        <v>19800</v>
      </c>
      <c r="L201" s="85"/>
      <c r="M201" s="85">
        <f t="shared" si="107"/>
        <v>19800</v>
      </c>
      <c r="N201" s="85"/>
      <c r="O201" s="85">
        <f t="shared" si="108"/>
        <v>19800</v>
      </c>
      <c r="P201" s="85"/>
      <c r="Q201" s="85">
        <f t="shared" si="109"/>
        <v>19800</v>
      </c>
    </row>
    <row r="202" spans="1:17" s="27" customFormat="1" ht="21" customHeight="1">
      <c r="A202" s="71"/>
      <c r="B202" s="86"/>
      <c r="C202" s="71">
        <v>4300</v>
      </c>
      <c r="D202" s="41" t="s">
        <v>79</v>
      </c>
      <c r="E202" s="85">
        <v>114715</v>
      </c>
      <c r="F202" s="85"/>
      <c r="G202" s="85">
        <f t="shared" si="104"/>
        <v>114715</v>
      </c>
      <c r="H202" s="85"/>
      <c r="I202" s="85">
        <f t="shared" si="105"/>
        <v>114715</v>
      </c>
      <c r="J202" s="85"/>
      <c r="K202" s="85">
        <f t="shared" si="106"/>
        <v>114715</v>
      </c>
      <c r="L202" s="85">
        <v>3500</v>
      </c>
      <c r="M202" s="85">
        <f t="shared" si="107"/>
        <v>118215</v>
      </c>
      <c r="N202" s="85">
        <v>19000</v>
      </c>
      <c r="O202" s="85">
        <f t="shared" si="108"/>
        <v>137215</v>
      </c>
      <c r="P202" s="85"/>
      <c r="Q202" s="85">
        <f t="shared" si="109"/>
        <v>137215</v>
      </c>
    </row>
    <row r="203" spans="1:17" s="27" customFormat="1" ht="21" customHeight="1">
      <c r="A203" s="71"/>
      <c r="B203" s="86"/>
      <c r="C203" s="71">
        <v>4350</v>
      </c>
      <c r="D203" s="41" t="s">
        <v>205</v>
      </c>
      <c r="E203" s="85">
        <v>8711</v>
      </c>
      <c r="F203" s="85"/>
      <c r="G203" s="85">
        <f t="shared" si="104"/>
        <v>8711</v>
      </c>
      <c r="H203" s="85"/>
      <c r="I203" s="85">
        <f t="shared" si="105"/>
        <v>8711</v>
      </c>
      <c r="J203" s="85"/>
      <c r="K203" s="85">
        <f t="shared" si="106"/>
        <v>8711</v>
      </c>
      <c r="L203" s="85"/>
      <c r="M203" s="85">
        <f t="shared" si="107"/>
        <v>8711</v>
      </c>
      <c r="N203" s="85"/>
      <c r="O203" s="85">
        <f t="shared" si="108"/>
        <v>8711</v>
      </c>
      <c r="P203" s="85"/>
      <c r="Q203" s="85">
        <f t="shared" si="109"/>
        <v>8711</v>
      </c>
    </row>
    <row r="204" spans="1:17" s="27" customFormat="1" ht="33.75">
      <c r="A204" s="71"/>
      <c r="B204" s="86"/>
      <c r="C204" s="71">
        <v>4360</v>
      </c>
      <c r="D204" s="41" t="s">
        <v>495</v>
      </c>
      <c r="E204" s="85">
        <v>500</v>
      </c>
      <c r="F204" s="85"/>
      <c r="G204" s="85">
        <f>SUM(E204:F204)</f>
        <v>500</v>
      </c>
      <c r="H204" s="85"/>
      <c r="I204" s="85">
        <f aca="true" t="shared" si="110" ref="I204:I214">SUM(G204:H204)</f>
        <v>500</v>
      </c>
      <c r="J204" s="85"/>
      <c r="K204" s="85">
        <f t="shared" si="106"/>
        <v>500</v>
      </c>
      <c r="L204" s="85"/>
      <c r="M204" s="85">
        <f t="shared" si="107"/>
        <v>500</v>
      </c>
      <c r="N204" s="85"/>
      <c r="O204" s="85">
        <f t="shared" si="108"/>
        <v>500</v>
      </c>
      <c r="P204" s="85"/>
      <c r="Q204" s="85">
        <f t="shared" si="109"/>
        <v>500</v>
      </c>
    </row>
    <row r="205" spans="1:17" s="27" customFormat="1" ht="45">
      <c r="A205" s="71"/>
      <c r="B205" s="86"/>
      <c r="C205" s="71">
        <v>4370</v>
      </c>
      <c r="D205" s="41" t="s">
        <v>494</v>
      </c>
      <c r="E205" s="85">
        <v>17500</v>
      </c>
      <c r="F205" s="85"/>
      <c r="G205" s="85">
        <f t="shared" si="104"/>
        <v>17500</v>
      </c>
      <c r="H205" s="85"/>
      <c r="I205" s="85">
        <f t="shared" si="110"/>
        <v>17500</v>
      </c>
      <c r="J205" s="85"/>
      <c r="K205" s="85">
        <f t="shared" si="106"/>
        <v>17500</v>
      </c>
      <c r="L205" s="85"/>
      <c r="M205" s="85">
        <f t="shared" si="107"/>
        <v>17500</v>
      </c>
      <c r="N205" s="85"/>
      <c r="O205" s="85">
        <f t="shared" si="108"/>
        <v>17500</v>
      </c>
      <c r="P205" s="85"/>
      <c r="Q205" s="85">
        <f t="shared" si="109"/>
        <v>17500</v>
      </c>
    </row>
    <row r="206" spans="1:17" s="27" customFormat="1" ht="22.5">
      <c r="A206" s="71"/>
      <c r="B206" s="86"/>
      <c r="C206" s="71">
        <v>4390</v>
      </c>
      <c r="D206" s="41" t="s">
        <v>266</v>
      </c>
      <c r="E206" s="85">
        <v>4400</v>
      </c>
      <c r="F206" s="85"/>
      <c r="G206" s="85">
        <f t="shared" si="104"/>
        <v>4400</v>
      </c>
      <c r="H206" s="85"/>
      <c r="I206" s="85">
        <f t="shared" si="110"/>
        <v>4400</v>
      </c>
      <c r="J206" s="85"/>
      <c r="K206" s="85">
        <f t="shared" si="106"/>
        <v>4400</v>
      </c>
      <c r="L206" s="85"/>
      <c r="M206" s="85">
        <f t="shared" si="107"/>
        <v>4400</v>
      </c>
      <c r="N206" s="85"/>
      <c r="O206" s="85">
        <f t="shared" si="108"/>
        <v>4400</v>
      </c>
      <c r="P206" s="85"/>
      <c r="Q206" s="85">
        <f t="shared" si="109"/>
        <v>4400</v>
      </c>
    </row>
    <row r="207" spans="1:17" s="27" customFormat="1" ht="21" customHeight="1">
      <c r="A207" s="71"/>
      <c r="B207" s="86"/>
      <c r="C207" s="71">
        <v>4410</v>
      </c>
      <c r="D207" s="41" t="s">
        <v>90</v>
      </c>
      <c r="E207" s="85">
        <v>16080</v>
      </c>
      <c r="F207" s="85"/>
      <c r="G207" s="85">
        <f t="shared" si="104"/>
        <v>16080</v>
      </c>
      <c r="H207" s="85"/>
      <c r="I207" s="85">
        <f t="shared" si="110"/>
        <v>16080</v>
      </c>
      <c r="J207" s="85"/>
      <c r="K207" s="85">
        <f t="shared" si="106"/>
        <v>16080</v>
      </c>
      <c r="L207" s="85"/>
      <c r="M207" s="85">
        <f t="shared" si="107"/>
        <v>16080</v>
      </c>
      <c r="N207" s="85"/>
      <c r="O207" s="85">
        <f t="shared" si="108"/>
        <v>16080</v>
      </c>
      <c r="P207" s="85"/>
      <c r="Q207" s="85">
        <f t="shared" si="109"/>
        <v>16080</v>
      </c>
    </row>
    <row r="208" spans="1:17" s="27" customFormat="1" ht="21" customHeight="1">
      <c r="A208" s="71"/>
      <c r="B208" s="86"/>
      <c r="C208" s="74">
        <v>4430</v>
      </c>
      <c r="D208" s="41" t="s">
        <v>94</v>
      </c>
      <c r="E208" s="85">
        <v>14300</v>
      </c>
      <c r="F208" s="85"/>
      <c r="G208" s="85">
        <f t="shared" si="104"/>
        <v>14300</v>
      </c>
      <c r="H208" s="85"/>
      <c r="I208" s="85">
        <f t="shared" si="110"/>
        <v>14300</v>
      </c>
      <c r="J208" s="85"/>
      <c r="K208" s="85">
        <f t="shared" si="106"/>
        <v>14300</v>
      </c>
      <c r="L208" s="85"/>
      <c r="M208" s="85">
        <f t="shared" si="107"/>
        <v>14300</v>
      </c>
      <c r="N208" s="85"/>
      <c r="O208" s="85">
        <f t="shared" si="108"/>
        <v>14300</v>
      </c>
      <c r="P208" s="85"/>
      <c r="Q208" s="85">
        <f t="shared" si="109"/>
        <v>14300</v>
      </c>
    </row>
    <row r="209" spans="1:17" s="27" customFormat="1" ht="21" customHeight="1">
      <c r="A209" s="71"/>
      <c r="B209" s="86"/>
      <c r="C209" s="74">
        <v>4440</v>
      </c>
      <c r="D209" s="41" t="s">
        <v>88</v>
      </c>
      <c r="E209" s="85">
        <v>440278</v>
      </c>
      <c r="F209" s="85"/>
      <c r="G209" s="85">
        <f t="shared" si="104"/>
        <v>440278</v>
      </c>
      <c r="H209" s="85"/>
      <c r="I209" s="85">
        <f t="shared" si="110"/>
        <v>440278</v>
      </c>
      <c r="J209" s="85"/>
      <c r="K209" s="85">
        <f t="shared" si="106"/>
        <v>440278</v>
      </c>
      <c r="L209" s="85"/>
      <c r="M209" s="85">
        <f t="shared" si="107"/>
        <v>440278</v>
      </c>
      <c r="N209" s="85"/>
      <c r="O209" s="85">
        <f t="shared" si="108"/>
        <v>440278</v>
      </c>
      <c r="P209" s="85"/>
      <c r="Q209" s="85">
        <f t="shared" si="109"/>
        <v>440278</v>
      </c>
    </row>
    <row r="210" spans="1:17" s="27" customFormat="1" ht="27.75" customHeight="1">
      <c r="A210" s="71"/>
      <c r="B210" s="86"/>
      <c r="C210" s="74">
        <v>4700</v>
      </c>
      <c r="D210" s="41" t="s">
        <v>260</v>
      </c>
      <c r="E210" s="85">
        <v>9000</v>
      </c>
      <c r="F210" s="85"/>
      <c r="G210" s="85">
        <f t="shared" si="104"/>
        <v>9000</v>
      </c>
      <c r="H210" s="85"/>
      <c r="I210" s="85">
        <f t="shared" si="110"/>
        <v>9000</v>
      </c>
      <c r="J210" s="85"/>
      <c r="K210" s="85">
        <f t="shared" si="106"/>
        <v>9000</v>
      </c>
      <c r="L210" s="85"/>
      <c r="M210" s="85">
        <f t="shared" si="107"/>
        <v>9000</v>
      </c>
      <c r="N210" s="85"/>
      <c r="O210" s="85">
        <f t="shared" si="108"/>
        <v>9000</v>
      </c>
      <c r="P210" s="85"/>
      <c r="Q210" s="85">
        <f t="shared" si="109"/>
        <v>9000</v>
      </c>
    </row>
    <row r="211" spans="1:17" s="27" customFormat="1" ht="33.75" customHeight="1">
      <c r="A211" s="71"/>
      <c r="B211" s="86"/>
      <c r="C211" s="74">
        <v>4740</v>
      </c>
      <c r="D211" s="41" t="s">
        <v>288</v>
      </c>
      <c r="E211" s="85">
        <v>6800</v>
      </c>
      <c r="F211" s="85"/>
      <c r="G211" s="85">
        <f t="shared" si="104"/>
        <v>6800</v>
      </c>
      <c r="H211" s="85"/>
      <c r="I211" s="85">
        <f t="shared" si="110"/>
        <v>6800</v>
      </c>
      <c r="J211" s="85"/>
      <c r="K211" s="85">
        <f t="shared" si="106"/>
        <v>6800</v>
      </c>
      <c r="L211" s="85"/>
      <c r="M211" s="85">
        <f t="shared" si="107"/>
        <v>6800</v>
      </c>
      <c r="N211" s="85"/>
      <c r="O211" s="85">
        <f t="shared" si="108"/>
        <v>6800</v>
      </c>
      <c r="P211" s="85"/>
      <c r="Q211" s="85">
        <f t="shared" si="109"/>
        <v>6800</v>
      </c>
    </row>
    <row r="212" spans="1:17" s="27" customFormat="1" ht="27" customHeight="1">
      <c r="A212" s="71"/>
      <c r="B212" s="86"/>
      <c r="C212" s="74">
        <v>4750</v>
      </c>
      <c r="D212" s="14" t="s">
        <v>224</v>
      </c>
      <c r="E212" s="85">
        <v>37022</v>
      </c>
      <c r="F212" s="85"/>
      <c r="G212" s="85">
        <f t="shared" si="104"/>
        <v>37022</v>
      </c>
      <c r="H212" s="85"/>
      <c r="I212" s="85">
        <f t="shared" si="110"/>
        <v>37022</v>
      </c>
      <c r="J212" s="85"/>
      <c r="K212" s="85">
        <f t="shared" si="106"/>
        <v>37022</v>
      </c>
      <c r="L212" s="85"/>
      <c r="M212" s="85">
        <f t="shared" si="107"/>
        <v>37022</v>
      </c>
      <c r="N212" s="85"/>
      <c r="O212" s="85">
        <f t="shared" si="108"/>
        <v>37022</v>
      </c>
      <c r="P212" s="85"/>
      <c r="Q212" s="85">
        <f t="shared" si="109"/>
        <v>37022</v>
      </c>
    </row>
    <row r="213" spans="1:17" s="27" customFormat="1" ht="22.5">
      <c r="A213" s="71"/>
      <c r="B213" s="86"/>
      <c r="C213" s="74">
        <v>6050</v>
      </c>
      <c r="D213" s="14" t="s">
        <v>73</v>
      </c>
      <c r="E213" s="85">
        <v>660000</v>
      </c>
      <c r="F213" s="85">
        <v>-110000</v>
      </c>
      <c r="G213" s="85">
        <f t="shared" si="104"/>
        <v>550000</v>
      </c>
      <c r="H213" s="85"/>
      <c r="I213" s="85">
        <f t="shared" si="110"/>
        <v>550000</v>
      </c>
      <c r="J213" s="85"/>
      <c r="K213" s="85">
        <f t="shared" si="106"/>
        <v>550000</v>
      </c>
      <c r="L213" s="85"/>
      <c r="M213" s="85">
        <f t="shared" si="107"/>
        <v>550000</v>
      </c>
      <c r="N213" s="85"/>
      <c r="O213" s="85">
        <f t="shared" si="108"/>
        <v>550000</v>
      </c>
      <c r="P213" s="85">
        <v>63850</v>
      </c>
      <c r="Q213" s="85">
        <f t="shared" si="109"/>
        <v>613850</v>
      </c>
    </row>
    <row r="214" spans="1:17" s="27" customFormat="1" ht="22.5">
      <c r="A214" s="71"/>
      <c r="B214" s="86"/>
      <c r="C214" s="74">
        <v>6060</v>
      </c>
      <c r="D214" s="14" t="s">
        <v>96</v>
      </c>
      <c r="E214" s="85">
        <v>10300</v>
      </c>
      <c r="F214" s="85"/>
      <c r="G214" s="85">
        <f t="shared" si="104"/>
        <v>10300</v>
      </c>
      <c r="H214" s="85"/>
      <c r="I214" s="85">
        <f t="shared" si="110"/>
        <v>10300</v>
      </c>
      <c r="J214" s="85"/>
      <c r="K214" s="85">
        <f t="shared" si="106"/>
        <v>10300</v>
      </c>
      <c r="L214" s="85"/>
      <c r="M214" s="85">
        <f t="shared" si="107"/>
        <v>10300</v>
      </c>
      <c r="N214" s="85"/>
      <c r="O214" s="85">
        <f t="shared" si="108"/>
        <v>10300</v>
      </c>
      <c r="P214" s="85"/>
      <c r="Q214" s="85">
        <f t="shared" si="109"/>
        <v>10300</v>
      </c>
    </row>
    <row r="215" spans="1:17" s="27" customFormat="1" ht="22.5">
      <c r="A215" s="71"/>
      <c r="B215" s="86">
        <v>80103</v>
      </c>
      <c r="C215" s="74"/>
      <c r="D215" s="41" t="s">
        <v>202</v>
      </c>
      <c r="E215" s="85">
        <f aca="true" t="shared" si="111" ref="E215:K215">SUM(E216:E232)</f>
        <v>629238</v>
      </c>
      <c r="F215" s="85">
        <f t="shared" si="111"/>
        <v>0</v>
      </c>
      <c r="G215" s="85">
        <f t="shared" si="111"/>
        <v>629238</v>
      </c>
      <c r="H215" s="85">
        <f t="shared" si="111"/>
        <v>0</v>
      </c>
      <c r="I215" s="85">
        <f t="shared" si="111"/>
        <v>629238</v>
      </c>
      <c r="J215" s="85">
        <f t="shared" si="111"/>
        <v>0</v>
      </c>
      <c r="K215" s="85">
        <f t="shared" si="111"/>
        <v>629238</v>
      </c>
      <c r="L215" s="85">
        <f aca="true" t="shared" si="112" ref="L215:Q215">SUM(L216:L232)</f>
        <v>-2096</v>
      </c>
      <c r="M215" s="85">
        <f t="shared" si="112"/>
        <v>627142</v>
      </c>
      <c r="N215" s="85">
        <f t="shared" si="112"/>
        <v>0</v>
      </c>
      <c r="O215" s="85">
        <f t="shared" si="112"/>
        <v>627142</v>
      </c>
      <c r="P215" s="85">
        <f t="shared" si="112"/>
        <v>0</v>
      </c>
      <c r="Q215" s="85">
        <f t="shared" si="112"/>
        <v>627142</v>
      </c>
    </row>
    <row r="216" spans="1:19" s="27" customFormat="1" ht="56.25">
      <c r="A216" s="71"/>
      <c r="B216" s="86"/>
      <c r="C216" s="90">
        <v>2590</v>
      </c>
      <c r="D216" s="41" t="s">
        <v>351</v>
      </c>
      <c r="E216" s="85">
        <v>41492</v>
      </c>
      <c r="F216" s="85"/>
      <c r="G216" s="85">
        <f>SUM(E216:F216)</f>
        <v>41492</v>
      </c>
      <c r="H216" s="85"/>
      <c r="I216" s="85">
        <f>SUM(G216:H216)</f>
        <v>41492</v>
      </c>
      <c r="J216" s="85"/>
      <c r="K216" s="85">
        <f>SUM(I216:J216)</f>
        <v>41492</v>
      </c>
      <c r="L216" s="85"/>
      <c r="M216" s="85">
        <f>SUM(K216:L216)</f>
        <v>41492</v>
      </c>
      <c r="N216" s="85"/>
      <c r="O216" s="85">
        <f>SUM(M216:N216)</f>
        <v>41492</v>
      </c>
      <c r="P216" s="85"/>
      <c r="Q216" s="85">
        <f>SUM(O216:P216)</f>
        <v>41492</v>
      </c>
      <c r="R216" s="123"/>
      <c r="S216" s="123"/>
    </row>
    <row r="217" spans="1:17" s="27" customFormat="1" ht="22.5">
      <c r="A217" s="71"/>
      <c r="B217" s="86"/>
      <c r="C217" s="90">
        <v>3020</v>
      </c>
      <c r="D217" s="41" t="s">
        <v>189</v>
      </c>
      <c r="E217" s="85">
        <v>22991</v>
      </c>
      <c r="F217" s="85"/>
      <c r="G217" s="85">
        <f aca="true" t="shared" si="113" ref="G217:G232">SUM(E217:F217)</f>
        <v>22991</v>
      </c>
      <c r="H217" s="85"/>
      <c r="I217" s="85">
        <f aca="true" t="shared" si="114" ref="I217:I232">SUM(G217:H217)</f>
        <v>22991</v>
      </c>
      <c r="J217" s="85"/>
      <c r="K217" s="85">
        <f aca="true" t="shared" si="115" ref="K217:K232">SUM(I217:J217)</f>
        <v>22991</v>
      </c>
      <c r="L217" s="85"/>
      <c r="M217" s="85">
        <f aca="true" t="shared" si="116" ref="M217:M232">SUM(K217:L217)</f>
        <v>22991</v>
      </c>
      <c r="N217" s="85"/>
      <c r="O217" s="85">
        <f aca="true" t="shared" si="117" ref="O217:O232">SUM(M217:N217)</f>
        <v>22991</v>
      </c>
      <c r="P217" s="85"/>
      <c r="Q217" s="85">
        <f aca="true" t="shared" si="118" ref="Q217:Q232">SUM(O217:P217)</f>
        <v>22991</v>
      </c>
    </row>
    <row r="218" spans="1:17" s="27" customFormat="1" ht="21" customHeight="1">
      <c r="A218" s="71"/>
      <c r="B218" s="86"/>
      <c r="C218" s="90">
        <v>4010</v>
      </c>
      <c r="D218" s="41" t="s">
        <v>84</v>
      </c>
      <c r="E218" s="85">
        <v>365853</v>
      </c>
      <c r="F218" s="85"/>
      <c r="G218" s="85">
        <f t="shared" si="113"/>
        <v>365853</v>
      </c>
      <c r="H218" s="85"/>
      <c r="I218" s="85">
        <f t="shared" si="114"/>
        <v>365853</v>
      </c>
      <c r="J218" s="85"/>
      <c r="K218" s="85">
        <f t="shared" si="115"/>
        <v>365853</v>
      </c>
      <c r="L218" s="85">
        <v>2052</v>
      </c>
      <c r="M218" s="85">
        <f t="shared" si="116"/>
        <v>367905</v>
      </c>
      <c r="N218" s="85"/>
      <c r="O218" s="85">
        <f t="shared" si="117"/>
        <v>367905</v>
      </c>
      <c r="P218" s="85"/>
      <c r="Q218" s="85">
        <f t="shared" si="118"/>
        <v>367905</v>
      </c>
    </row>
    <row r="219" spans="1:17" s="27" customFormat="1" ht="21" customHeight="1">
      <c r="A219" s="71"/>
      <c r="B219" s="86"/>
      <c r="C219" s="90">
        <v>4040</v>
      </c>
      <c r="D219" s="41" t="s">
        <v>85</v>
      </c>
      <c r="E219" s="85">
        <v>26742</v>
      </c>
      <c r="F219" s="85"/>
      <c r="G219" s="85">
        <f t="shared" si="113"/>
        <v>26742</v>
      </c>
      <c r="H219" s="85"/>
      <c r="I219" s="85">
        <f t="shared" si="114"/>
        <v>26742</v>
      </c>
      <c r="J219" s="85"/>
      <c r="K219" s="85">
        <f t="shared" si="115"/>
        <v>26742</v>
      </c>
      <c r="L219" s="85">
        <v>-4148</v>
      </c>
      <c r="M219" s="85">
        <f t="shared" si="116"/>
        <v>22594</v>
      </c>
      <c r="N219" s="85"/>
      <c r="O219" s="85">
        <f t="shared" si="117"/>
        <v>22594</v>
      </c>
      <c r="P219" s="85"/>
      <c r="Q219" s="85">
        <f t="shared" si="118"/>
        <v>22594</v>
      </c>
    </row>
    <row r="220" spans="1:17" s="27" customFormat="1" ht="21" customHeight="1">
      <c r="A220" s="71"/>
      <c r="B220" s="86"/>
      <c r="C220" s="90">
        <v>4110</v>
      </c>
      <c r="D220" s="41" t="s">
        <v>86</v>
      </c>
      <c r="E220" s="85">
        <v>63619</v>
      </c>
      <c r="F220" s="85"/>
      <c r="G220" s="85">
        <f t="shared" si="113"/>
        <v>63619</v>
      </c>
      <c r="H220" s="85"/>
      <c r="I220" s="85">
        <f t="shared" si="114"/>
        <v>63619</v>
      </c>
      <c r="J220" s="85"/>
      <c r="K220" s="85">
        <f t="shared" si="115"/>
        <v>63619</v>
      </c>
      <c r="L220" s="85"/>
      <c r="M220" s="85">
        <f t="shared" si="116"/>
        <v>63619</v>
      </c>
      <c r="N220" s="85"/>
      <c r="O220" s="85">
        <f t="shared" si="117"/>
        <v>63619</v>
      </c>
      <c r="P220" s="85"/>
      <c r="Q220" s="85">
        <f t="shared" si="118"/>
        <v>63619</v>
      </c>
    </row>
    <row r="221" spans="1:17" s="27" customFormat="1" ht="21" customHeight="1">
      <c r="A221" s="71"/>
      <c r="B221" s="86"/>
      <c r="C221" s="90">
        <v>4120</v>
      </c>
      <c r="D221" s="41" t="s">
        <v>87</v>
      </c>
      <c r="E221" s="85">
        <v>10275</v>
      </c>
      <c r="F221" s="85"/>
      <c r="G221" s="85">
        <f t="shared" si="113"/>
        <v>10275</v>
      </c>
      <c r="H221" s="85"/>
      <c r="I221" s="85">
        <f t="shared" si="114"/>
        <v>10275</v>
      </c>
      <c r="J221" s="85"/>
      <c r="K221" s="85">
        <f t="shared" si="115"/>
        <v>10275</v>
      </c>
      <c r="L221" s="85"/>
      <c r="M221" s="85">
        <f t="shared" si="116"/>
        <v>10275</v>
      </c>
      <c r="N221" s="85"/>
      <c r="O221" s="85">
        <f t="shared" si="117"/>
        <v>10275</v>
      </c>
      <c r="P221" s="85"/>
      <c r="Q221" s="85">
        <f t="shared" si="118"/>
        <v>10275</v>
      </c>
    </row>
    <row r="222" spans="1:17" s="27" customFormat="1" ht="21" customHeight="1">
      <c r="A222" s="71"/>
      <c r="B222" s="86"/>
      <c r="C222" s="90">
        <v>4170</v>
      </c>
      <c r="D222" s="41" t="s">
        <v>191</v>
      </c>
      <c r="E222" s="85">
        <v>16800</v>
      </c>
      <c r="F222" s="85"/>
      <c r="G222" s="85">
        <f t="shared" si="113"/>
        <v>16800</v>
      </c>
      <c r="H222" s="85"/>
      <c r="I222" s="85">
        <f t="shared" si="114"/>
        <v>16800</v>
      </c>
      <c r="J222" s="85"/>
      <c r="K222" s="85">
        <f t="shared" si="115"/>
        <v>16800</v>
      </c>
      <c r="L222" s="85"/>
      <c r="M222" s="85">
        <f t="shared" si="116"/>
        <v>16800</v>
      </c>
      <c r="N222" s="85"/>
      <c r="O222" s="85">
        <f t="shared" si="117"/>
        <v>16800</v>
      </c>
      <c r="P222" s="85"/>
      <c r="Q222" s="85">
        <f t="shared" si="118"/>
        <v>16800</v>
      </c>
    </row>
    <row r="223" spans="1:17" s="27" customFormat="1" ht="21" customHeight="1">
      <c r="A223" s="71"/>
      <c r="B223" s="86"/>
      <c r="C223" s="90">
        <v>4210</v>
      </c>
      <c r="D223" s="41" t="s">
        <v>72</v>
      </c>
      <c r="E223" s="85">
        <f>30280+1000</f>
        <v>31280</v>
      </c>
      <c r="F223" s="85"/>
      <c r="G223" s="85">
        <f t="shared" si="113"/>
        <v>31280</v>
      </c>
      <c r="H223" s="85"/>
      <c r="I223" s="85">
        <f t="shared" si="114"/>
        <v>31280</v>
      </c>
      <c r="J223" s="85"/>
      <c r="K223" s="85">
        <f t="shared" si="115"/>
        <v>31280</v>
      </c>
      <c r="L223" s="85">
        <v>-500</v>
      </c>
      <c r="M223" s="85">
        <f t="shared" si="116"/>
        <v>30780</v>
      </c>
      <c r="N223" s="85">
        <v>500</v>
      </c>
      <c r="O223" s="85">
        <f t="shared" si="117"/>
        <v>31280</v>
      </c>
      <c r="P223" s="85"/>
      <c r="Q223" s="85">
        <f t="shared" si="118"/>
        <v>31280</v>
      </c>
    </row>
    <row r="224" spans="1:17" s="27" customFormat="1" ht="22.5">
      <c r="A224" s="71"/>
      <c r="B224" s="86"/>
      <c r="C224" s="90">
        <v>4240</v>
      </c>
      <c r="D224" s="41" t="s">
        <v>123</v>
      </c>
      <c r="E224" s="85">
        <f>4120+1200+500</f>
        <v>5820</v>
      </c>
      <c r="F224" s="85"/>
      <c r="G224" s="85">
        <f t="shared" si="113"/>
        <v>5820</v>
      </c>
      <c r="H224" s="85"/>
      <c r="I224" s="85">
        <f t="shared" si="114"/>
        <v>5820</v>
      </c>
      <c r="J224" s="85"/>
      <c r="K224" s="85">
        <f t="shared" si="115"/>
        <v>5820</v>
      </c>
      <c r="L224" s="85">
        <v>500</v>
      </c>
      <c r="M224" s="85">
        <f t="shared" si="116"/>
        <v>6320</v>
      </c>
      <c r="N224" s="85">
        <v>-500</v>
      </c>
      <c r="O224" s="85">
        <f t="shared" si="117"/>
        <v>5820</v>
      </c>
      <c r="P224" s="85"/>
      <c r="Q224" s="85">
        <f t="shared" si="118"/>
        <v>5820</v>
      </c>
    </row>
    <row r="225" spans="1:17" s="27" customFormat="1" ht="21" customHeight="1">
      <c r="A225" s="71"/>
      <c r="B225" s="86"/>
      <c r="C225" s="90">
        <v>4260</v>
      </c>
      <c r="D225" s="41" t="s">
        <v>95</v>
      </c>
      <c r="E225" s="85">
        <v>10740</v>
      </c>
      <c r="F225" s="85"/>
      <c r="G225" s="85">
        <f t="shared" si="113"/>
        <v>10740</v>
      </c>
      <c r="H225" s="85"/>
      <c r="I225" s="85">
        <f t="shared" si="114"/>
        <v>10740</v>
      </c>
      <c r="J225" s="85"/>
      <c r="K225" s="85">
        <f t="shared" si="115"/>
        <v>10740</v>
      </c>
      <c r="L225" s="85"/>
      <c r="M225" s="85">
        <f t="shared" si="116"/>
        <v>10740</v>
      </c>
      <c r="N225" s="85"/>
      <c r="O225" s="85">
        <f t="shared" si="117"/>
        <v>10740</v>
      </c>
      <c r="P225" s="85"/>
      <c r="Q225" s="85">
        <f t="shared" si="118"/>
        <v>10740</v>
      </c>
    </row>
    <row r="226" spans="1:17" s="27" customFormat="1" ht="21" customHeight="1">
      <c r="A226" s="71"/>
      <c r="B226" s="86"/>
      <c r="C226" s="90">
        <v>4270</v>
      </c>
      <c r="D226" s="41" t="s">
        <v>78</v>
      </c>
      <c r="E226" s="85">
        <v>2000</v>
      </c>
      <c r="F226" s="85"/>
      <c r="G226" s="85">
        <f t="shared" si="113"/>
        <v>2000</v>
      </c>
      <c r="H226" s="85"/>
      <c r="I226" s="85">
        <f t="shared" si="114"/>
        <v>2000</v>
      </c>
      <c r="J226" s="85"/>
      <c r="K226" s="85">
        <f t="shared" si="115"/>
        <v>2000</v>
      </c>
      <c r="L226" s="85"/>
      <c r="M226" s="85">
        <f t="shared" si="116"/>
        <v>2000</v>
      </c>
      <c r="N226" s="85"/>
      <c r="O226" s="85">
        <f t="shared" si="117"/>
        <v>2000</v>
      </c>
      <c r="P226" s="85"/>
      <c r="Q226" s="85">
        <f t="shared" si="118"/>
        <v>2000</v>
      </c>
    </row>
    <row r="227" spans="1:17" s="27" customFormat="1" ht="21" customHeight="1">
      <c r="A227" s="71"/>
      <c r="B227" s="86"/>
      <c r="C227" s="90">
        <v>4280</v>
      </c>
      <c r="D227" s="41" t="s">
        <v>198</v>
      </c>
      <c r="E227" s="85">
        <v>600</v>
      </c>
      <c r="F227" s="85"/>
      <c r="G227" s="85">
        <f t="shared" si="113"/>
        <v>600</v>
      </c>
      <c r="H227" s="85"/>
      <c r="I227" s="85">
        <f t="shared" si="114"/>
        <v>600</v>
      </c>
      <c r="J227" s="85"/>
      <c r="K227" s="85">
        <f t="shared" si="115"/>
        <v>600</v>
      </c>
      <c r="L227" s="85"/>
      <c r="M227" s="85">
        <f t="shared" si="116"/>
        <v>600</v>
      </c>
      <c r="N227" s="85"/>
      <c r="O227" s="85">
        <f t="shared" si="117"/>
        <v>600</v>
      </c>
      <c r="P227" s="85"/>
      <c r="Q227" s="85">
        <f t="shared" si="118"/>
        <v>600</v>
      </c>
    </row>
    <row r="228" spans="1:17" s="27" customFormat="1" ht="21" customHeight="1">
      <c r="A228" s="71"/>
      <c r="B228" s="86"/>
      <c r="C228" s="90">
        <v>4300</v>
      </c>
      <c r="D228" s="41" t="s">
        <v>79</v>
      </c>
      <c r="E228" s="85">
        <v>2600</v>
      </c>
      <c r="F228" s="85"/>
      <c r="G228" s="85">
        <f t="shared" si="113"/>
        <v>2600</v>
      </c>
      <c r="H228" s="85"/>
      <c r="I228" s="85">
        <f t="shared" si="114"/>
        <v>2600</v>
      </c>
      <c r="J228" s="85"/>
      <c r="K228" s="85">
        <f t="shared" si="115"/>
        <v>2600</v>
      </c>
      <c r="L228" s="85"/>
      <c r="M228" s="85">
        <f t="shared" si="116"/>
        <v>2600</v>
      </c>
      <c r="N228" s="85"/>
      <c r="O228" s="85">
        <f t="shared" si="117"/>
        <v>2600</v>
      </c>
      <c r="P228" s="85"/>
      <c r="Q228" s="85">
        <f t="shared" si="118"/>
        <v>2600</v>
      </c>
    </row>
    <row r="229" spans="1:17" s="27" customFormat="1" ht="45">
      <c r="A229" s="71"/>
      <c r="B229" s="86"/>
      <c r="C229" s="90">
        <v>4370</v>
      </c>
      <c r="D229" s="41" t="s">
        <v>494</v>
      </c>
      <c r="E229" s="85">
        <v>2000</v>
      </c>
      <c r="F229" s="85"/>
      <c r="G229" s="85">
        <f t="shared" si="113"/>
        <v>2000</v>
      </c>
      <c r="H229" s="85"/>
      <c r="I229" s="85">
        <f t="shared" si="114"/>
        <v>2000</v>
      </c>
      <c r="J229" s="85"/>
      <c r="K229" s="85">
        <f t="shared" si="115"/>
        <v>2000</v>
      </c>
      <c r="L229" s="85"/>
      <c r="M229" s="85">
        <f t="shared" si="116"/>
        <v>2000</v>
      </c>
      <c r="N229" s="85"/>
      <c r="O229" s="85">
        <f t="shared" si="117"/>
        <v>2000</v>
      </c>
      <c r="P229" s="85"/>
      <c r="Q229" s="85">
        <f t="shared" si="118"/>
        <v>2000</v>
      </c>
    </row>
    <row r="230" spans="1:17" s="27" customFormat="1" ht="22.5">
      <c r="A230" s="71"/>
      <c r="B230" s="86"/>
      <c r="C230" s="90">
        <v>4390</v>
      </c>
      <c r="D230" s="41" t="s">
        <v>266</v>
      </c>
      <c r="E230" s="85">
        <v>1000</v>
      </c>
      <c r="F230" s="85"/>
      <c r="G230" s="85">
        <f t="shared" si="113"/>
        <v>1000</v>
      </c>
      <c r="H230" s="85"/>
      <c r="I230" s="85">
        <f t="shared" si="114"/>
        <v>1000</v>
      </c>
      <c r="J230" s="85"/>
      <c r="K230" s="85">
        <f t="shared" si="115"/>
        <v>1000</v>
      </c>
      <c r="L230" s="85"/>
      <c r="M230" s="85">
        <f t="shared" si="116"/>
        <v>1000</v>
      </c>
      <c r="N230" s="85"/>
      <c r="O230" s="85">
        <f t="shared" si="117"/>
        <v>1000</v>
      </c>
      <c r="P230" s="85"/>
      <c r="Q230" s="85">
        <f t="shared" si="118"/>
        <v>1000</v>
      </c>
    </row>
    <row r="231" spans="1:17" s="27" customFormat="1" ht="22.5">
      <c r="A231" s="71"/>
      <c r="B231" s="86"/>
      <c r="C231" s="90">
        <v>4440</v>
      </c>
      <c r="D231" s="41" t="s">
        <v>114</v>
      </c>
      <c r="E231" s="85">
        <v>25226</v>
      </c>
      <c r="F231" s="85"/>
      <c r="G231" s="85">
        <f t="shared" si="113"/>
        <v>25226</v>
      </c>
      <c r="H231" s="85"/>
      <c r="I231" s="85">
        <f t="shared" si="114"/>
        <v>25226</v>
      </c>
      <c r="J231" s="85"/>
      <c r="K231" s="85">
        <f t="shared" si="115"/>
        <v>25226</v>
      </c>
      <c r="L231" s="85"/>
      <c r="M231" s="85">
        <f t="shared" si="116"/>
        <v>25226</v>
      </c>
      <c r="N231" s="85"/>
      <c r="O231" s="85">
        <f t="shared" si="117"/>
        <v>25226</v>
      </c>
      <c r="P231" s="85"/>
      <c r="Q231" s="85">
        <f t="shared" si="118"/>
        <v>25226</v>
      </c>
    </row>
    <row r="232" spans="1:17" s="27" customFormat="1" ht="27" customHeight="1">
      <c r="A232" s="71"/>
      <c r="B232" s="86"/>
      <c r="C232" s="90">
        <v>4740</v>
      </c>
      <c r="D232" s="41" t="s">
        <v>288</v>
      </c>
      <c r="E232" s="85">
        <v>200</v>
      </c>
      <c r="F232" s="85"/>
      <c r="G232" s="85">
        <f t="shared" si="113"/>
        <v>200</v>
      </c>
      <c r="H232" s="85"/>
      <c r="I232" s="85">
        <f t="shared" si="114"/>
        <v>200</v>
      </c>
      <c r="J232" s="85"/>
      <c r="K232" s="85">
        <f t="shared" si="115"/>
        <v>200</v>
      </c>
      <c r="L232" s="85"/>
      <c r="M232" s="85">
        <f t="shared" si="116"/>
        <v>200</v>
      </c>
      <c r="N232" s="85"/>
      <c r="O232" s="85">
        <f t="shared" si="117"/>
        <v>200</v>
      </c>
      <c r="P232" s="85"/>
      <c r="Q232" s="85">
        <f t="shared" si="118"/>
        <v>200</v>
      </c>
    </row>
    <row r="233" spans="1:17" s="27" customFormat="1" ht="21" customHeight="1">
      <c r="A233" s="92"/>
      <c r="B233" s="86" t="s">
        <v>113</v>
      </c>
      <c r="C233" s="90"/>
      <c r="D233" s="41" t="s">
        <v>124</v>
      </c>
      <c r="E233" s="85">
        <f aca="true" t="shared" si="119" ref="E233:J233">SUM(E235:E237)</f>
        <v>3712917</v>
      </c>
      <c r="F233" s="85">
        <f t="shared" si="119"/>
        <v>40000</v>
      </c>
      <c r="G233" s="85">
        <f t="shared" si="119"/>
        <v>3752917</v>
      </c>
      <c r="H233" s="85">
        <f t="shared" si="119"/>
        <v>0</v>
      </c>
      <c r="I233" s="85">
        <f t="shared" si="119"/>
        <v>3752917</v>
      </c>
      <c r="J233" s="85">
        <f t="shared" si="119"/>
        <v>0</v>
      </c>
      <c r="K233" s="85">
        <f aca="true" t="shared" si="120" ref="K233:Q233">SUM(K234:K237)</f>
        <v>3752917</v>
      </c>
      <c r="L233" s="85">
        <f t="shared" si="120"/>
        <v>7860</v>
      </c>
      <c r="M233" s="85">
        <f t="shared" si="120"/>
        <v>3760777</v>
      </c>
      <c r="N233" s="85">
        <f t="shared" si="120"/>
        <v>0</v>
      </c>
      <c r="O233" s="85">
        <f t="shared" si="120"/>
        <v>3760777</v>
      </c>
      <c r="P233" s="85">
        <f t="shared" si="120"/>
        <v>0</v>
      </c>
      <c r="Q233" s="85">
        <f t="shared" si="120"/>
        <v>3760777</v>
      </c>
    </row>
    <row r="234" spans="1:17" s="27" customFormat="1" ht="54" customHeight="1">
      <c r="A234" s="92"/>
      <c r="B234" s="86"/>
      <c r="C234" s="90">
        <v>2310</v>
      </c>
      <c r="D234" s="41" t="s">
        <v>431</v>
      </c>
      <c r="E234" s="85"/>
      <c r="F234" s="85"/>
      <c r="G234" s="85"/>
      <c r="H234" s="85"/>
      <c r="I234" s="85"/>
      <c r="J234" s="85"/>
      <c r="K234" s="85">
        <v>0</v>
      </c>
      <c r="L234" s="85">
        <v>7860</v>
      </c>
      <c r="M234" s="85">
        <f>SUM(K234:L234)</f>
        <v>7860</v>
      </c>
      <c r="N234" s="85"/>
      <c r="O234" s="85">
        <f>SUM(M234:N234)</f>
        <v>7860</v>
      </c>
      <c r="P234" s="85"/>
      <c r="Q234" s="85">
        <f>SUM(O234:P234)</f>
        <v>7860</v>
      </c>
    </row>
    <row r="235" spans="1:19" s="27" customFormat="1" ht="27" customHeight="1">
      <c r="A235" s="92"/>
      <c r="B235" s="86"/>
      <c r="C235" s="90">
        <v>2510</v>
      </c>
      <c r="D235" s="41" t="s">
        <v>125</v>
      </c>
      <c r="E235" s="85">
        <v>3632917</v>
      </c>
      <c r="F235" s="85"/>
      <c r="G235" s="85">
        <f>SUM(E235:F235)</f>
        <v>3632917</v>
      </c>
      <c r="H235" s="85"/>
      <c r="I235" s="85">
        <f>SUM(G235:H235)</f>
        <v>3632917</v>
      </c>
      <c r="J235" s="85"/>
      <c r="K235" s="85">
        <f>SUM(I235:J235)</f>
        <v>3632917</v>
      </c>
      <c r="L235" s="85"/>
      <c r="M235" s="85">
        <f>SUM(K235:L235)</f>
        <v>3632917</v>
      </c>
      <c r="N235" s="85"/>
      <c r="O235" s="85">
        <f>SUM(M235:N235)</f>
        <v>3632917</v>
      </c>
      <c r="P235" s="85"/>
      <c r="Q235" s="85">
        <f>SUM(O235:P235)</f>
        <v>3632917</v>
      </c>
      <c r="R235" s="123"/>
      <c r="S235" s="123"/>
    </row>
    <row r="236" spans="1:19" s="27" customFormat="1" ht="18.75" customHeight="1">
      <c r="A236" s="92"/>
      <c r="B236" s="86"/>
      <c r="C236" s="90">
        <v>4170</v>
      </c>
      <c r="D236" s="41" t="s">
        <v>191</v>
      </c>
      <c r="E236" s="85"/>
      <c r="F236" s="85"/>
      <c r="G236" s="85"/>
      <c r="H236" s="85"/>
      <c r="I236" s="85"/>
      <c r="J236" s="85"/>
      <c r="K236" s="85">
        <v>0</v>
      </c>
      <c r="L236" s="85">
        <v>1000</v>
      </c>
      <c r="M236" s="85">
        <f>SUM(K236:L236)</f>
        <v>1000</v>
      </c>
      <c r="N236" s="85"/>
      <c r="O236" s="85">
        <f>SUM(M236:N236)</f>
        <v>1000</v>
      </c>
      <c r="P236" s="85"/>
      <c r="Q236" s="85">
        <f>SUM(O236:P236)</f>
        <v>1000</v>
      </c>
      <c r="R236" s="123"/>
      <c r="S236" s="123"/>
    </row>
    <row r="237" spans="1:17" s="27" customFormat="1" ht="21" customHeight="1">
      <c r="A237" s="92"/>
      <c r="B237" s="86"/>
      <c r="C237" s="90">
        <v>4270</v>
      </c>
      <c r="D237" s="41" t="s">
        <v>78</v>
      </c>
      <c r="E237" s="85">
        <v>80000</v>
      </c>
      <c r="F237" s="85">
        <v>40000</v>
      </c>
      <c r="G237" s="85">
        <f>SUM(E237:F237)</f>
        <v>120000</v>
      </c>
      <c r="H237" s="85"/>
      <c r="I237" s="85">
        <f>SUM(G237:H237)</f>
        <v>120000</v>
      </c>
      <c r="J237" s="85"/>
      <c r="K237" s="85">
        <f>SUM(I237:J237)</f>
        <v>120000</v>
      </c>
      <c r="L237" s="85">
        <v>-1000</v>
      </c>
      <c r="M237" s="85">
        <f>SUM(K237:L237)</f>
        <v>119000</v>
      </c>
      <c r="N237" s="85"/>
      <c r="O237" s="85">
        <f>SUM(M237:N237)</f>
        <v>119000</v>
      </c>
      <c r="P237" s="85"/>
      <c r="Q237" s="85">
        <f>SUM(O237:P237)</f>
        <v>119000</v>
      </c>
    </row>
    <row r="238" spans="1:17" s="27" customFormat="1" ht="21" customHeight="1">
      <c r="A238" s="92"/>
      <c r="B238" s="86" t="s">
        <v>115</v>
      </c>
      <c r="C238" s="90"/>
      <c r="D238" s="41" t="s">
        <v>52</v>
      </c>
      <c r="E238" s="85">
        <f aca="true" t="shared" si="121" ref="E238:K238">SUM(E239:E262)</f>
        <v>11879369</v>
      </c>
      <c r="F238" s="85">
        <f t="shared" si="121"/>
        <v>-791184</v>
      </c>
      <c r="G238" s="85">
        <f t="shared" si="121"/>
        <v>11088185</v>
      </c>
      <c r="H238" s="85">
        <f t="shared" si="121"/>
        <v>0</v>
      </c>
      <c r="I238" s="85">
        <f t="shared" si="121"/>
        <v>11088185</v>
      </c>
      <c r="J238" s="85">
        <f t="shared" si="121"/>
        <v>0</v>
      </c>
      <c r="K238" s="85">
        <f t="shared" si="121"/>
        <v>11088185</v>
      </c>
      <c r="L238" s="85">
        <f aca="true" t="shared" si="122" ref="L238:Q238">SUM(L239:L262)</f>
        <v>29100</v>
      </c>
      <c r="M238" s="85">
        <f t="shared" si="122"/>
        <v>11117285</v>
      </c>
      <c r="N238" s="85">
        <f t="shared" si="122"/>
        <v>0</v>
      </c>
      <c r="O238" s="85">
        <f t="shared" si="122"/>
        <v>11117285</v>
      </c>
      <c r="P238" s="85">
        <f t="shared" si="122"/>
        <v>0</v>
      </c>
      <c r="Q238" s="85">
        <f t="shared" si="122"/>
        <v>11117285</v>
      </c>
    </row>
    <row r="239" spans="1:19" s="27" customFormat="1" ht="56.25">
      <c r="A239" s="92"/>
      <c r="B239" s="86"/>
      <c r="C239" s="90">
        <v>2590</v>
      </c>
      <c r="D239" s="41" t="s">
        <v>265</v>
      </c>
      <c r="E239" s="85">
        <v>263533</v>
      </c>
      <c r="F239" s="85"/>
      <c r="G239" s="85">
        <f>SUM(E239:F239)</f>
        <v>263533</v>
      </c>
      <c r="H239" s="85"/>
      <c r="I239" s="85">
        <f>SUM(G239:H239)</f>
        <v>263533</v>
      </c>
      <c r="J239" s="85"/>
      <c r="K239" s="85">
        <f>SUM(I239:J239)</f>
        <v>263533</v>
      </c>
      <c r="L239" s="85"/>
      <c r="M239" s="85">
        <f>SUM(K239:L239)</f>
        <v>263533</v>
      </c>
      <c r="N239" s="85"/>
      <c r="O239" s="85">
        <f>SUM(M239:N239)</f>
        <v>263533</v>
      </c>
      <c r="P239" s="85"/>
      <c r="Q239" s="85">
        <f>SUM(O239:P239)</f>
        <v>263533</v>
      </c>
      <c r="R239" s="123"/>
      <c r="S239" s="123"/>
    </row>
    <row r="240" spans="1:17" s="27" customFormat="1" ht="22.5">
      <c r="A240" s="71"/>
      <c r="B240" s="86"/>
      <c r="C240" s="90">
        <v>3020</v>
      </c>
      <c r="D240" s="41" t="s">
        <v>189</v>
      </c>
      <c r="E240" s="85">
        <v>60743</v>
      </c>
      <c r="F240" s="85"/>
      <c r="G240" s="85">
        <f aca="true" t="shared" si="123" ref="G240:G262">SUM(E240:F240)</f>
        <v>60743</v>
      </c>
      <c r="H240" s="85"/>
      <c r="I240" s="85">
        <f aca="true" t="shared" si="124" ref="I240:I262">SUM(G240:H240)</f>
        <v>60743</v>
      </c>
      <c r="J240" s="85"/>
      <c r="K240" s="85">
        <f aca="true" t="shared" si="125" ref="K240:K262">SUM(I240:J240)</f>
        <v>60743</v>
      </c>
      <c r="L240" s="85"/>
      <c r="M240" s="85">
        <f aca="true" t="shared" si="126" ref="M240:M262">SUM(K240:L240)</f>
        <v>60743</v>
      </c>
      <c r="N240" s="85"/>
      <c r="O240" s="85">
        <f aca="true" t="shared" si="127" ref="O240:O262">SUM(M240:N240)</f>
        <v>60743</v>
      </c>
      <c r="P240" s="85"/>
      <c r="Q240" s="85">
        <f aca="true" t="shared" si="128" ref="Q240:Q262">SUM(O240:P240)</f>
        <v>60743</v>
      </c>
    </row>
    <row r="241" spans="1:17" s="27" customFormat="1" ht="21" customHeight="1">
      <c r="A241" s="71"/>
      <c r="B241" s="86"/>
      <c r="C241" s="90">
        <v>4010</v>
      </c>
      <c r="D241" s="41" t="s">
        <v>84</v>
      </c>
      <c r="E241" s="85">
        <v>3653633</v>
      </c>
      <c r="F241" s="85"/>
      <c r="G241" s="85">
        <f t="shared" si="123"/>
        <v>3653633</v>
      </c>
      <c r="H241" s="85"/>
      <c r="I241" s="85">
        <f t="shared" si="124"/>
        <v>3653633</v>
      </c>
      <c r="J241" s="85"/>
      <c r="K241" s="85">
        <f t="shared" si="125"/>
        <v>3653633</v>
      </c>
      <c r="L241" s="85">
        <v>10212</v>
      </c>
      <c r="M241" s="85">
        <f t="shared" si="126"/>
        <v>3663845</v>
      </c>
      <c r="N241" s="85"/>
      <c r="O241" s="85">
        <f t="shared" si="127"/>
        <v>3663845</v>
      </c>
      <c r="P241" s="85"/>
      <c r="Q241" s="85">
        <f t="shared" si="128"/>
        <v>3663845</v>
      </c>
    </row>
    <row r="242" spans="1:17" s="27" customFormat="1" ht="21" customHeight="1">
      <c r="A242" s="71"/>
      <c r="B242" s="86"/>
      <c r="C242" s="90">
        <v>4040</v>
      </c>
      <c r="D242" s="41" t="s">
        <v>85</v>
      </c>
      <c r="E242" s="85">
        <v>299409</v>
      </c>
      <c r="F242" s="85"/>
      <c r="G242" s="85">
        <f t="shared" si="123"/>
        <v>299409</v>
      </c>
      <c r="H242" s="85"/>
      <c r="I242" s="85">
        <f t="shared" si="124"/>
        <v>299409</v>
      </c>
      <c r="J242" s="85"/>
      <c r="K242" s="85">
        <f t="shared" si="125"/>
        <v>299409</v>
      </c>
      <c r="L242" s="85">
        <v>-10212</v>
      </c>
      <c r="M242" s="85">
        <f t="shared" si="126"/>
        <v>289197</v>
      </c>
      <c r="N242" s="85"/>
      <c r="O242" s="85">
        <f t="shared" si="127"/>
        <v>289197</v>
      </c>
      <c r="P242" s="85"/>
      <c r="Q242" s="85">
        <f t="shared" si="128"/>
        <v>289197</v>
      </c>
    </row>
    <row r="243" spans="1:17" s="27" customFormat="1" ht="21" customHeight="1">
      <c r="A243" s="71"/>
      <c r="B243" s="86"/>
      <c r="C243" s="90">
        <v>4110</v>
      </c>
      <c r="D243" s="41" t="s">
        <v>86</v>
      </c>
      <c r="E243" s="85">
        <v>585888</v>
      </c>
      <c r="F243" s="85"/>
      <c r="G243" s="85">
        <f t="shared" si="123"/>
        <v>585888</v>
      </c>
      <c r="H243" s="85"/>
      <c r="I243" s="85">
        <f t="shared" si="124"/>
        <v>585888</v>
      </c>
      <c r="J243" s="85"/>
      <c r="K243" s="85">
        <f t="shared" si="125"/>
        <v>585888</v>
      </c>
      <c r="L243" s="85"/>
      <c r="M243" s="85">
        <f t="shared" si="126"/>
        <v>585888</v>
      </c>
      <c r="N243" s="85"/>
      <c r="O243" s="85">
        <f t="shared" si="127"/>
        <v>585888</v>
      </c>
      <c r="P243" s="85"/>
      <c r="Q243" s="85">
        <f t="shared" si="128"/>
        <v>585888</v>
      </c>
    </row>
    <row r="244" spans="1:17" s="27" customFormat="1" ht="21" customHeight="1">
      <c r="A244" s="71"/>
      <c r="B244" s="86"/>
      <c r="C244" s="90">
        <v>4120</v>
      </c>
      <c r="D244" s="41" t="s">
        <v>87</v>
      </c>
      <c r="E244" s="85">
        <v>99409</v>
      </c>
      <c r="F244" s="85"/>
      <c r="G244" s="85">
        <f t="shared" si="123"/>
        <v>99409</v>
      </c>
      <c r="H244" s="85"/>
      <c r="I244" s="85">
        <f t="shared" si="124"/>
        <v>99409</v>
      </c>
      <c r="J244" s="85"/>
      <c r="K244" s="85">
        <f t="shared" si="125"/>
        <v>99409</v>
      </c>
      <c r="L244" s="85"/>
      <c r="M244" s="85">
        <f t="shared" si="126"/>
        <v>99409</v>
      </c>
      <c r="N244" s="85"/>
      <c r="O244" s="85">
        <f t="shared" si="127"/>
        <v>99409</v>
      </c>
      <c r="P244" s="85"/>
      <c r="Q244" s="85">
        <f t="shared" si="128"/>
        <v>99409</v>
      </c>
    </row>
    <row r="245" spans="1:17" s="27" customFormat="1" ht="21" customHeight="1">
      <c r="A245" s="71"/>
      <c r="B245" s="86"/>
      <c r="C245" s="90">
        <v>4170</v>
      </c>
      <c r="D245" s="41" t="s">
        <v>191</v>
      </c>
      <c r="E245" s="85">
        <v>12900</v>
      </c>
      <c r="F245" s="85"/>
      <c r="G245" s="85">
        <f t="shared" si="123"/>
        <v>12900</v>
      </c>
      <c r="H245" s="85"/>
      <c r="I245" s="85">
        <f t="shared" si="124"/>
        <v>12900</v>
      </c>
      <c r="J245" s="85"/>
      <c r="K245" s="85">
        <f t="shared" si="125"/>
        <v>12900</v>
      </c>
      <c r="L245" s="85">
        <v>3500</v>
      </c>
      <c r="M245" s="85">
        <f t="shared" si="126"/>
        <v>16400</v>
      </c>
      <c r="N245" s="85"/>
      <c r="O245" s="85">
        <f t="shared" si="127"/>
        <v>16400</v>
      </c>
      <c r="P245" s="85"/>
      <c r="Q245" s="85">
        <f t="shared" si="128"/>
        <v>16400</v>
      </c>
    </row>
    <row r="246" spans="1:17" s="27" customFormat="1" ht="21" customHeight="1">
      <c r="A246" s="71"/>
      <c r="B246" s="86"/>
      <c r="C246" s="90">
        <v>4210</v>
      </c>
      <c r="D246" s="41" t="s">
        <v>92</v>
      </c>
      <c r="E246" s="85">
        <f>169800+500</f>
        <v>170300</v>
      </c>
      <c r="F246" s="85"/>
      <c r="G246" s="85">
        <f t="shared" si="123"/>
        <v>170300</v>
      </c>
      <c r="H246" s="85"/>
      <c r="I246" s="85">
        <f t="shared" si="124"/>
        <v>170300</v>
      </c>
      <c r="J246" s="85"/>
      <c r="K246" s="85">
        <f t="shared" si="125"/>
        <v>170300</v>
      </c>
      <c r="L246" s="85">
        <f>300+300</f>
        <v>600</v>
      </c>
      <c r="M246" s="85">
        <f t="shared" si="126"/>
        <v>170900</v>
      </c>
      <c r="N246" s="85"/>
      <c r="O246" s="85">
        <f t="shared" si="127"/>
        <v>170900</v>
      </c>
      <c r="P246" s="85"/>
      <c r="Q246" s="85">
        <f t="shared" si="128"/>
        <v>170900</v>
      </c>
    </row>
    <row r="247" spans="1:17" s="27" customFormat="1" ht="26.25" customHeight="1">
      <c r="A247" s="71"/>
      <c r="B247" s="86"/>
      <c r="C247" s="90">
        <v>4230</v>
      </c>
      <c r="D247" s="41" t="s">
        <v>258</v>
      </c>
      <c r="E247" s="85">
        <v>1600</v>
      </c>
      <c r="F247" s="85"/>
      <c r="G247" s="85">
        <f t="shared" si="123"/>
        <v>1600</v>
      </c>
      <c r="H247" s="85"/>
      <c r="I247" s="85">
        <f t="shared" si="124"/>
        <v>1600</v>
      </c>
      <c r="J247" s="85"/>
      <c r="K247" s="85">
        <f t="shared" si="125"/>
        <v>1600</v>
      </c>
      <c r="L247" s="85"/>
      <c r="M247" s="85">
        <f t="shared" si="126"/>
        <v>1600</v>
      </c>
      <c r="N247" s="85"/>
      <c r="O247" s="85">
        <f t="shared" si="127"/>
        <v>1600</v>
      </c>
      <c r="P247" s="85"/>
      <c r="Q247" s="85">
        <f t="shared" si="128"/>
        <v>1600</v>
      </c>
    </row>
    <row r="248" spans="1:17" s="27" customFormat="1" ht="22.5">
      <c r="A248" s="71"/>
      <c r="B248" s="86"/>
      <c r="C248" s="90">
        <v>4240</v>
      </c>
      <c r="D248" s="41" t="s">
        <v>123</v>
      </c>
      <c r="E248" s="85">
        <v>9500</v>
      </c>
      <c r="F248" s="85"/>
      <c r="G248" s="85">
        <f t="shared" si="123"/>
        <v>9500</v>
      </c>
      <c r="H248" s="85"/>
      <c r="I248" s="85">
        <f t="shared" si="124"/>
        <v>9500</v>
      </c>
      <c r="J248" s="85"/>
      <c r="K248" s="85">
        <f t="shared" si="125"/>
        <v>9500</v>
      </c>
      <c r="L248" s="85"/>
      <c r="M248" s="85">
        <f t="shared" si="126"/>
        <v>9500</v>
      </c>
      <c r="N248" s="85"/>
      <c r="O248" s="85">
        <f t="shared" si="127"/>
        <v>9500</v>
      </c>
      <c r="P248" s="85"/>
      <c r="Q248" s="85">
        <f t="shared" si="128"/>
        <v>9500</v>
      </c>
    </row>
    <row r="249" spans="1:17" s="27" customFormat="1" ht="21" customHeight="1">
      <c r="A249" s="71"/>
      <c r="B249" s="86"/>
      <c r="C249" s="90">
        <v>4260</v>
      </c>
      <c r="D249" s="41" t="s">
        <v>95</v>
      </c>
      <c r="E249" s="85">
        <v>316000</v>
      </c>
      <c r="F249" s="85"/>
      <c r="G249" s="85">
        <f t="shared" si="123"/>
        <v>316000</v>
      </c>
      <c r="H249" s="85"/>
      <c r="I249" s="85">
        <f t="shared" si="124"/>
        <v>316000</v>
      </c>
      <c r="J249" s="85"/>
      <c r="K249" s="85">
        <f t="shared" si="125"/>
        <v>316000</v>
      </c>
      <c r="L249" s="85"/>
      <c r="M249" s="85">
        <f t="shared" si="126"/>
        <v>316000</v>
      </c>
      <c r="N249" s="85"/>
      <c r="O249" s="85">
        <f t="shared" si="127"/>
        <v>316000</v>
      </c>
      <c r="P249" s="85"/>
      <c r="Q249" s="85">
        <f t="shared" si="128"/>
        <v>316000</v>
      </c>
    </row>
    <row r="250" spans="1:17" s="27" customFormat="1" ht="21" customHeight="1">
      <c r="A250" s="71"/>
      <c r="B250" s="86"/>
      <c r="C250" s="90">
        <v>4270</v>
      </c>
      <c r="D250" s="41" t="s">
        <v>78</v>
      </c>
      <c r="E250" s="85">
        <f>59680+120000</f>
        <v>179680</v>
      </c>
      <c r="F250" s="85">
        <v>-40000</v>
      </c>
      <c r="G250" s="85">
        <f t="shared" si="123"/>
        <v>139680</v>
      </c>
      <c r="H250" s="85"/>
      <c r="I250" s="85">
        <f t="shared" si="124"/>
        <v>139680</v>
      </c>
      <c r="J250" s="85"/>
      <c r="K250" s="85">
        <f t="shared" si="125"/>
        <v>139680</v>
      </c>
      <c r="L250" s="85">
        <v>-3500</v>
      </c>
      <c r="M250" s="85">
        <f t="shared" si="126"/>
        <v>136180</v>
      </c>
      <c r="N250" s="85"/>
      <c r="O250" s="85">
        <f t="shared" si="127"/>
        <v>136180</v>
      </c>
      <c r="P250" s="85"/>
      <c r="Q250" s="85">
        <f t="shared" si="128"/>
        <v>136180</v>
      </c>
    </row>
    <row r="251" spans="1:17" s="27" customFormat="1" ht="21" customHeight="1">
      <c r="A251" s="71"/>
      <c r="B251" s="86"/>
      <c r="C251" s="90">
        <v>4280</v>
      </c>
      <c r="D251" s="41" t="s">
        <v>198</v>
      </c>
      <c r="E251" s="85">
        <v>9700</v>
      </c>
      <c r="F251" s="85"/>
      <c r="G251" s="85">
        <f t="shared" si="123"/>
        <v>9700</v>
      </c>
      <c r="H251" s="85"/>
      <c r="I251" s="85">
        <f t="shared" si="124"/>
        <v>9700</v>
      </c>
      <c r="J251" s="85"/>
      <c r="K251" s="85">
        <f t="shared" si="125"/>
        <v>9700</v>
      </c>
      <c r="L251" s="85"/>
      <c r="M251" s="85">
        <f t="shared" si="126"/>
        <v>9700</v>
      </c>
      <c r="N251" s="85"/>
      <c r="O251" s="85">
        <f t="shared" si="127"/>
        <v>9700</v>
      </c>
      <c r="P251" s="85"/>
      <c r="Q251" s="85">
        <f t="shared" si="128"/>
        <v>9700</v>
      </c>
    </row>
    <row r="252" spans="1:17" s="27" customFormat="1" ht="21" customHeight="1">
      <c r="A252" s="71"/>
      <c r="B252" s="86"/>
      <c r="C252" s="90">
        <v>4300</v>
      </c>
      <c r="D252" s="41" t="s">
        <v>79</v>
      </c>
      <c r="E252" s="85">
        <v>42100</v>
      </c>
      <c r="F252" s="85"/>
      <c r="G252" s="85">
        <f t="shared" si="123"/>
        <v>42100</v>
      </c>
      <c r="H252" s="85"/>
      <c r="I252" s="85">
        <f t="shared" si="124"/>
        <v>42100</v>
      </c>
      <c r="J252" s="85"/>
      <c r="K252" s="85">
        <f t="shared" si="125"/>
        <v>42100</v>
      </c>
      <c r="L252" s="85">
        <v>13500</v>
      </c>
      <c r="M252" s="85">
        <f t="shared" si="126"/>
        <v>55600</v>
      </c>
      <c r="N252" s="85"/>
      <c r="O252" s="85">
        <f t="shared" si="127"/>
        <v>55600</v>
      </c>
      <c r="P252" s="85"/>
      <c r="Q252" s="85">
        <f t="shared" si="128"/>
        <v>55600</v>
      </c>
    </row>
    <row r="253" spans="1:17" s="27" customFormat="1" ht="21" customHeight="1">
      <c r="A253" s="71"/>
      <c r="B253" s="86"/>
      <c r="C253" s="90">
        <v>4350</v>
      </c>
      <c r="D253" s="41" t="s">
        <v>205</v>
      </c>
      <c r="E253" s="85">
        <v>4300</v>
      </c>
      <c r="F253" s="85"/>
      <c r="G253" s="85">
        <f t="shared" si="123"/>
        <v>4300</v>
      </c>
      <c r="H253" s="85"/>
      <c r="I253" s="85">
        <f t="shared" si="124"/>
        <v>4300</v>
      </c>
      <c r="J253" s="85"/>
      <c r="K253" s="85">
        <f t="shared" si="125"/>
        <v>4300</v>
      </c>
      <c r="L253" s="85"/>
      <c r="M253" s="85">
        <f t="shared" si="126"/>
        <v>4300</v>
      </c>
      <c r="N253" s="85"/>
      <c r="O253" s="85">
        <f t="shared" si="127"/>
        <v>4300</v>
      </c>
      <c r="P253" s="85"/>
      <c r="Q253" s="85">
        <f t="shared" si="128"/>
        <v>4300</v>
      </c>
    </row>
    <row r="254" spans="1:17" s="27" customFormat="1" ht="45">
      <c r="A254" s="71"/>
      <c r="B254" s="86"/>
      <c r="C254" s="90">
        <v>4370</v>
      </c>
      <c r="D254" s="41" t="s">
        <v>494</v>
      </c>
      <c r="E254" s="85">
        <v>7500</v>
      </c>
      <c r="F254" s="85"/>
      <c r="G254" s="85">
        <f t="shared" si="123"/>
        <v>7500</v>
      </c>
      <c r="H254" s="85"/>
      <c r="I254" s="85">
        <f t="shared" si="124"/>
        <v>7500</v>
      </c>
      <c r="J254" s="85"/>
      <c r="K254" s="85">
        <f t="shared" si="125"/>
        <v>7500</v>
      </c>
      <c r="L254" s="85"/>
      <c r="M254" s="85">
        <f t="shared" si="126"/>
        <v>7500</v>
      </c>
      <c r="N254" s="85"/>
      <c r="O254" s="85">
        <f t="shared" si="127"/>
        <v>7500</v>
      </c>
      <c r="P254" s="85"/>
      <c r="Q254" s="85">
        <f t="shared" si="128"/>
        <v>7500</v>
      </c>
    </row>
    <row r="255" spans="1:17" s="27" customFormat="1" ht="24.75" customHeight="1">
      <c r="A255" s="71"/>
      <c r="B255" s="86"/>
      <c r="C255" s="90">
        <v>4390</v>
      </c>
      <c r="D255" s="41" t="s">
        <v>266</v>
      </c>
      <c r="E255" s="85">
        <v>2400</v>
      </c>
      <c r="F255" s="85"/>
      <c r="G255" s="85">
        <f t="shared" si="123"/>
        <v>2400</v>
      </c>
      <c r="H255" s="85"/>
      <c r="I255" s="85">
        <f t="shared" si="124"/>
        <v>2400</v>
      </c>
      <c r="J255" s="85"/>
      <c r="K255" s="85">
        <f t="shared" si="125"/>
        <v>2400</v>
      </c>
      <c r="L255" s="85"/>
      <c r="M255" s="85">
        <f t="shared" si="126"/>
        <v>2400</v>
      </c>
      <c r="N255" s="85"/>
      <c r="O255" s="85">
        <f t="shared" si="127"/>
        <v>2400</v>
      </c>
      <c r="P255" s="85"/>
      <c r="Q255" s="85">
        <f t="shared" si="128"/>
        <v>2400</v>
      </c>
    </row>
    <row r="256" spans="1:17" s="27" customFormat="1" ht="21" customHeight="1">
      <c r="A256" s="71"/>
      <c r="B256" s="86"/>
      <c r="C256" s="90">
        <v>4410</v>
      </c>
      <c r="D256" s="41" t="s">
        <v>90</v>
      </c>
      <c r="E256" s="85">
        <v>7800</v>
      </c>
      <c r="F256" s="85"/>
      <c r="G256" s="85">
        <f t="shared" si="123"/>
        <v>7800</v>
      </c>
      <c r="H256" s="85"/>
      <c r="I256" s="85">
        <f t="shared" si="124"/>
        <v>7800</v>
      </c>
      <c r="J256" s="85"/>
      <c r="K256" s="85">
        <f t="shared" si="125"/>
        <v>7800</v>
      </c>
      <c r="L256" s="85"/>
      <c r="M256" s="85">
        <f t="shared" si="126"/>
        <v>7800</v>
      </c>
      <c r="N256" s="85"/>
      <c r="O256" s="85">
        <f t="shared" si="127"/>
        <v>7800</v>
      </c>
      <c r="P256" s="85"/>
      <c r="Q256" s="85">
        <f t="shared" si="128"/>
        <v>7800</v>
      </c>
    </row>
    <row r="257" spans="1:17" s="27" customFormat="1" ht="21" customHeight="1">
      <c r="A257" s="71"/>
      <c r="B257" s="86"/>
      <c r="C257" s="90">
        <v>4430</v>
      </c>
      <c r="D257" s="41" t="s">
        <v>94</v>
      </c>
      <c r="E257" s="85">
        <v>3050</v>
      </c>
      <c r="F257" s="85"/>
      <c r="G257" s="85">
        <f t="shared" si="123"/>
        <v>3050</v>
      </c>
      <c r="H257" s="85"/>
      <c r="I257" s="85">
        <f t="shared" si="124"/>
        <v>3050</v>
      </c>
      <c r="J257" s="85"/>
      <c r="K257" s="85">
        <f t="shared" si="125"/>
        <v>3050</v>
      </c>
      <c r="L257" s="85"/>
      <c r="M257" s="85">
        <f t="shared" si="126"/>
        <v>3050</v>
      </c>
      <c r="N257" s="85"/>
      <c r="O257" s="85">
        <f t="shared" si="127"/>
        <v>3050</v>
      </c>
      <c r="P257" s="85"/>
      <c r="Q257" s="85">
        <f t="shared" si="128"/>
        <v>3050</v>
      </c>
    </row>
    <row r="258" spans="1:17" s="27" customFormat="1" ht="21" customHeight="1">
      <c r="A258" s="71"/>
      <c r="B258" s="86"/>
      <c r="C258" s="90">
        <v>4440</v>
      </c>
      <c r="D258" s="41" t="s">
        <v>88</v>
      </c>
      <c r="E258" s="85">
        <v>213124</v>
      </c>
      <c r="F258" s="85"/>
      <c r="G258" s="85">
        <f t="shared" si="123"/>
        <v>213124</v>
      </c>
      <c r="H258" s="85"/>
      <c r="I258" s="85">
        <f t="shared" si="124"/>
        <v>213124</v>
      </c>
      <c r="J258" s="85"/>
      <c r="K258" s="85">
        <f t="shared" si="125"/>
        <v>213124</v>
      </c>
      <c r="L258" s="85"/>
      <c r="M258" s="85">
        <f t="shared" si="126"/>
        <v>213124</v>
      </c>
      <c r="N258" s="85"/>
      <c r="O258" s="85">
        <f t="shared" si="127"/>
        <v>213124</v>
      </c>
      <c r="P258" s="85"/>
      <c r="Q258" s="85">
        <f t="shared" si="128"/>
        <v>213124</v>
      </c>
    </row>
    <row r="259" spans="1:17" s="27" customFormat="1" ht="27" customHeight="1">
      <c r="A259" s="71"/>
      <c r="B259" s="86"/>
      <c r="C259" s="90">
        <v>4700</v>
      </c>
      <c r="D259" s="41" t="s">
        <v>260</v>
      </c>
      <c r="E259" s="85">
        <v>2500</v>
      </c>
      <c r="F259" s="85"/>
      <c r="G259" s="85">
        <f t="shared" si="123"/>
        <v>2500</v>
      </c>
      <c r="H259" s="85"/>
      <c r="I259" s="85">
        <f t="shared" si="124"/>
        <v>2500</v>
      </c>
      <c r="J259" s="85"/>
      <c r="K259" s="85">
        <f t="shared" si="125"/>
        <v>2500</v>
      </c>
      <c r="L259" s="85"/>
      <c r="M259" s="85">
        <f t="shared" si="126"/>
        <v>2500</v>
      </c>
      <c r="N259" s="85"/>
      <c r="O259" s="85">
        <f t="shared" si="127"/>
        <v>2500</v>
      </c>
      <c r="P259" s="85"/>
      <c r="Q259" s="85">
        <f t="shared" si="128"/>
        <v>2500</v>
      </c>
    </row>
    <row r="260" spans="1:17" s="27" customFormat="1" ht="27" customHeight="1">
      <c r="A260" s="71"/>
      <c r="B260" s="86"/>
      <c r="C260" s="90">
        <v>4740</v>
      </c>
      <c r="D260" s="41" t="s">
        <v>288</v>
      </c>
      <c r="E260" s="85">
        <v>3000</v>
      </c>
      <c r="F260" s="85"/>
      <c r="G260" s="85">
        <f t="shared" si="123"/>
        <v>3000</v>
      </c>
      <c r="H260" s="85"/>
      <c r="I260" s="85">
        <f t="shared" si="124"/>
        <v>3000</v>
      </c>
      <c r="J260" s="85"/>
      <c r="K260" s="85">
        <f t="shared" si="125"/>
        <v>3000</v>
      </c>
      <c r="L260" s="85"/>
      <c r="M260" s="85">
        <f t="shared" si="126"/>
        <v>3000</v>
      </c>
      <c r="N260" s="85"/>
      <c r="O260" s="85">
        <f t="shared" si="127"/>
        <v>3000</v>
      </c>
      <c r="P260" s="85"/>
      <c r="Q260" s="85">
        <f t="shared" si="128"/>
        <v>3000</v>
      </c>
    </row>
    <row r="261" spans="1:17" s="27" customFormat="1" ht="22.5">
      <c r="A261" s="71"/>
      <c r="B261" s="86"/>
      <c r="C261" s="90">
        <v>4750</v>
      </c>
      <c r="D261" s="14" t="s">
        <v>224</v>
      </c>
      <c r="E261" s="85">
        <v>13300</v>
      </c>
      <c r="F261" s="85"/>
      <c r="G261" s="85">
        <f t="shared" si="123"/>
        <v>13300</v>
      </c>
      <c r="H261" s="85"/>
      <c r="I261" s="85">
        <f t="shared" si="124"/>
        <v>13300</v>
      </c>
      <c r="J261" s="85"/>
      <c r="K261" s="85">
        <f t="shared" si="125"/>
        <v>13300</v>
      </c>
      <c r="L261" s="85"/>
      <c r="M261" s="85">
        <f t="shared" si="126"/>
        <v>13300</v>
      </c>
      <c r="N261" s="85"/>
      <c r="O261" s="85">
        <f t="shared" si="127"/>
        <v>13300</v>
      </c>
      <c r="P261" s="85"/>
      <c r="Q261" s="85">
        <f t="shared" si="128"/>
        <v>13300</v>
      </c>
    </row>
    <row r="262" spans="1:17" s="27" customFormat="1" ht="22.5">
      <c r="A262" s="71"/>
      <c r="B262" s="86"/>
      <c r="C262" s="90">
        <v>6050</v>
      </c>
      <c r="D262" s="14" t="s">
        <v>73</v>
      </c>
      <c r="E262" s="85">
        <f>4350000+868000+600000+100000</f>
        <v>5918000</v>
      </c>
      <c r="F262" s="85">
        <f>-400000-138184-213000</f>
        <v>-751184</v>
      </c>
      <c r="G262" s="85">
        <f t="shared" si="123"/>
        <v>5166816</v>
      </c>
      <c r="H262" s="85"/>
      <c r="I262" s="85">
        <f t="shared" si="124"/>
        <v>5166816</v>
      </c>
      <c r="J262" s="85"/>
      <c r="K262" s="85">
        <f t="shared" si="125"/>
        <v>5166816</v>
      </c>
      <c r="L262" s="85">
        <f>15000</f>
        <v>15000</v>
      </c>
      <c r="M262" s="85">
        <f t="shared" si="126"/>
        <v>5181816</v>
      </c>
      <c r="N262" s="85"/>
      <c r="O262" s="85">
        <f t="shared" si="127"/>
        <v>5181816</v>
      </c>
      <c r="P262" s="85"/>
      <c r="Q262" s="85">
        <f t="shared" si="128"/>
        <v>5181816</v>
      </c>
    </row>
    <row r="263" spans="1:17" s="27" customFormat="1" ht="21" customHeight="1">
      <c r="A263" s="71"/>
      <c r="B263" s="76" t="s">
        <v>116</v>
      </c>
      <c r="C263" s="51"/>
      <c r="D263" s="14" t="s">
        <v>117</v>
      </c>
      <c r="E263" s="75">
        <f aca="true" t="shared" si="129" ref="E263:K263">SUM(E264:E269)</f>
        <v>308500</v>
      </c>
      <c r="F263" s="75">
        <f t="shared" si="129"/>
        <v>0</v>
      </c>
      <c r="G263" s="75">
        <f t="shared" si="129"/>
        <v>308500</v>
      </c>
      <c r="H263" s="75">
        <f t="shared" si="129"/>
        <v>0</v>
      </c>
      <c r="I263" s="75">
        <f t="shared" si="129"/>
        <v>308500</v>
      </c>
      <c r="J263" s="75">
        <f t="shared" si="129"/>
        <v>0</v>
      </c>
      <c r="K263" s="75">
        <f t="shared" si="129"/>
        <v>308500</v>
      </c>
      <c r="L263" s="75">
        <f aca="true" t="shared" si="130" ref="L263:Q263">SUM(L264:L269)</f>
        <v>0</v>
      </c>
      <c r="M263" s="75">
        <f t="shared" si="130"/>
        <v>308500</v>
      </c>
      <c r="N263" s="75">
        <f t="shared" si="130"/>
        <v>0</v>
      </c>
      <c r="O263" s="75">
        <f t="shared" si="130"/>
        <v>308500</v>
      </c>
      <c r="P263" s="75">
        <f t="shared" si="130"/>
        <v>0</v>
      </c>
      <c r="Q263" s="75">
        <f t="shared" si="130"/>
        <v>308500</v>
      </c>
    </row>
    <row r="264" spans="1:17" s="27" customFormat="1" ht="21" customHeight="1">
      <c r="A264" s="71"/>
      <c r="B264" s="76"/>
      <c r="C264" s="51">
        <v>4110</v>
      </c>
      <c r="D264" s="41" t="s">
        <v>86</v>
      </c>
      <c r="E264" s="75">
        <v>3110</v>
      </c>
      <c r="F264" s="75"/>
      <c r="G264" s="75">
        <f aca="true" t="shared" si="131" ref="G264:G269">SUM(E264:F264)</f>
        <v>3110</v>
      </c>
      <c r="H264" s="75"/>
      <c r="I264" s="75">
        <f aca="true" t="shared" si="132" ref="I264:I269">SUM(G264:H264)</f>
        <v>3110</v>
      </c>
      <c r="J264" s="75"/>
      <c r="K264" s="75">
        <f aca="true" t="shared" si="133" ref="K264:K269">SUM(I264:J264)</f>
        <v>3110</v>
      </c>
      <c r="L264" s="75"/>
      <c r="M264" s="75">
        <f aca="true" t="shared" si="134" ref="M264:M269">SUM(K264:L264)</f>
        <v>3110</v>
      </c>
      <c r="N264" s="75"/>
      <c r="O264" s="75">
        <f aca="true" t="shared" si="135" ref="O264:O269">SUM(M264:N264)</f>
        <v>3110</v>
      </c>
      <c r="P264" s="75"/>
      <c r="Q264" s="75">
        <f aca="true" t="shared" si="136" ref="Q264:Q269">SUM(O264:P264)</f>
        <v>3110</v>
      </c>
    </row>
    <row r="265" spans="1:17" s="27" customFormat="1" ht="21" customHeight="1">
      <c r="A265" s="71"/>
      <c r="B265" s="76"/>
      <c r="C265" s="51">
        <v>4120</v>
      </c>
      <c r="D265" s="41" t="s">
        <v>87</v>
      </c>
      <c r="E265" s="75">
        <v>441</v>
      </c>
      <c r="F265" s="75"/>
      <c r="G265" s="75">
        <f t="shared" si="131"/>
        <v>441</v>
      </c>
      <c r="H265" s="75"/>
      <c r="I265" s="75">
        <f t="shared" si="132"/>
        <v>441</v>
      </c>
      <c r="J265" s="75"/>
      <c r="K265" s="75">
        <f t="shared" si="133"/>
        <v>441</v>
      </c>
      <c r="L265" s="75"/>
      <c r="M265" s="75">
        <f t="shared" si="134"/>
        <v>441</v>
      </c>
      <c r="N265" s="75"/>
      <c r="O265" s="75">
        <f t="shared" si="135"/>
        <v>441</v>
      </c>
      <c r="P265" s="75"/>
      <c r="Q265" s="75">
        <f t="shared" si="136"/>
        <v>441</v>
      </c>
    </row>
    <row r="266" spans="1:17" s="27" customFormat="1" ht="21" customHeight="1">
      <c r="A266" s="71"/>
      <c r="B266" s="76"/>
      <c r="C266" s="51">
        <v>4170</v>
      </c>
      <c r="D266" s="41" t="s">
        <v>191</v>
      </c>
      <c r="E266" s="75">
        <v>33000</v>
      </c>
      <c r="F266" s="75"/>
      <c r="G266" s="75">
        <f t="shared" si="131"/>
        <v>33000</v>
      </c>
      <c r="H266" s="75"/>
      <c r="I266" s="75">
        <f t="shared" si="132"/>
        <v>33000</v>
      </c>
      <c r="J266" s="75"/>
      <c r="K266" s="75">
        <f t="shared" si="133"/>
        <v>33000</v>
      </c>
      <c r="L266" s="75"/>
      <c r="M266" s="75">
        <f t="shared" si="134"/>
        <v>33000</v>
      </c>
      <c r="N266" s="75"/>
      <c r="O266" s="75">
        <f t="shared" si="135"/>
        <v>33000</v>
      </c>
      <c r="P266" s="75"/>
      <c r="Q266" s="75">
        <f t="shared" si="136"/>
        <v>33000</v>
      </c>
    </row>
    <row r="267" spans="1:17" s="27" customFormat="1" ht="21" customHeight="1">
      <c r="A267" s="71"/>
      <c r="B267" s="76"/>
      <c r="C267" s="51">
        <v>4210</v>
      </c>
      <c r="D267" s="14" t="s">
        <v>92</v>
      </c>
      <c r="E267" s="75">
        <v>45000</v>
      </c>
      <c r="F267" s="75"/>
      <c r="G267" s="75">
        <f t="shared" si="131"/>
        <v>45000</v>
      </c>
      <c r="H267" s="75"/>
      <c r="I267" s="75">
        <f t="shared" si="132"/>
        <v>45000</v>
      </c>
      <c r="J267" s="75"/>
      <c r="K267" s="75">
        <f t="shared" si="133"/>
        <v>45000</v>
      </c>
      <c r="L267" s="75"/>
      <c r="M267" s="75">
        <f t="shared" si="134"/>
        <v>45000</v>
      </c>
      <c r="N267" s="75"/>
      <c r="O267" s="75">
        <f t="shared" si="135"/>
        <v>45000</v>
      </c>
      <c r="P267" s="75"/>
      <c r="Q267" s="75">
        <f t="shared" si="136"/>
        <v>45000</v>
      </c>
    </row>
    <row r="268" spans="1:17" s="27" customFormat="1" ht="21" customHeight="1">
      <c r="A268" s="71"/>
      <c r="B268" s="76"/>
      <c r="C268" s="51">
        <v>4300</v>
      </c>
      <c r="D268" s="14" t="s">
        <v>79</v>
      </c>
      <c r="E268" s="75">
        <f>30000+223449-36000-1500</f>
        <v>215949</v>
      </c>
      <c r="F268" s="75"/>
      <c r="G268" s="75">
        <f t="shared" si="131"/>
        <v>215949</v>
      </c>
      <c r="H268" s="75"/>
      <c r="I268" s="75">
        <f t="shared" si="132"/>
        <v>215949</v>
      </c>
      <c r="J268" s="75"/>
      <c r="K268" s="75">
        <f t="shared" si="133"/>
        <v>215949</v>
      </c>
      <c r="L268" s="75"/>
      <c r="M268" s="75">
        <f t="shared" si="134"/>
        <v>215949</v>
      </c>
      <c r="N268" s="75"/>
      <c r="O268" s="75">
        <f t="shared" si="135"/>
        <v>215949</v>
      </c>
      <c r="P268" s="75"/>
      <c r="Q268" s="75">
        <f t="shared" si="136"/>
        <v>215949</v>
      </c>
    </row>
    <row r="269" spans="1:17" s="27" customFormat="1" ht="21" customHeight="1">
      <c r="A269" s="71"/>
      <c r="B269" s="76"/>
      <c r="C269" s="51">
        <v>4430</v>
      </c>
      <c r="D269" s="41" t="s">
        <v>94</v>
      </c>
      <c r="E269" s="75">
        <f>11000</f>
        <v>11000</v>
      </c>
      <c r="F269" s="75"/>
      <c r="G269" s="75">
        <f t="shared" si="131"/>
        <v>11000</v>
      </c>
      <c r="H269" s="75"/>
      <c r="I269" s="75">
        <f t="shared" si="132"/>
        <v>11000</v>
      </c>
      <c r="J269" s="75"/>
      <c r="K269" s="75">
        <f t="shared" si="133"/>
        <v>11000</v>
      </c>
      <c r="L269" s="75"/>
      <c r="M269" s="75">
        <f t="shared" si="134"/>
        <v>11000</v>
      </c>
      <c r="N269" s="75"/>
      <c r="O269" s="75">
        <f t="shared" si="135"/>
        <v>11000</v>
      </c>
      <c r="P269" s="75"/>
      <c r="Q269" s="75">
        <f t="shared" si="136"/>
        <v>11000</v>
      </c>
    </row>
    <row r="270" spans="1:17" s="27" customFormat="1" ht="21" customHeight="1">
      <c r="A270" s="71"/>
      <c r="B270" s="91">
        <v>80146</v>
      </c>
      <c r="C270" s="74"/>
      <c r="D270" s="41" t="s">
        <v>147</v>
      </c>
      <c r="E270" s="85">
        <f aca="true" t="shared" si="137" ref="E270:K270">SUM(E271:E274)</f>
        <v>117315</v>
      </c>
      <c r="F270" s="85">
        <f t="shared" si="137"/>
        <v>0</v>
      </c>
      <c r="G270" s="85">
        <f t="shared" si="137"/>
        <v>117315</v>
      </c>
      <c r="H270" s="85">
        <f t="shared" si="137"/>
        <v>0</v>
      </c>
      <c r="I270" s="85">
        <f t="shared" si="137"/>
        <v>117315</v>
      </c>
      <c r="J270" s="85">
        <f t="shared" si="137"/>
        <v>0</v>
      </c>
      <c r="K270" s="85">
        <f t="shared" si="137"/>
        <v>117315</v>
      </c>
      <c r="L270" s="85">
        <f aca="true" t="shared" si="138" ref="L270:Q270">SUM(L271:L274)</f>
        <v>0</v>
      </c>
      <c r="M270" s="85">
        <f t="shared" si="138"/>
        <v>117315</v>
      </c>
      <c r="N270" s="85">
        <f t="shared" si="138"/>
        <v>0</v>
      </c>
      <c r="O270" s="85">
        <f t="shared" si="138"/>
        <v>117315</v>
      </c>
      <c r="P270" s="85">
        <f t="shared" si="138"/>
        <v>0</v>
      </c>
      <c r="Q270" s="85">
        <f t="shared" si="138"/>
        <v>117315</v>
      </c>
    </row>
    <row r="271" spans="1:19" s="27" customFormat="1" ht="22.5">
      <c r="A271" s="71"/>
      <c r="B271" s="91"/>
      <c r="C271" s="74">
        <v>2510</v>
      </c>
      <c r="D271" s="41" t="s">
        <v>125</v>
      </c>
      <c r="E271" s="85">
        <v>15642</v>
      </c>
      <c r="F271" s="85"/>
      <c r="G271" s="85">
        <f>SUM(E271:F271)</f>
        <v>15642</v>
      </c>
      <c r="H271" s="85"/>
      <c r="I271" s="85">
        <f>SUM(G271:H271)</f>
        <v>15642</v>
      </c>
      <c r="J271" s="85"/>
      <c r="K271" s="85">
        <f>SUM(I271:J271)</f>
        <v>15642</v>
      </c>
      <c r="L271" s="85"/>
      <c r="M271" s="85">
        <f>SUM(K271:L271)</f>
        <v>15642</v>
      </c>
      <c r="N271" s="85"/>
      <c r="O271" s="85">
        <f>SUM(M271:N271)</f>
        <v>15642</v>
      </c>
      <c r="P271" s="85"/>
      <c r="Q271" s="85">
        <f>SUM(O271:P271)</f>
        <v>15642</v>
      </c>
      <c r="R271" s="123"/>
      <c r="S271" s="123"/>
    </row>
    <row r="272" spans="1:17" s="27" customFormat="1" ht="21" customHeight="1">
      <c r="A272" s="71"/>
      <c r="B272" s="91"/>
      <c r="C272" s="74">
        <v>4300</v>
      </c>
      <c r="D272" s="41" t="s">
        <v>79</v>
      </c>
      <c r="E272" s="85">
        <v>68259</v>
      </c>
      <c r="F272" s="85"/>
      <c r="G272" s="85">
        <f>SUM(E272:F272)</f>
        <v>68259</v>
      </c>
      <c r="H272" s="85"/>
      <c r="I272" s="85">
        <f>SUM(G272:H272)</f>
        <v>68259</v>
      </c>
      <c r="J272" s="85"/>
      <c r="K272" s="85">
        <f>SUM(I272:J272)</f>
        <v>68259</v>
      </c>
      <c r="L272" s="85">
        <v>-47303</v>
      </c>
      <c r="M272" s="85">
        <f>SUM(K272:L272)</f>
        <v>20956</v>
      </c>
      <c r="N272" s="85"/>
      <c r="O272" s="85">
        <f>SUM(M272:N272)</f>
        <v>20956</v>
      </c>
      <c r="P272" s="85"/>
      <c r="Q272" s="85">
        <f>SUM(O272:P272)</f>
        <v>20956</v>
      </c>
    </row>
    <row r="273" spans="1:17" s="27" customFormat="1" ht="21" customHeight="1">
      <c r="A273" s="71"/>
      <c r="B273" s="91"/>
      <c r="C273" s="74">
        <v>4410</v>
      </c>
      <c r="D273" s="41" t="s">
        <v>90</v>
      </c>
      <c r="E273" s="85"/>
      <c r="F273" s="85"/>
      <c r="G273" s="85"/>
      <c r="H273" s="85"/>
      <c r="I273" s="85"/>
      <c r="J273" s="85"/>
      <c r="K273" s="85">
        <v>0</v>
      </c>
      <c r="L273" s="85">
        <v>28494</v>
      </c>
      <c r="M273" s="85">
        <f>SUM(K273:L273)</f>
        <v>28494</v>
      </c>
      <c r="N273" s="85"/>
      <c r="O273" s="85">
        <f>SUM(M273:N273)</f>
        <v>28494</v>
      </c>
      <c r="P273" s="85"/>
      <c r="Q273" s="85">
        <f>SUM(O273:P273)</f>
        <v>28494</v>
      </c>
    </row>
    <row r="274" spans="1:17" s="27" customFormat="1" ht="22.5">
      <c r="A274" s="71"/>
      <c r="B274" s="91"/>
      <c r="C274" s="74">
        <v>4700</v>
      </c>
      <c r="D274" s="41" t="s">
        <v>260</v>
      </c>
      <c r="E274" s="85">
        <v>33414</v>
      </c>
      <c r="F274" s="85"/>
      <c r="G274" s="85">
        <f>SUM(E274:F274)</f>
        <v>33414</v>
      </c>
      <c r="H274" s="85"/>
      <c r="I274" s="85">
        <f>SUM(G274:H274)</f>
        <v>33414</v>
      </c>
      <c r="J274" s="85"/>
      <c r="K274" s="85">
        <f>SUM(I274:J274)</f>
        <v>33414</v>
      </c>
      <c r="L274" s="85">
        <v>18809</v>
      </c>
      <c r="M274" s="85">
        <f>SUM(K274:L274)</f>
        <v>52223</v>
      </c>
      <c r="N274" s="85"/>
      <c r="O274" s="85">
        <f>SUM(M274:N274)</f>
        <v>52223</v>
      </c>
      <c r="P274" s="85"/>
      <c r="Q274" s="85">
        <f>SUM(O274:P274)</f>
        <v>52223</v>
      </c>
    </row>
    <row r="275" spans="1:17" s="27" customFormat="1" ht="21" customHeight="1">
      <c r="A275" s="71"/>
      <c r="B275" s="91">
        <v>80148</v>
      </c>
      <c r="C275" s="74"/>
      <c r="D275" s="41" t="s">
        <v>491</v>
      </c>
      <c r="E275" s="85">
        <f aca="true" t="shared" si="139" ref="E275:K275">SUM(E276:E289)</f>
        <v>293509</v>
      </c>
      <c r="F275" s="85">
        <f t="shared" si="139"/>
        <v>0</v>
      </c>
      <c r="G275" s="85">
        <f t="shared" si="139"/>
        <v>293509</v>
      </c>
      <c r="H275" s="85">
        <f t="shared" si="139"/>
        <v>0</v>
      </c>
      <c r="I275" s="85">
        <f t="shared" si="139"/>
        <v>293509</v>
      </c>
      <c r="J275" s="85">
        <f t="shared" si="139"/>
        <v>0</v>
      </c>
      <c r="K275" s="85">
        <f t="shared" si="139"/>
        <v>293509</v>
      </c>
      <c r="L275" s="85">
        <f aca="true" t="shared" si="140" ref="L275:Q275">SUM(L276:L289)</f>
        <v>0</v>
      </c>
      <c r="M275" s="85">
        <f t="shared" si="140"/>
        <v>293509</v>
      </c>
      <c r="N275" s="85">
        <f t="shared" si="140"/>
        <v>0</v>
      </c>
      <c r="O275" s="85">
        <f t="shared" si="140"/>
        <v>293509</v>
      </c>
      <c r="P275" s="85">
        <f t="shared" si="140"/>
        <v>0</v>
      </c>
      <c r="Q275" s="85">
        <f t="shared" si="140"/>
        <v>293509</v>
      </c>
    </row>
    <row r="276" spans="1:17" s="27" customFormat="1" ht="22.5">
      <c r="A276" s="71"/>
      <c r="B276" s="91"/>
      <c r="C276" s="90">
        <v>3020</v>
      </c>
      <c r="D276" s="41" t="s">
        <v>189</v>
      </c>
      <c r="E276" s="85">
        <v>1045</v>
      </c>
      <c r="F276" s="85"/>
      <c r="G276" s="85">
        <f>SUM(E276:F276)</f>
        <v>1045</v>
      </c>
      <c r="H276" s="85"/>
      <c r="I276" s="85">
        <f>SUM(G276:H276)</f>
        <v>1045</v>
      </c>
      <c r="J276" s="85"/>
      <c r="K276" s="85">
        <f>SUM(I276:J276)</f>
        <v>1045</v>
      </c>
      <c r="L276" s="85"/>
      <c r="M276" s="85">
        <f>SUM(K276:L276)</f>
        <v>1045</v>
      </c>
      <c r="N276" s="85"/>
      <c r="O276" s="85">
        <f>SUM(M276:N276)</f>
        <v>1045</v>
      </c>
      <c r="P276" s="85"/>
      <c r="Q276" s="85">
        <f>SUM(O276:P276)</f>
        <v>1045</v>
      </c>
    </row>
    <row r="277" spans="1:17" s="27" customFormat="1" ht="21" customHeight="1">
      <c r="A277" s="71"/>
      <c r="B277" s="91"/>
      <c r="C277" s="90">
        <v>4010</v>
      </c>
      <c r="D277" s="41" t="s">
        <v>84</v>
      </c>
      <c r="E277" s="85">
        <v>115014</v>
      </c>
      <c r="F277" s="85"/>
      <c r="G277" s="85">
        <f aca="true" t="shared" si="141" ref="G277:G289">SUM(E277:F277)</f>
        <v>115014</v>
      </c>
      <c r="H277" s="85"/>
      <c r="I277" s="85">
        <f aca="true" t="shared" si="142" ref="I277:I289">SUM(G277:H277)</f>
        <v>115014</v>
      </c>
      <c r="J277" s="85"/>
      <c r="K277" s="85">
        <f aca="true" t="shared" si="143" ref="K277:K289">SUM(I277:J277)</f>
        <v>115014</v>
      </c>
      <c r="L277" s="85">
        <v>443</v>
      </c>
      <c r="M277" s="85">
        <f aca="true" t="shared" si="144" ref="M277:M289">SUM(K277:L277)</f>
        <v>115457</v>
      </c>
      <c r="N277" s="85"/>
      <c r="O277" s="85">
        <f aca="true" t="shared" si="145" ref="O277:O289">SUM(M277:N277)</f>
        <v>115457</v>
      </c>
      <c r="P277" s="85"/>
      <c r="Q277" s="85">
        <f aca="true" t="shared" si="146" ref="Q277:Q289">SUM(O277:P277)</f>
        <v>115457</v>
      </c>
    </row>
    <row r="278" spans="1:17" s="27" customFormat="1" ht="21" customHeight="1">
      <c r="A278" s="71"/>
      <c r="B278" s="91"/>
      <c r="C278" s="90">
        <v>4040</v>
      </c>
      <c r="D278" s="41" t="s">
        <v>85</v>
      </c>
      <c r="E278" s="85">
        <v>8743</v>
      </c>
      <c r="F278" s="85"/>
      <c r="G278" s="85">
        <f t="shared" si="141"/>
        <v>8743</v>
      </c>
      <c r="H278" s="85"/>
      <c r="I278" s="85">
        <f t="shared" si="142"/>
        <v>8743</v>
      </c>
      <c r="J278" s="85"/>
      <c r="K278" s="85">
        <f t="shared" si="143"/>
        <v>8743</v>
      </c>
      <c r="L278" s="85">
        <v>-443</v>
      </c>
      <c r="M278" s="85">
        <f t="shared" si="144"/>
        <v>8300</v>
      </c>
      <c r="N278" s="85"/>
      <c r="O278" s="85">
        <f t="shared" si="145"/>
        <v>8300</v>
      </c>
      <c r="P278" s="85"/>
      <c r="Q278" s="85">
        <f t="shared" si="146"/>
        <v>8300</v>
      </c>
    </row>
    <row r="279" spans="1:17" s="27" customFormat="1" ht="21" customHeight="1">
      <c r="A279" s="71"/>
      <c r="B279" s="91"/>
      <c r="C279" s="90">
        <v>4110</v>
      </c>
      <c r="D279" s="41" t="s">
        <v>86</v>
      </c>
      <c r="E279" s="85">
        <v>18184</v>
      </c>
      <c r="F279" s="85"/>
      <c r="G279" s="85">
        <f t="shared" si="141"/>
        <v>18184</v>
      </c>
      <c r="H279" s="85"/>
      <c r="I279" s="85">
        <f t="shared" si="142"/>
        <v>18184</v>
      </c>
      <c r="J279" s="85"/>
      <c r="K279" s="85">
        <f t="shared" si="143"/>
        <v>18184</v>
      </c>
      <c r="L279" s="85"/>
      <c r="M279" s="85">
        <f t="shared" si="144"/>
        <v>18184</v>
      </c>
      <c r="N279" s="85"/>
      <c r="O279" s="85">
        <f t="shared" si="145"/>
        <v>18184</v>
      </c>
      <c r="P279" s="85"/>
      <c r="Q279" s="85">
        <f t="shared" si="146"/>
        <v>18184</v>
      </c>
    </row>
    <row r="280" spans="1:17" s="27" customFormat="1" ht="21" customHeight="1">
      <c r="A280" s="71"/>
      <c r="B280" s="91"/>
      <c r="C280" s="90">
        <v>4120</v>
      </c>
      <c r="D280" s="41" t="s">
        <v>87</v>
      </c>
      <c r="E280" s="85">
        <v>2852</v>
      </c>
      <c r="F280" s="85"/>
      <c r="G280" s="85">
        <f t="shared" si="141"/>
        <v>2852</v>
      </c>
      <c r="H280" s="85"/>
      <c r="I280" s="85">
        <f t="shared" si="142"/>
        <v>2852</v>
      </c>
      <c r="J280" s="85"/>
      <c r="K280" s="85">
        <f t="shared" si="143"/>
        <v>2852</v>
      </c>
      <c r="L280" s="85"/>
      <c r="M280" s="85">
        <f t="shared" si="144"/>
        <v>2852</v>
      </c>
      <c r="N280" s="85"/>
      <c r="O280" s="85">
        <f t="shared" si="145"/>
        <v>2852</v>
      </c>
      <c r="P280" s="85"/>
      <c r="Q280" s="85">
        <f t="shared" si="146"/>
        <v>2852</v>
      </c>
    </row>
    <row r="281" spans="1:17" s="27" customFormat="1" ht="21" customHeight="1">
      <c r="A281" s="71"/>
      <c r="B281" s="91"/>
      <c r="C281" s="90">
        <v>4170</v>
      </c>
      <c r="D281" s="41" t="s">
        <v>191</v>
      </c>
      <c r="E281" s="85">
        <v>4000</v>
      </c>
      <c r="F281" s="85"/>
      <c r="G281" s="85">
        <f t="shared" si="141"/>
        <v>4000</v>
      </c>
      <c r="H281" s="85"/>
      <c r="I281" s="85">
        <f t="shared" si="142"/>
        <v>4000</v>
      </c>
      <c r="J281" s="85"/>
      <c r="K281" s="85">
        <f t="shared" si="143"/>
        <v>4000</v>
      </c>
      <c r="L281" s="85"/>
      <c r="M281" s="85">
        <f t="shared" si="144"/>
        <v>4000</v>
      </c>
      <c r="N281" s="85"/>
      <c r="O281" s="85">
        <f t="shared" si="145"/>
        <v>4000</v>
      </c>
      <c r="P281" s="85"/>
      <c r="Q281" s="85">
        <f t="shared" si="146"/>
        <v>4000</v>
      </c>
    </row>
    <row r="282" spans="1:17" s="27" customFormat="1" ht="21" customHeight="1">
      <c r="A282" s="71"/>
      <c r="B282" s="91"/>
      <c r="C282" s="90">
        <v>4210</v>
      </c>
      <c r="D282" s="41" t="s">
        <v>72</v>
      </c>
      <c r="E282" s="85">
        <v>8960</v>
      </c>
      <c r="F282" s="85"/>
      <c r="G282" s="85">
        <f t="shared" si="141"/>
        <v>8960</v>
      </c>
      <c r="H282" s="85"/>
      <c r="I282" s="85">
        <f t="shared" si="142"/>
        <v>8960</v>
      </c>
      <c r="J282" s="85"/>
      <c r="K282" s="85">
        <f t="shared" si="143"/>
        <v>8960</v>
      </c>
      <c r="L282" s="85"/>
      <c r="M282" s="85">
        <f t="shared" si="144"/>
        <v>8960</v>
      </c>
      <c r="N282" s="85"/>
      <c r="O282" s="85">
        <f t="shared" si="145"/>
        <v>8960</v>
      </c>
      <c r="P282" s="85"/>
      <c r="Q282" s="85">
        <f t="shared" si="146"/>
        <v>8960</v>
      </c>
    </row>
    <row r="283" spans="1:17" s="27" customFormat="1" ht="21" customHeight="1">
      <c r="A283" s="71"/>
      <c r="B283" s="91"/>
      <c r="C283" s="90">
        <v>4220</v>
      </c>
      <c r="D283" s="14" t="s">
        <v>180</v>
      </c>
      <c r="E283" s="85">
        <v>122700</v>
      </c>
      <c r="F283" s="85"/>
      <c r="G283" s="85">
        <f t="shared" si="141"/>
        <v>122700</v>
      </c>
      <c r="H283" s="85"/>
      <c r="I283" s="85">
        <f t="shared" si="142"/>
        <v>122700</v>
      </c>
      <c r="J283" s="85"/>
      <c r="K283" s="85">
        <f t="shared" si="143"/>
        <v>122700</v>
      </c>
      <c r="L283" s="85"/>
      <c r="M283" s="85">
        <f t="shared" si="144"/>
        <v>122700</v>
      </c>
      <c r="N283" s="85"/>
      <c r="O283" s="85">
        <f t="shared" si="145"/>
        <v>122700</v>
      </c>
      <c r="P283" s="85"/>
      <c r="Q283" s="85">
        <f t="shared" si="146"/>
        <v>122700</v>
      </c>
    </row>
    <row r="284" spans="1:17" s="27" customFormat="1" ht="22.5">
      <c r="A284" s="71"/>
      <c r="B284" s="91"/>
      <c r="C284" s="90">
        <v>4230</v>
      </c>
      <c r="D284" s="41" t="s">
        <v>258</v>
      </c>
      <c r="E284" s="85">
        <v>100</v>
      </c>
      <c r="F284" s="85"/>
      <c r="G284" s="85">
        <f t="shared" si="141"/>
        <v>100</v>
      </c>
      <c r="H284" s="85"/>
      <c r="I284" s="85">
        <f t="shared" si="142"/>
        <v>100</v>
      </c>
      <c r="J284" s="85"/>
      <c r="K284" s="85">
        <f t="shared" si="143"/>
        <v>100</v>
      </c>
      <c r="L284" s="85"/>
      <c r="M284" s="85">
        <f t="shared" si="144"/>
        <v>100</v>
      </c>
      <c r="N284" s="85"/>
      <c r="O284" s="85">
        <f t="shared" si="145"/>
        <v>100</v>
      </c>
      <c r="P284" s="85"/>
      <c r="Q284" s="85">
        <f t="shared" si="146"/>
        <v>100</v>
      </c>
    </row>
    <row r="285" spans="1:17" s="27" customFormat="1" ht="21" customHeight="1">
      <c r="A285" s="71"/>
      <c r="B285" s="91"/>
      <c r="C285" s="90">
        <v>4270</v>
      </c>
      <c r="D285" s="14" t="s">
        <v>78</v>
      </c>
      <c r="E285" s="85">
        <v>1300</v>
      </c>
      <c r="F285" s="85"/>
      <c r="G285" s="85">
        <f t="shared" si="141"/>
        <v>1300</v>
      </c>
      <c r="H285" s="85"/>
      <c r="I285" s="85">
        <f t="shared" si="142"/>
        <v>1300</v>
      </c>
      <c r="J285" s="85"/>
      <c r="K285" s="85">
        <f t="shared" si="143"/>
        <v>1300</v>
      </c>
      <c r="L285" s="85"/>
      <c r="M285" s="85">
        <f t="shared" si="144"/>
        <v>1300</v>
      </c>
      <c r="N285" s="85"/>
      <c r="O285" s="85">
        <f t="shared" si="145"/>
        <v>1300</v>
      </c>
      <c r="P285" s="85"/>
      <c r="Q285" s="85">
        <f t="shared" si="146"/>
        <v>1300</v>
      </c>
    </row>
    <row r="286" spans="1:17" s="27" customFormat="1" ht="21" customHeight="1">
      <c r="A286" s="71"/>
      <c r="B286" s="91"/>
      <c r="C286" s="90">
        <v>4280</v>
      </c>
      <c r="D286" s="41" t="s">
        <v>198</v>
      </c>
      <c r="E286" s="85">
        <v>560</v>
      </c>
      <c r="F286" s="85"/>
      <c r="G286" s="85">
        <f t="shared" si="141"/>
        <v>560</v>
      </c>
      <c r="H286" s="85"/>
      <c r="I286" s="85">
        <f t="shared" si="142"/>
        <v>560</v>
      </c>
      <c r="J286" s="85"/>
      <c r="K286" s="85">
        <f t="shared" si="143"/>
        <v>560</v>
      </c>
      <c r="L286" s="85"/>
      <c r="M286" s="85">
        <f t="shared" si="144"/>
        <v>560</v>
      </c>
      <c r="N286" s="85"/>
      <c r="O286" s="85">
        <f t="shared" si="145"/>
        <v>560</v>
      </c>
      <c r="P286" s="85"/>
      <c r="Q286" s="85">
        <f t="shared" si="146"/>
        <v>560</v>
      </c>
    </row>
    <row r="287" spans="1:17" s="27" customFormat="1" ht="21" customHeight="1">
      <c r="A287" s="71"/>
      <c r="B287" s="91"/>
      <c r="C287" s="90">
        <v>4300</v>
      </c>
      <c r="D287" s="41" t="s">
        <v>79</v>
      </c>
      <c r="E287" s="85">
        <v>600</v>
      </c>
      <c r="F287" s="85"/>
      <c r="G287" s="85">
        <f t="shared" si="141"/>
        <v>600</v>
      </c>
      <c r="H287" s="85"/>
      <c r="I287" s="85">
        <f t="shared" si="142"/>
        <v>600</v>
      </c>
      <c r="J287" s="85"/>
      <c r="K287" s="85">
        <f t="shared" si="143"/>
        <v>600</v>
      </c>
      <c r="L287" s="85"/>
      <c r="M287" s="85">
        <f t="shared" si="144"/>
        <v>600</v>
      </c>
      <c r="N287" s="85"/>
      <c r="O287" s="85">
        <f t="shared" si="145"/>
        <v>600</v>
      </c>
      <c r="P287" s="85"/>
      <c r="Q287" s="85">
        <f t="shared" si="146"/>
        <v>600</v>
      </c>
    </row>
    <row r="288" spans="1:17" s="27" customFormat="1" ht="22.5">
      <c r="A288" s="71"/>
      <c r="B288" s="91"/>
      <c r="C288" s="90">
        <v>4440</v>
      </c>
      <c r="D288" s="41" t="s">
        <v>88</v>
      </c>
      <c r="E288" s="85">
        <v>5451</v>
      </c>
      <c r="F288" s="85"/>
      <c r="G288" s="85">
        <f t="shared" si="141"/>
        <v>5451</v>
      </c>
      <c r="H288" s="85"/>
      <c r="I288" s="85">
        <f t="shared" si="142"/>
        <v>5451</v>
      </c>
      <c r="J288" s="85"/>
      <c r="K288" s="85">
        <f t="shared" si="143"/>
        <v>5451</v>
      </c>
      <c r="L288" s="85"/>
      <c r="M288" s="85">
        <f t="shared" si="144"/>
        <v>5451</v>
      </c>
      <c r="N288" s="85"/>
      <c r="O288" s="85">
        <f t="shared" si="145"/>
        <v>5451</v>
      </c>
      <c r="P288" s="85"/>
      <c r="Q288" s="85">
        <f t="shared" si="146"/>
        <v>5451</v>
      </c>
    </row>
    <row r="289" spans="1:17" s="27" customFormat="1" ht="22.5">
      <c r="A289" s="71"/>
      <c r="B289" s="91"/>
      <c r="C289" s="90">
        <v>6060</v>
      </c>
      <c r="D289" s="41" t="s">
        <v>96</v>
      </c>
      <c r="E289" s="85">
        <v>4000</v>
      </c>
      <c r="F289" s="85"/>
      <c r="G289" s="85">
        <f t="shared" si="141"/>
        <v>4000</v>
      </c>
      <c r="H289" s="85"/>
      <c r="I289" s="85">
        <f t="shared" si="142"/>
        <v>4000</v>
      </c>
      <c r="J289" s="85"/>
      <c r="K289" s="85">
        <f t="shared" si="143"/>
        <v>4000</v>
      </c>
      <c r="L289" s="85"/>
      <c r="M289" s="85">
        <f t="shared" si="144"/>
        <v>4000</v>
      </c>
      <c r="N289" s="85"/>
      <c r="O289" s="85">
        <f t="shared" si="145"/>
        <v>4000</v>
      </c>
      <c r="P289" s="85"/>
      <c r="Q289" s="85">
        <f t="shared" si="146"/>
        <v>4000</v>
      </c>
    </row>
    <row r="290" spans="1:17" s="27" customFormat="1" ht="21" customHeight="1">
      <c r="A290" s="71"/>
      <c r="B290" s="86">
        <v>80195</v>
      </c>
      <c r="C290" s="71"/>
      <c r="D290" s="41" t="s">
        <v>6</v>
      </c>
      <c r="E290" s="85">
        <f aca="true" t="shared" si="147" ref="E290:K290">SUM(E291:E294)</f>
        <v>185941</v>
      </c>
      <c r="F290" s="85">
        <f t="shared" si="147"/>
        <v>0</v>
      </c>
      <c r="G290" s="85">
        <f t="shared" si="147"/>
        <v>185941</v>
      </c>
      <c r="H290" s="85">
        <f t="shared" si="147"/>
        <v>0</v>
      </c>
      <c r="I290" s="85">
        <f t="shared" si="147"/>
        <v>185941</v>
      </c>
      <c r="J290" s="85">
        <f t="shared" si="147"/>
        <v>0</v>
      </c>
      <c r="K290" s="85">
        <f t="shared" si="147"/>
        <v>185941</v>
      </c>
      <c r="L290" s="85">
        <f aca="true" t="shared" si="148" ref="L290:Q290">SUM(L291:L294)</f>
        <v>0</v>
      </c>
      <c r="M290" s="85">
        <f t="shared" si="148"/>
        <v>185941</v>
      </c>
      <c r="N290" s="85">
        <f t="shared" si="148"/>
        <v>0</v>
      </c>
      <c r="O290" s="85">
        <f t="shared" si="148"/>
        <v>185941</v>
      </c>
      <c r="P290" s="85">
        <f t="shared" si="148"/>
        <v>0</v>
      </c>
      <c r="Q290" s="85">
        <f t="shared" si="148"/>
        <v>185941</v>
      </c>
    </row>
    <row r="291" spans="1:17" s="27" customFormat="1" ht="21" customHeight="1">
      <c r="A291" s="71"/>
      <c r="B291" s="86"/>
      <c r="C291" s="71">
        <v>4170</v>
      </c>
      <c r="D291" s="41" t="s">
        <v>191</v>
      </c>
      <c r="E291" s="85">
        <v>1060</v>
      </c>
      <c r="F291" s="85"/>
      <c r="G291" s="85">
        <f>SUM(E291:F291)</f>
        <v>1060</v>
      </c>
      <c r="H291" s="85"/>
      <c r="I291" s="85">
        <f>SUM(G291:H291)</f>
        <v>1060</v>
      </c>
      <c r="J291" s="85"/>
      <c r="K291" s="85">
        <f>SUM(I291:J291)</f>
        <v>1060</v>
      </c>
      <c r="L291" s="85"/>
      <c r="M291" s="85">
        <f>SUM(K291:L291)</f>
        <v>1060</v>
      </c>
      <c r="N291" s="85"/>
      <c r="O291" s="85">
        <f>SUM(M291:N291)</f>
        <v>1060</v>
      </c>
      <c r="P291" s="85"/>
      <c r="Q291" s="85">
        <f>SUM(O291:P291)</f>
        <v>1060</v>
      </c>
    </row>
    <row r="292" spans="1:17" s="27" customFormat="1" ht="21" customHeight="1">
      <c r="A292" s="71"/>
      <c r="B292" s="86"/>
      <c r="C292" s="71">
        <v>4210</v>
      </c>
      <c r="D292" s="41" t="s">
        <v>72</v>
      </c>
      <c r="E292" s="85">
        <v>1200</v>
      </c>
      <c r="F292" s="85"/>
      <c r="G292" s="85">
        <f>SUM(E292:F292)</f>
        <v>1200</v>
      </c>
      <c r="H292" s="85"/>
      <c r="I292" s="85">
        <f>SUM(G292:H292)</f>
        <v>1200</v>
      </c>
      <c r="J292" s="85"/>
      <c r="K292" s="85">
        <f>SUM(I292:J292)</f>
        <v>1200</v>
      </c>
      <c r="L292" s="85"/>
      <c r="M292" s="85">
        <f>SUM(K292:L292)</f>
        <v>1200</v>
      </c>
      <c r="N292" s="85"/>
      <c r="O292" s="85">
        <f>SUM(M292:N292)</f>
        <v>1200</v>
      </c>
      <c r="P292" s="85"/>
      <c r="Q292" s="85">
        <f>SUM(O292:P292)</f>
        <v>1200</v>
      </c>
    </row>
    <row r="293" spans="1:17" s="27" customFormat="1" ht="21" customHeight="1">
      <c r="A293" s="71"/>
      <c r="B293" s="86"/>
      <c r="C293" s="71">
        <v>4430</v>
      </c>
      <c r="D293" s="41" t="s">
        <v>335</v>
      </c>
      <c r="E293" s="85">
        <v>1500</v>
      </c>
      <c r="F293" s="85"/>
      <c r="G293" s="85">
        <f>SUM(E293:F293)</f>
        <v>1500</v>
      </c>
      <c r="H293" s="85"/>
      <c r="I293" s="85">
        <f>SUM(G293:H293)</f>
        <v>1500</v>
      </c>
      <c r="J293" s="85"/>
      <c r="K293" s="85">
        <f>SUM(I293:J293)</f>
        <v>1500</v>
      </c>
      <c r="L293" s="85"/>
      <c r="M293" s="85">
        <f>SUM(K293:L293)</f>
        <v>1500</v>
      </c>
      <c r="N293" s="85"/>
      <c r="O293" s="85">
        <f>SUM(M293:N293)</f>
        <v>1500</v>
      </c>
      <c r="P293" s="85"/>
      <c r="Q293" s="85">
        <f>SUM(O293:P293)</f>
        <v>1500</v>
      </c>
    </row>
    <row r="294" spans="1:17" s="27" customFormat="1" ht="22.5">
      <c r="A294" s="71"/>
      <c r="B294" s="86"/>
      <c r="C294" s="71">
        <v>4440</v>
      </c>
      <c r="D294" s="41" t="s">
        <v>88</v>
      </c>
      <c r="E294" s="85">
        <v>182181</v>
      </c>
      <c r="F294" s="85"/>
      <c r="G294" s="85">
        <f>SUM(E294:F294)</f>
        <v>182181</v>
      </c>
      <c r="H294" s="85"/>
      <c r="I294" s="85">
        <f>SUM(G294:H294)</f>
        <v>182181</v>
      </c>
      <c r="J294" s="85"/>
      <c r="K294" s="85">
        <f>SUM(I294:J294)</f>
        <v>182181</v>
      </c>
      <c r="L294" s="85"/>
      <c r="M294" s="85">
        <f>SUM(K294:L294)</f>
        <v>182181</v>
      </c>
      <c r="N294" s="85"/>
      <c r="O294" s="85">
        <f>SUM(M294:N294)</f>
        <v>182181</v>
      </c>
      <c r="P294" s="85"/>
      <c r="Q294" s="85">
        <f>SUM(O294:P294)</f>
        <v>182181</v>
      </c>
    </row>
    <row r="295" spans="1:17" s="7" customFormat="1" ht="21" customHeight="1">
      <c r="A295" s="36" t="s">
        <v>118</v>
      </c>
      <c r="B295" s="37"/>
      <c r="C295" s="38"/>
      <c r="D295" s="39" t="s">
        <v>53</v>
      </c>
      <c r="E295" s="40">
        <f aca="true" t="shared" si="149" ref="E295:K295">SUM(E298,E308,E296)</f>
        <v>123603</v>
      </c>
      <c r="F295" s="40">
        <f t="shared" si="149"/>
        <v>0</v>
      </c>
      <c r="G295" s="40">
        <f t="shared" si="149"/>
        <v>123603</v>
      </c>
      <c r="H295" s="40">
        <f t="shared" si="149"/>
        <v>0</v>
      </c>
      <c r="I295" s="40">
        <f t="shared" si="149"/>
        <v>123603</v>
      </c>
      <c r="J295" s="40">
        <f t="shared" si="149"/>
        <v>47545</v>
      </c>
      <c r="K295" s="40">
        <f t="shared" si="149"/>
        <v>171148</v>
      </c>
      <c r="L295" s="40">
        <f aca="true" t="shared" si="150" ref="L295:Q295">SUM(L298,L308,L296)</f>
        <v>0</v>
      </c>
      <c r="M295" s="40">
        <f t="shared" si="150"/>
        <v>171148</v>
      </c>
      <c r="N295" s="40">
        <f t="shared" si="150"/>
        <v>0</v>
      </c>
      <c r="O295" s="40">
        <f t="shared" si="150"/>
        <v>171148</v>
      </c>
      <c r="P295" s="40">
        <f t="shared" si="150"/>
        <v>0</v>
      </c>
      <c r="Q295" s="40">
        <f t="shared" si="150"/>
        <v>171148</v>
      </c>
    </row>
    <row r="296" spans="1:17" s="7" customFormat="1" ht="21" customHeight="1">
      <c r="A296" s="36"/>
      <c r="B296" s="91">
        <v>85153</v>
      </c>
      <c r="C296" s="90"/>
      <c r="D296" s="41" t="s">
        <v>221</v>
      </c>
      <c r="E296" s="85">
        <f aca="true" t="shared" si="151" ref="E296:Q296">SUM(E297:E297)</f>
        <v>5600</v>
      </c>
      <c r="F296" s="85">
        <f t="shared" si="151"/>
        <v>0</v>
      </c>
      <c r="G296" s="85">
        <f t="shared" si="151"/>
        <v>5600</v>
      </c>
      <c r="H296" s="85">
        <f t="shared" si="151"/>
        <v>0</v>
      </c>
      <c r="I296" s="85">
        <f t="shared" si="151"/>
        <v>5600</v>
      </c>
      <c r="J296" s="85">
        <f t="shared" si="151"/>
        <v>0</v>
      </c>
      <c r="K296" s="85">
        <f t="shared" si="151"/>
        <v>5600</v>
      </c>
      <c r="L296" s="85">
        <f t="shared" si="151"/>
        <v>0</v>
      </c>
      <c r="M296" s="85">
        <f t="shared" si="151"/>
        <v>5600</v>
      </c>
      <c r="N296" s="85">
        <f t="shared" si="151"/>
        <v>0</v>
      </c>
      <c r="O296" s="85">
        <f t="shared" si="151"/>
        <v>5600</v>
      </c>
      <c r="P296" s="85">
        <f t="shared" si="151"/>
        <v>0</v>
      </c>
      <c r="Q296" s="85">
        <f t="shared" si="151"/>
        <v>5600</v>
      </c>
    </row>
    <row r="297" spans="1:17" s="7" customFormat="1" ht="21" customHeight="1">
      <c r="A297" s="36"/>
      <c r="B297" s="91"/>
      <c r="C297" s="90">
        <v>4300</v>
      </c>
      <c r="D297" s="41" t="s">
        <v>79</v>
      </c>
      <c r="E297" s="85">
        <v>5600</v>
      </c>
      <c r="F297" s="85"/>
      <c r="G297" s="85">
        <f>SUM(E297:F297)</f>
        <v>5600</v>
      </c>
      <c r="H297" s="85"/>
      <c r="I297" s="85">
        <f>SUM(G297:H297)</f>
        <v>5600</v>
      </c>
      <c r="J297" s="85"/>
      <c r="K297" s="85">
        <f>SUM(I297:J297)</f>
        <v>5600</v>
      </c>
      <c r="L297" s="85"/>
      <c r="M297" s="85">
        <f>SUM(K297:L297)</f>
        <v>5600</v>
      </c>
      <c r="N297" s="85"/>
      <c r="O297" s="85">
        <f>SUM(M297:N297)</f>
        <v>5600</v>
      </c>
      <c r="P297" s="85"/>
      <c r="Q297" s="85">
        <f>SUM(O297:P297)</f>
        <v>5600</v>
      </c>
    </row>
    <row r="298" spans="1:17" s="27" customFormat="1" ht="21" customHeight="1">
      <c r="A298" s="71"/>
      <c r="B298" s="86" t="s">
        <v>119</v>
      </c>
      <c r="C298" s="90"/>
      <c r="D298" s="41" t="s">
        <v>54</v>
      </c>
      <c r="E298" s="85">
        <f>SUM(E300:E307)</f>
        <v>108003</v>
      </c>
      <c r="F298" s="85">
        <f>SUM(F300:F307)</f>
        <v>0</v>
      </c>
      <c r="G298" s="85">
        <f>SUM(G300:G307)</f>
        <v>108003</v>
      </c>
      <c r="H298" s="85">
        <f>SUM(H300:H307)</f>
        <v>0</v>
      </c>
      <c r="I298" s="85">
        <f aca="true" t="shared" si="152" ref="I298:O298">SUM(I299:I307)</f>
        <v>108003</v>
      </c>
      <c r="J298" s="85">
        <f t="shared" si="152"/>
        <v>47545</v>
      </c>
      <c r="K298" s="85">
        <f t="shared" si="152"/>
        <v>155548</v>
      </c>
      <c r="L298" s="85">
        <f t="shared" si="152"/>
        <v>0</v>
      </c>
      <c r="M298" s="85">
        <f t="shared" si="152"/>
        <v>155548</v>
      </c>
      <c r="N298" s="85">
        <f t="shared" si="152"/>
        <v>0</v>
      </c>
      <c r="O298" s="85">
        <f t="shared" si="152"/>
        <v>155548</v>
      </c>
      <c r="P298" s="85">
        <f>SUM(P299:P307)</f>
        <v>0</v>
      </c>
      <c r="Q298" s="85">
        <f>SUM(Q299:Q307)</f>
        <v>155548</v>
      </c>
    </row>
    <row r="299" spans="1:17" s="27" customFormat="1" ht="56.25">
      <c r="A299" s="71"/>
      <c r="B299" s="86"/>
      <c r="C299" s="90">
        <v>2830</v>
      </c>
      <c r="D299" s="14" t="s">
        <v>346</v>
      </c>
      <c r="E299" s="85"/>
      <c r="F299" s="85"/>
      <c r="G299" s="85"/>
      <c r="H299" s="85"/>
      <c r="I299" s="85">
        <v>0</v>
      </c>
      <c r="J299" s="85">
        <v>47545</v>
      </c>
      <c r="K299" s="85">
        <f>SUM(I299:J299)</f>
        <v>47545</v>
      </c>
      <c r="L299" s="85"/>
      <c r="M299" s="85">
        <f>SUM(K299:L299)</f>
        <v>47545</v>
      </c>
      <c r="N299" s="85"/>
      <c r="O299" s="85">
        <f>SUM(M299:N299)</f>
        <v>47545</v>
      </c>
      <c r="P299" s="85"/>
      <c r="Q299" s="85">
        <f>SUM(O299:P299)</f>
        <v>47545</v>
      </c>
    </row>
    <row r="300" spans="1:17" s="27" customFormat="1" ht="21" customHeight="1">
      <c r="A300" s="71"/>
      <c r="B300" s="91"/>
      <c r="C300" s="90">
        <v>4110</v>
      </c>
      <c r="D300" s="14" t="s">
        <v>86</v>
      </c>
      <c r="E300" s="85">
        <v>1858</v>
      </c>
      <c r="F300" s="85"/>
      <c r="G300" s="85">
        <f>SUM(E300:F300)</f>
        <v>1858</v>
      </c>
      <c r="H300" s="85"/>
      <c r="I300" s="85">
        <f>SUM(G300:H300)</f>
        <v>1858</v>
      </c>
      <c r="J300" s="85"/>
      <c r="K300" s="85">
        <f>SUM(I300:J300)</f>
        <v>1858</v>
      </c>
      <c r="L300" s="85"/>
      <c r="M300" s="85">
        <f>SUM(K300:L300)</f>
        <v>1858</v>
      </c>
      <c r="N300" s="85"/>
      <c r="O300" s="85">
        <f>SUM(M300:N300)</f>
        <v>1858</v>
      </c>
      <c r="P300" s="85"/>
      <c r="Q300" s="85">
        <f>SUM(O300:P300)</f>
        <v>1858</v>
      </c>
    </row>
    <row r="301" spans="1:17" s="27" customFormat="1" ht="21" customHeight="1">
      <c r="A301" s="71"/>
      <c r="B301" s="91"/>
      <c r="C301" s="90">
        <v>4170</v>
      </c>
      <c r="D301" s="41" t="s">
        <v>191</v>
      </c>
      <c r="E301" s="85">
        <v>44600</v>
      </c>
      <c r="F301" s="85"/>
      <c r="G301" s="85">
        <f aca="true" t="shared" si="153" ref="G301:G307">SUM(E301:F301)</f>
        <v>44600</v>
      </c>
      <c r="H301" s="85"/>
      <c r="I301" s="85">
        <f aca="true" t="shared" si="154" ref="I301:I307">SUM(G301:H301)</f>
        <v>44600</v>
      </c>
      <c r="J301" s="85"/>
      <c r="K301" s="85">
        <f aca="true" t="shared" si="155" ref="K301:K307">SUM(I301:J301)</f>
        <v>44600</v>
      </c>
      <c r="L301" s="85"/>
      <c r="M301" s="85">
        <f aca="true" t="shared" si="156" ref="M301:M307">SUM(K301:L301)</f>
        <v>44600</v>
      </c>
      <c r="N301" s="85"/>
      <c r="O301" s="85">
        <f aca="true" t="shared" si="157" ref="O301:O307">SUM(M301:N301)</f>
        <v>44600</v>
      </c>
      <c r="P301" s="85"/>
      <c r="Q301" s="85">
        <f aca="true" t="shared" si="158" ref="Q301:Q307">SUM(O301:P301)</f>
        <v>44600</v>
      </c>
    </row>
    <row r="302" spans="1:17" s="27" customFormat="1" ht="21" customHeight="1">
      <c r="A302" s="71"/>
      <c r="B302" s="91"/>
      <c r="C302" s="90">
        <v>4210</v>
      </c>
      <c r="D302" s="14" t="s">
        <v>92</v>
      </c>
      <c r="E302" s="85">
        <v>12800</v>
      </c>
      <c r="F302" s="85"/>
      <c r="G302" s="85">
        <f t="shared" si="153"/>
        <v>12800</v>
      </c>
      <c r="H302" s="85"/>
      <c r="I302" s="85">
        <f t="shared" si="154"/>
        <v>12800</v>
      </c>
      <c r="J302" s="85"/>
      <c r="K302" s="85">
        <f t="shared" si="155"/>
        <v>12800</v>
      </c>
      <c r="L302" s="85"/>
      <c r="M302" s="85">
        <f t="shared" si="156"/>
        <v>12800</v>
      </c>
      <c r="N302" s="85"/>
      <c r="O302" s="85">
        <f t="shared" si="157"/>
        <v>12800</v>
      </c>
      <c r="P302" s="85"/>
      <c r="Q302" s="85">
        <f t="shared" si="158"/>
        <v>12800</v>
      </c>
    </row>
    <row r="303" spans="1:17" s="27" customFormat="1" ht="21" customHeight="1">
      <c r="A303" s="71"/>
      <c r="B303" s="91"/>
      <c r="C303" s="90">
        <v>4220</v>
      </c>
      <c r="D303" s="14" t="s">
        <v>180</v>
      </c>
      <c r="E303" s="85">
        <v>13500</v>
      </c>
      <c r="F303" s="85"/>
      <c r="G303" s="85">
        <f t="shared" si="153"/>
        <v>13500</v>
      </c>
      <c r="H303" s="85"/>
      <c r="I303" s="85">
        <f t="shared" si="154"/>
        <v>13500</v>
      </c>
      <c r="J303" s="85"/>
      <c r="K303" s="85">
        <f t="shared" si="155"/>
        <v>13500</v>
      </c>
      <c r="L303" s="85"/>
      <c r="M303" s="85">
        <f t="shared" si="156"/>
        <v>13500</v>
      </c>
      <c r="N303" s="85"/>
      <c r="O303" s="85">
        <f t="shared" si="157"/>
        <v>13500</v>
      </c>
      <c r="P303" s="85"/>
      <c r="Q303" s="85">
        <f t="shared" si="158"/>
        <v>13500</v>
      </c>
    </row>
    <row r="304" spans="1:17" s="27" customFormat="1" ht="21" customHeight="1">
      <c r="A304" s="71"/>
      <c r="B304" s="91"/>
      <c r="C304" s="90">
        <v>4300</v>
      </c>
      <c r="D304" s="41" t="s">
        <v>79</v>
      </c>
      <c r="E304" s="85">
        <v>32245</v>
      </c>
      <c r="F304" s="85"/>
      <c r="G304" s="85">
        <f t="shared" si="153"/>
        <v>32245</v>
      </c>
      <c r="H304" s="85"/>
      <c r="I304" s="85">
        <f t="shared" si="154"/>
        <v>32245</v>
      </c>
      <c r="J304" s="85"/>
      <c r="K304" s="85">
        <f t="shared" si="155"/>
        <v>32245</v>
      </c>
      <c r="L304" s="85"/>
      <c r="M304" s="85">
        <f t="shared" si="156"/>
        <v>32245</v>
      </c>
      <c r="N304" s="85"/>
      <c r="O304" s="85">
        <f t="shared" si="157"/>
        <v>32245</v>
      </c>
      <c r="P304" s="85"/>
      <c r="Q304" s="85">
        <f t="shared" si="158"/>
        <v>32245</v>
      </c>
    </row>
    <row r="305" spans="1:17" s="27" customFormat="1" ht="21" customHeight="1">
      <c r="A305" s="71"/>
      <c r="B305" s="91"/>
      <c r="C305" s="90">
        <v>4350</v>
      </c>
      <c r="D305" s="41" t="s">
        <v>205</v>
      </c>
      <c r="E305" s="85">
        <v>1200</v>
      </c>
      <c r="F305" s="85"/>
      <c r="G305" s="85">
        <f t="shared" si="153"/>
        <v>1200</v>
      </c>
      <c r="H305" s="85"/>
      <c r="I305" s="85">
        <f t="shared" si="154"/>
        <v>1200</v>
      </c>
      <c r="J305" s="85"/>
      <c r="K305" s="85">
        <f t="shared" si="155"/>
        <v>1200</v>
      </c>
      <c r="L305" s="85"/>
      <c r="M305" s="85">
        <f t="shared" si="156"/>
        <v>1200</v>
      </c>
      <c r="N305" s="85"/>
      <c r="O305" s="85">
        <f t="shared" si="157"/>
        <v>1200</v>
      </c>
      <c r="P305" s="85"/>
      <c r="Q305" s="85">
        <f t="shared" si="158"/>
        <v>1200</v>
      </c>
    </row>
    <row r="306" spans="1:17" s="27" customFormat="1" ht="21" customHeight="1">
      <c r="A306" s="71"/>
      <c r="B306" s="91"/>
      <c r="C306" s="90">
        <v>4410</v>
      </c>
      <c r="D306" s="41" t="s">
        <v>90</v>
      </c>
      <c r="E306" s="85">
        <v>1200</v>
      </c>
      <c r="F306" s="85"/>
      <c r="G306" s="85">
        <f t="shared" si="153"/>
        <v>1200</v>
      </c>
      <c r="H306" s="85"/>
      <c r="I306" s="85">
        <f t="shared" si="154"/>
        <v>1200</v>
      </c>
      <c r="J306" s="85"/>
      <c r="K306" s="85">
        <f t="shared" si="155"/>
        <v>1200</v>
      </c>
      <c r="L306" s="85"/>
      <c r="M306" s="85">
        <f t="shared" si="156"/>
        <v>1200</v>
      </c>
      <c r="N306" s="85"/>
      <c r="O306" s="85">
        <f t="shared" si="157"/>
        <v>1200</v>
      </c>
      <c r="P306" s="85"/>
      <c r="Q306" s="85">
        <f t="shared" si="158"/>
        <v>1200</v>
      </c>
    </row>
    <row r="307" spans="1:17" s="27" customFormat="1" ht="26.25" customHeight="1">
      <c r="A307" s="71"/>
      <c r="B307" s="91"/>
      <c r="C307" s="90">
        <v>4700</v>
      </c>
      <c r="D307" s="41" t="s">
        <v>260</v>
      </c>
      <c r="E307" s="85">
        <v>600</v>
      </c>
      <c r="F307" s="85"/>
      <c r="G307" s="85">
        <f t="shared" si="153"/>
        <v>600</v>
      </c>
      <c r="H307" s="85"/>
      <c r="I307" s="85">
        <f t="shared" si="154"/>
        <v>600</v>
      </c>
      <c r="J307" s="85"/>
      <c r="K307" s="85">
        <f t="shared" si="155"/>
        <v>600</v>
      </c>
      <c r="L307" s="85"/>
      <c r="M307" s="85">
        <f t="shared" si="156"/>
        <v>600</v>
      </c>
      <c r="N307" s="85"/>
      <c r="O307" s="85">
        <f t="shared" si="157"/>
        <v>600</v>
      </c>
      <c r="P307" s="85"/>
      <c r="Q307" s="85">
        <f t="shared" si="158"/>
        <v>600</v>
      </c>
    </row>
    <row r="308" spans="1:17" s="27" customFormat="1" ht="21" customHeight="1">
      <c r="A308" s="71"/>
      <c r="B308" s="91">
        <v>85195</v>
      </c>
      <c r="C308" s="90"/>
      <c r="D308" s="41" t="s">
        <v>6</v>
      </c>
      <c r="E308" s="85">
        <f aca="true" t="shared" si="159" ref="E308:Q308">SUM(E309)</f>
        <v>10000</v>
      </c>
      <c r="F308" s="85">
        <f t="shared" si="159"/>
        <v>0</v>
      </c>
      <c r="G308" s="85">
        <f t="shared" si="159"/>
        <v>10000</v>
      </c>
      <c r="H308" s="85">
        <f t="shared" si="159"/>
        <v>0</v>
      </c>
      <c r="I308" s="85">
        <f t="shared" si="159"/>
        <v>10000</v>
      </c>
      <c r="J308" s="85">
        <f t="shared" si="159"/>
        <v>0</v>
      </c>
      <c r="K308" s="85">
        <f t="shared" si="159"/>
        <v>10000</v>
      </c>
      <c r="L308" s="85">
        <f t="shared" si="159"/>
        <v>0</v>
      </c>
      <c r="M308" s="85">
        <f t="shared" si="159"/>
        <v>10000</v>
      </c>
      <c r="N308" s="85">
        <f t="shared" si="159"/>
        <v>0</v>
      </c>
      <c r="O308" s="85">
        <f t="shared" si="159"/>
        <v>10000</v>
      </c>
      <c r="P308" s="85">
        <f t="shared" si="159"/>
        <v>0</v>
      </c>
      <c r="Q308" s="85">
        <f t="shared" si="159"/>
        <v>10000</v>
      </c>
    </row>
    <row r="309" spans="1:17" s="27" customFormat="1" ht="21" customHeight="1">
      <c r="A309" s="71"/>
      <c r="B309" s="91"/>
      <c r="C309" s="90">
        <v>4430</v>
      </c>
      <c r="D309" s="41" t="s">
        <v>94</v>
      </c>
      <c r="E309" s="85">
        <v>10000</v>
      </c>
      <c r="F309" s="85"/>
      <c r="G309" s="85">
        <f>SUM(E309:F309)</f>
        <v>10000</v>
      </c>
      <c r="H309" s="85"/>
      <c r="I309" s="85">
        <f>SUM(G309:H309)</f>
        <v>10000</v>
      </c>
      <c r="J309" s="85"/>
      <c r="K309" s="85">
        <f>SUM(I309:J309)</f>
        <v>10000</v>
      </c>
      <c r="L309" s="85"/>
      <c r="M309" s="85">
        <f>SUM(K309:L309)</f>
        <v>10000</v>
      </c>
      <c r="N309" s="85"/>
      <c r="O309" s="85">
        <f>SUM(M309:N309)</f>
        <v>10000</v>
      </c>
      <c r="P309" s="85"/>
      <c r="Q309" s="85">
        <f>SUM(O309:P309)</f>
        <v>10000</v>
      </c>
    </row>
    <row r="310" spans="1:17" s="7" customFormat="1" ht="24.75" customHeight="1">
      <c r="A310" s="65">
        <v>852</v>
      </c>
      <c r="B310" s="37"/>
      <c r="C310" s="38"/>
      <c r="D310" s="39" t="s">
        <v>187</v>
      </c>
      <c r="E310" s="40">
        <f aca="true" t="shared" si="160" ref="E310:K310">SUM(E311,E335,E337,E340,E344,E369,E371,E342)</f>
        <v>11262797</v>
      </c>
      <c r="F310" s="40">
        <f t="shared" si="160"/>
        <v>0</v>
      </c>
      <c r="G310" s="40">
        <f t="shared" si="160"/>
        <v>11262797</v>
      </c>
      <c r="H310" s="40">
        <f t="shared" si="160"/>
        <v>530000</v>
      </c>
      <c r="I310" s="40">
        <f t="shared" si="160"/>
        <v>11792797</v>
      </c>
      <c r="J310" s="40">
        <f t="shared" si="160"/>
        <v>-73</v>
      </c>
      <c r="K310" s="40">
        <f t="shared" si="160"/>
        <v>11792724</v>
      </c>
      <c r="L310" s="40">
        <f aca="true" t="shared" si="161" ref="L310:Q310">SUM(L311,L335,L337,L340,L344,L369,L371,L342)</f>
        <v>5500</v>
      </c>
      <c r="M310" s="40">
        <f t="shared" si="161"/>
        <v>11798224</v>
      </c>
      <c r="N310" s="40">
        <f t="shared" si="161"/>
        <v>0</v>
      </c>
      <c r="O310" s="40">
        <f t="shared" si="161"/>
        <v>11798224</v>
      </c>
      <c r="P310" s="40">
        <f t="shared" si="161"/>
        <v>82751</v>
      </c>
      <c r="Q310" s="40">
        <f t="shared" si="161"/>
        <v>11880975</v>
      </c>
    </row>
    <row r="311" spans="1:17" s="27" customFormat="1" ht="45">
      <c r="A311" s="101"/>
      <c r="B311" s="51">
        <v>85212</v>
      </c>
      <c r="C311" s="83"/>
      <c r="D311" s="81" t="s">
        <v>299</v>
      </c>
      <c r="E311" s="75">
        <f aca="true" t="shared" si="162" ref="E311:K311">SUM(E312:E334)</f>
        <v>6664636</v>
      </c>
      <c r="F311" s="75">
        <f t="shared" si="162"/>
        <v>0</v>
      </c>
      <c r="G311" s="75">
        <f t="shared" si="162"/>
        <v>6664636</v>
      </c>
      <c r="H311" s="75">
        <f t="shared" si="162"/>
        <v>0</v>
      </c>
      <c r="I311" s="75">
        <f t="shared" si="162"/>
        <v>6664636</v>
      </c>
      <c r="J311" s="75">
        <f t="shared" si="162"/>
        <v>0</v>
      </c>
      <c r="K311" s="75">
        <f t="shared" si="162"/>
        <v>6664636</v>
      </c>
      <c r="L311" s="75">
        <f aca="true" t="shared" si="163" ref="L311:Q311">SUM(L312:L334)</f>
        <v>0</v>
      </c>
      <c r="M311" s="75">
        <f t="shared" si="163"/>
        <v>6664636</v>
      </c>
      <c r="N311" s="75">
        <f t="shared" si="163"/>
        <v>0</v>
      </c>
      <c r="O311" s="75">
        <f t="shared" si="163"/>
        <v>6664636</v>
      </c>
      <c r="P311" s="75">
        <f t="shared" si="163"/>
        <v>0</v>
      </c>
      <c r="Q311" s="75">
        <f t="shared" si="163"/>
        <v>6664636</v>
      </c>
    </row>
    <row r="312" spans="1:17" s="27" customFormat="1" ht="22.5">
      <c r="A312" s="101"/>
      <c r="B312" s="51"/>
      <c r="C312" s="83">
        <v>3020</v>
      </c>
      <c r="D312" s="41" t="s">
        <v>189</v>
      </c>
      <c r="E312" s="75">
        <v>1400</v>
      </c>
      <c r="F312" s="75"/>
      <c r="G312" s="75">
        <f>SUM(E312:F312)</f>
        <v>1400</v>
      </c>
      <c r="H312" s="75"/>
      <c r="I312" s="75">
        <f>SUM(G312:H312)</f>
        <v>1400</v>
      </c>
      <c r="J312" s="75"/>
      <c r="K312" s="75">
        <f>SUM(I312:J312)</f>
        <v>1400</v>
      </c>
      <c r="L312" s="75"/>
      <c r="M312" s="75">
        <f>SUM(K312:L312)</f>
        <v>1400</v>
      </c>
      <c r="N312" s="75"/>
      <c r="O312" s="75">
        <f>SUM(M312:N312)</f>
        <v>1400</v>
      </c>
      <c r="P312" s="75"/>
      <c r="Q312" s="75">
        <f>SUM(O312:P312)</f>
        <v>1400</v>
      </c>
    </row>
    <row r="313" spans="1:17" s="27" customFormat="1" ht="21" customHeight="1">
      <c r="A313" s="101"/>
      <c r="B313" s="51"/>
      <c r="C313" s="83">
        <v>3110</v>
      </c>
      <c r="D313" s="81" t="s">
        <v>112</v>
      </c>
      <c r="E313" s="75">
        <f>6354761-50000</f>
        <v>6304761</v>
      </c>
      <c r="F313" s="75"/>
      <c r="G313" s="75">
        <f aca="true" t="shared" si="164" ref="G313:G334">SUM(E313:F313)</f>
        <v>6304761</v>
      </c>
      <c r="H313" s="75"/>
      <c r="I313" s="75">
        <f aca="true" t="shared" si="165" ref="I313:I334">SUM(G313:H313)</f>
        <v>6304761</v>
      </c>
      <c r="J313" s="75"/>
      <c r="K313" s="75">
        <f aca="true" t="shared" si="166" ref="K313:K334">SUM(I313:J313)</f>
        <v>6304761</v>
      </c>
      <c r="L313" s="75"/>
      <c r="M313" s="75">
        <f aca="true" t="shared" si="167" ref="M313:M334">SUM(K313:L313)</f>
        <v>6304761</v>
      </c>
      <c r="N313" s="75"/>
      <c r="O313" s="75">
        <f aca="true" t="shared" si="168" ref="O313:O334">SUM(M313:N313)</f>
        <v>6304761</v>
      </c>
      <c r="P313" s="75"/>
      <c r="Q313" s="75">
        <f aca="true" t="shared" si="169" ref="Q313:Q334">SUM(O313:P313)</f>
        <v>6304761</v>
      </c>
    </row>
    <row r="314" spans="1:17" s="27" customFormat="1" ht="21" customHeight="1">
      <c r="A314" s="101"/>
      <c r="B314" s="51"/>
      <c r="C314" s="51">
        <v>4010</v>
      </c>
      <c r="D314" s="14" t="s">
        <v>84</v>
      </c>
      <c r="E314" s="75">
        <v>193600</v>
      </c>
      <c r="F314" s="75"/>
      <c r="G314" s="75">
        <f t="shared" si="164"/>
        <v>193600</v>
      </c>
      <c r="H314" s="75"/>
      <c r="I314" s="75">
        <f t="shared" si="165"/>
        <v>193600</v>
      </c>
      <c r="J314" s="75"/>
      <c r="K314" s="75">
        <f t="shared" si="166"/>
        <v>193600</v>
      </c>
      <c r="L314" s="75"/>
      <c r="M314" s="75">
        <f t="shared" si="167"/>
        <v>193600</v>
      </c>
      <c r="N314" s="75"/>
      <c r="O314" s="75">
        <f t="shared" si="168"/>
        <v>193600</v>
      </c>
      <c r="P314" s="75">
        <v>-471</v>
      </c>
      <c r="Q314" s="75">
        <f t="shared" si="169"/>
        <v>193129</v>
      </c>
    </row>
    <row r="315" spans="1:17" s="27" customFormat="1" ht="21" customHeight="1">
      <c r="A315" s="101"/>
      <c r="B315" s="51"/>
      <c r="C315" s="51">
        <v>4040</v>
      </c>
      <c r="D315" s="14" t="s">
        <v>85</v>
      </c>
      <c r="E315" s="75">
        <v>15400</v>
      </c>
      <c r="F315" s="75"/>
      <c r="G315" s="75">
        <f t="shared" si="164"/>
        <v>15400</v>
      </c>
      <c r="H315" s="75"/>
      <c r="I315" s="75">
        <f t="shared" si="165"/>
        <v>15400</v>
      </c>
      <c r="J315" s="75"/>
      <c r="K315" s="75">
        <f t="shared" si="166"/>
        <v>15400</v>
      </c>
      <c r="L315" s="75"/>
      <c r="M315" s="75">
        <f t="shared" si="167"/>
        <v>15400</v>
      </c>
      <c r="N315" s="75"/>
      <c r="O315" s="75">
        <f t="shared" si="168"/>
        <v>15400</v>
      </c>
      <c r="P315" s="75">
        <v>-2094</v>
      </c>
      <c r="Q315" s="75">
        <f t="shared" si="169"/>
        <v>13306</v>
      </c>
    </row>
    <row r="316" spans="1:17" s="27" customFormat="1" ht="21" customHeight="1">
      <c r="A316" s="101"/>
      <c r="B316" s="51"/>
      <c r="C316" s="51">
        <v>4110</v>
      </c>
      <c r="D316" s="14" t="s">
        <v>86</v>
      </c>
      <c r="E316" s="75">
        <f>32400+50000</f>
        <v>82400</v>
      </c>
      <c r="F316" s="75"/>
      <c r="G316" s="75">
        <f t="shared" si="164"/>
        <v>82400</v>
      </c>
      <c r="H316" s="75"/>
      <c r="I316" s="75">
        <f t="shared" si="165"/>
        <v>82400</v>
      </c>
      <c r="J316" s="75"/>
      <c r="K316" s="75">
        <f t="shared" si="166"/>
        <v>82400</v>
      </c>
      <c r="L316" s="75"/>
      <c r="M316" s="75">
        <f t="shared" si="167"/>
        <v>82400</v>
      </c>
      <c r="N316" s="75"/>
      <c r="O316" s="75">
        <f t="shared" si="168"/>
        <v>82400</v>
      </c>
      <c r="P316" s="75">
        <v>2865</v>
      </c>
      <c r="Q316" s="75">
        <f t="shared" si="169"/>
        <v>85265</v>
      </c>
    </row>
    <row r="317" spans="1:17" s="27" customFormat="1" ht="21" customHeight="1">
      <c r="A317" s="101"/>
      <c r="B317" s="51"/>
      <c r="C317" s="51">
        <v>4120</v>
      </c>
      <c r="D317" s="14" t="s">
        <v>87</v>
      </c>
      <c r="E317" s="75">
        <v>5300</v>
      </c>
      <c r="F317" s="75"/>
      <c r="G317" s="75">
        <f t="shared" si="164"/>
        <v>5300</v>
      </c>
      <c r="H317" s="75"/>
      <c r="I317" s="75">
        <f t="shared" si="165"/>
        <v>5300</v>
      </c>
      <c r="J317" s="75"/>
      <c r="K317" s="75">
        <f t="shared" si="166"/>
        <v>5300</v>
      </c>
      <c r="L317" s="75"/>
      <c r="M317" s="75">
        <f t="shared" si="167"/>
        <v>5300</v>
      </c>
      <c r="N317" s="75"/>
      <c r="O317" s="75">
        <f t="shared" si="168"/>
        <v>5300</v>
      </c>
      <c r="P317" s="75">
        <v>-300</v>
      </c>
      <c r="Q317" s="75">
        <f t="shared" si="169"/>
        <v>5000</v>
      </c>
    </row>
    <row r="318" spans="1:17" s="27" customFormat="1" ht="21" customHeight="1">
      <c r="A318" s="101"/>
      <c r="B318" s="82"/>
      <c r="C318" s="51">
        <v>4170</v>
      </c>
      <c r="D318" s="41" t="s">
        <v>191</v>
      </c>
      <c r="E318" s="75">
        <v>3000</v>
      </c>
      <c r="F318" s="75"/>
      <c r="G318" s="75">
        <f t="shared" si="164"/>
        <v>3000</v>
      </c>
      <c r="H318" s="75"/>
      <c r="I318" s="75">
        <f t="shared" si="165"/>
        <v>3000</v>
      </c>
      <c r="J318" s="75"/>
      <c r="K318" s="75">
        <f t="shared" si="166"/>
        <v>3000</v>
      </c>
      <c r="L318" s="75"/>
      <c r="M318" s="75">
        <f t="shared" si="167"/>
        <v>3000</v>
      </c>
      <c r="N318" s="75"/>
      <c r="O318" s="75">
        <f t="shared" si="168"/>
        <v>3000</v>
      </c>
      <c r="P318" s="75"/>
      <c r="Q318" s="75">
        <f t="shared" si="169"/>
        <v>3000</v>
      </c>
    </row>
    <row r="319" spans="1:17" s="27" customFormat="1" ht="21" customHeight="1">
      <c r="A319" s="101"/>
      <c r="B319" s="82"/>
      <c r="C319" s="51">
        <v>4210</v>
      </c>
      <c r="D319" s="14" t="s">
        <v>92</v>
      </c>
      <c r="E319" s="75">
        <v>8350</v>
      </c>
      <c r="F319" s="75"/>
      <c r="G319" s="75">
        <f t="shared" si="164"/>
        <v>8350</v>
      </c>
      <c r="H319" s="75"/>
      <c r="I319" s="75">
        <f t="shared" si="165"/>
        <v>8350</v>
      </c>
      <c r="J319" s="75"/>
      <c r="K319" s="75">
        <f t="shared" si="166"/>
        <v>8350</v>
      </c>
      <c r="L319" s="75"/>
      <c r="M319" s="75">
        <f t="shared" si="167"/>
        <v>8350</v>
      </c>
      <c r="N319" s="75"/>
      <c r="O319" s="75">
        <f t="shared" si="168"/>
        <v>8350</v>
      </c>
      <c r="P319" s="75"/>
      <c r="Q319" s="75">
        <f t="shared" si="169"/>
        <v>8350</v>
      </c>
    </row>
    <row r="320" spans="1:17" s="27" customFormat="1" ht="21" customHeight="1">
      <c r="A320" s="101"/>
      <c r="B320" s="82"/>
      <c r="C320" s="51">
        <v>4260</v>
      </c>
      <c r="D320" s="41" t="s">
        <v>95</v>
      </c>
      <c r="E320" s="75">
        <v>14000</v>
      </c>
      <c r="F320" s="75"/>
      <c r="G320" s="75">
        <f t="shared" si="164"/>
        <v>14000</v>
      </c>
      <c r="H320" s="75"/>
      <c r="I320" s="75">
        <f t="shared" si="165"/>
        <v>14000</v>
      </c>
      <c r="J320" s="75"/>
      <c r="K320" s="75">
        <f t="shared" si="166"/>
        <v>14000</v>
      </c>
      <c r="L320" s="75"/>
      <c r="M320" s="75">
        <f t="shared" si="167"/>
        <v>14000</v>
      </c>
      <c r="N320" s="75"/>
      <c r="O320" s="75">
        <f t="shared" si="168"/>
        <v>14000</v>
      </c>
      <c r="P320" s="75"/>
      <c r="Q320" s="75">
        <f t="shared" si="169"/>
        <v>14000</v>
      </c>
    </row>
    <row r="321" spans="1:17" s="27" customFormat="1" ht="21" customHeight="1">
      <c r="A321" s="101"/>
      <c r="B321" s="82"/>
      <c r="C321" s="51">
        <v>4270</v>
      </c>
      <c r="D321" s="41" t="s">
        <v>78</v>
      </c>
      <c r="E321" s="75">
        <v>1000</v>
      </c>
      <c r="F321" s="75"/>
      <c r="G321" s="75">
        <f t="shared" si="164"/>
        <v>1000</v>
      </c>
      <c r="H321" s="75"/>
      <c r="I321" s="75">
        <f t="shared" si="165"/>
        <v>1000</v>
      </c>
      <c r="J321" s="75"/>
      <c r="K321" s="75">
        <f t="shared" si="166"/>
        <v>1000</v>
      </c>
      <c r="L321" s="75"/>
      <c r="M321" s="75">
        <f t="shared" si="167"/>
        <v>1000</v>
      </c>
      <c r="N321" s="75"/>
      <c r="O321" s="75">
        <f t="shared" si="168"/>
        <v>1000</v>
      </c>
      <c r="P321" s="75"/>
      <c r="Q321" s="75">
        <f t="shared" si="169"/>
        <v>1000</v>
      </c>
    </row>
    <row r="322" spans="1:17" s="27" customFormat="1" ht="21" customHeight="1">
      <c r="A322" s="101"/>
      <c r="B322" s="82"/>
      <c r="C322" s="51">
        <v>4280</v>
      </c>
      <c r="D322" s="41" t="s">
        <v>198</v>
      </c>
      <c r="E322" s="75">
        <v>800</v>
      </c>
      <c r="F322" s="75"/>
      <c r="G322" s="75">
        <f t="shared" si="164"/>
        <v>800</v>
      </c>
      <c r="H322" s="75"/>
      <c r="I322" s="75">
        <f t="shared" si="165"/>
        <v>800</v>
      </c>
      <c r="J322" s="75"/>
      <c r="K322" s="75">
        <f t="shared" si="166"/>
        <v>800</v>
      </c>
      <c r="L322" s="75"/>
      <c r="M322" s="75">
        <f t="shared" si="167"/>
        <v>800</v>
      </c>
      <c r="N322" s="75"/>
      <c r="O322" s="75">
        <f t="shared" si="168"/>
        <v>800</v>
      </c>
      <c r="P322" s="75"/>
      <c r="Q322" s="75">
        <f t="shared" si="169"/>
        <v>800</v>
      </c>
    </row>
    <row r="323" spans="1:17" s="27" customFormat="1" ht="21" customHeight="1">
      <c r="A323" s="101"/>
      <c r="B323" s="82"/>
      <c r="C323" s="51">
        <v>4300</v>
      </c>
      <c r="D323" s="14" t="s">
        <v>79</v>
      </c>
      <c r="E323" s="75">
        <v>6150</v>
      </c>
      <c r="F323" s="75"/>
      <c r="G323" s="75">
        <f t="shared" si="164"/>
        <v>6150</v>
      </c>
      <c r="H323" s="75"/>
      <c r="I323" s="75">
        <f t="shared" si="165"/>
        <v>6150</v>
      </c>
      <c r="J323" s="75"/>
      <c r="K323" s="75">
        <f t="shared" si="166"/>
        <v>6150</v>
      </c>
      <c r="L323" s="75"/>
      <c r="M323" s="75">
        <f t="shared" si="167"/>
        <v>6150</v>
      </c>
      <c r="N323" s="75"/>
      <c r="O323" s="75">
        <f t="shared" si="168"/>
        <v>6150</v>
      </c>
      <c r="P323" s="75"/>
      <c r="Q323" s="75">
        <f t="shared" si="169"/>
        <v>6150</v>
      </c>
    </row>
    <row r="324" spans="1:17" s="27" customFormat="1" ht="21" customHeight="1">
      <c r="A324" s="101"/>
      <c r="B324" s="82"/>
      <c r="C324" s="51">
        <v>4350</v>
      </c>
      <c r="D324" s="41" t="s">
        <v>205</v>
      </c>
      <c r="E324" s="75">
        <v>1600</v>
      </c>
      <c r="F324" s="75"/>
      <c r="G324" s="75">
        <f t="shared" si="164"/>
        <v>1600</v>
      </c>
      <c r="H324" s="75"/>
      <c r="I324" s="75">
        <f t="shared" si="165"/>
        <v>1600</v>
      </c>
      <c r="J324" s="75">
        <v>1200</v>
      </c>
      <c r="K324" s="75">
        <f t="shared" si="166"/>
        <v>2800</v>
      </c>
      <c r="L324" s="75"/>
      <c r="M324" s="75">
        <f t="shared" si="167"/>
        <v>2800</v>
      </c>
      <c r="N324" s="75"/>
      <c r="O324" s="75">
        <f t="shared" si="168"/>
        <v>2800</v>
      </c>
      <c r="P324" s="75"/>
      <c r="Q324" s="75">
        <f t="shared" si="169"/>
        <v>2800</v>
      </c>
    </row>
    <row r="325" spans="1:17" s="27" customFormat="1" ht="33.75">
      <c r="A325" s="101"/>
      <c r="B325" s="82"/>
      <c r="C325" s="51">
        <v>4360</v>
      </c>
      <c r="D325" s="41" t="s">
        <v>495</v>
      </c>
      <c r="E325" s="75">
        <v>1200</v>
      </c>
      <c r="F325" s="75"/>
      <c r="G325" s="75">
        <f t="shared" si="164"/>
        <v>1200</v>
      </c>
      <c r="H325" s="75"/>
      <c r="I325" s="75">
        <f t="shared" si="165"/>
        <v>1200</v>
      </c>
      <c r="J325" s="75"/>
      <c r="K325" s="75">
        <f t="shared" si="166"/>
        <v>1200</v>
      </c>
      <c r="L325" s="75"/>
      <c r="M325" s="75">
        <f t="shared" si="167"/>
        <v>1200</v>
      </c>
      <c r="N325" s="75"/>
      <c r="O325" s="75">
        <f t="shared" si="168"/>
        <v>1200</v>
      </c>
      <c r="P325" s="75"/>
      <c r="Q325" s="75">
        <f t="shared" si="169"/>
        <v>1200</v>
      </c>
    </row>
    <row r="326" spans="1:17" s="27" customFormat="1" ht="45">
      <c r="A326" s="101"/>
      <c r="B326" s="82"/>
      <c r="C326" s="51">
        <v>4370</v>
      </c>
      <c r="D326" s="41" t="s">
        <v>494</v>
      </c>
      <c r="E326" s="75">
        <v>4800</v>
      </c>
      <c r="F326" s="75"/>
      <c r="G326" s="75">
        <f t="shared" si="164"/>
        <v>4800</v>
      </c>
      <c r="H326" s="75"/>
      <c r="I326" s="75">
        <f t="shared" si="165"/>
        <v>4800</v>
      </c>
      <c r="J326" s="75">
        <v>-1200</v>
      </c>
      <c r="K326" s="75">
        <f t="shared" si="166"/>
        <v>3600</v>
      </c>
      <c r="L326" s="75"/>
      <c r="M326" s="75">
        <f t="shared" si="167"/>
        <v>3600</v>
      </c>
      <c r="N326" s="75"/>
      <c r="O326" s="75">
        <f t="shared" si="168"/>
        <v>3600</v>
      </c>
      <c r="P326" s="75"/>
      <c r="Q326" s="75">
        <f t="shared" si="169"/>
        <v>3600</v>
      </c>
    </row>
    <row r="327" spans="1:17" s="27" customFormat="1" ht="21" customHeight="1">
      <c r="A327" s="101"/>
      <c r="B327" s="82"/>
      <c r="C327" s="51">
        <v>4410</v>
      </c>
      <c r="D327" s="41" t="s">
        <v>90</v>
      </c>
      <c r="E327" s="75">
        <v>2000</v>
      </c>
      <c r="F327" s="75"/>
      <c r="G327" s="75">
        <f t="shared" si="164"/>
        <v>2000</v>
      </c>
      <c r="H327" s="75"/>
      <c r="I327" s="75">
        <f t="shared" si="165"/>
        <v>2000</v>
      </c>
      <c r="J327" s="75"/>
      <c r="K327" s="75">
        <f t="shared" si="166"/>
        <v>2000</v>
      </c>
      <c r="L327" s="75"/>
      <c r="M327" s="75">
        <f t="shared" si="167"/>
        <v>2000</v>
      </c>
      <c r="N327" s="75">
        <v>1000</v>
      </c>
      <c r="O327" s="75">
        <f t="shared" si="168"/>
        <v>3000</v>
      </c>
      <c r="P327" s="75"/>
      <c r="Q327" s="75">
        <f t="shared" si="169"/>
        <v>3000</v>
      </c>
    </row>
    <row r="328" spans="1:17" s="27" customFormat="1" ht="21" customHeight="1">
      <c r="A328" s="101"/>
      <c r="B328" s="82"/>
      <c r="C328" s="51">
        <v>4430</v>
      </c>
      <c r="D328" s="41" t="s">
        <v>94</v>
      </c>
      <c r="E328" s="75">
        <v>3000</v>
      </c>
      <c r="F328" s="75"/>
      <c r="G328" s="75">
        <f t="shared" si="164"/>
        <v>3000</v>
      </c>
      <c r="H328" s="75"/>
      <c r="I328" s="75">
        <f t="shared" si="165"/>
        <v>3000</v>
      </c>
      <c r="J328" s="75"/>
      <c r="K328" s="75">
        <f t="shared" si="166"/>
        <v>3000</v>
      </c>
      <c r="L328" s="75">
        <v>-284</v>
      </c>
      <c r="M328" s="75">
        <f t="shared" si="167"/>
        <v>2716</v>
      </c>
      <c r="N328" s="75"/>
      <c r="O328" s="75">
        <f t="shared" si="168"/>
        <v>2716</v>
      </c>
      <c r="P328" s="75"/>
      <c r="Q328" s="75">
        <f t="shared" si="169"/>
        <v>2716</v>
      </c>
    </row>
    <row r="329" spans="1:17" s="27" customFormat="1" ht="22.5">
      <c r="A329" s="101"/>
      <c r="B329" s="82"/>
      <c r="C329" s="51">
        <v>4440</v>
      </c>
      <c r="D329" s="14" t="s">
        <v>88</v>
      </c>
      <c r="E329" s="75">
        <v>4875</v>
      </c>
      <c r="F329" s="75"/>
      <c r="G329" s="75">
        <f t="shared" si="164"/>
        <v>4875</v>
      </c>
      <c r="H329" s="75"/>
      <c r="I329" s="75">
        <f t="shared" si="165"/>
        <v>4875</v>
      </c>
      <c r="J329" s="75"/>
      <c r="K329" s="75">
        <f t="shared" si="166"/>
        <v>4875</v>
      </c>
      <c r="L329" s="75"/>
      <c r="M329" s="75">
        <f t="shared" si="167"/>
        <v>4875</v>
      </c>
      <c r="N329" s="75"/>
      <c r="O329" s="75">
        <f t="shared" si="168"/>
        <v>4875</v>
      </c>
      <c r="P329" s="75"/>
      <c r="Q329" s="75">
        <f t="shared" si="169"/>
        <v>4875</v>
      </c>
    </row>
    <row r="330" spans="1:17" s="27" customFormat="1" ht="23.25" customHeight="1">
      <c r="A330" s="101"/>
      <c r="B330" s="82"/>
      <c r="C330" s="51">
        <v>4580</v>
      </c>
      <c r="D330" s="14" t="s">
        <v>11</v>
      </c>
      <c r="E330" s="75"/>
      <c r="F330" s="75"/>
      <c r="G330" s="75"/>
      <c r="H330" s="75"/>
      <c r="I330" s="75"/>
      <c r="J330" s="75"/>
      <c r="K330" s="75">
        <v>0</v>
      </c>
      <c r="L330" s="75">
        <v>284</v>
      </c>
      <c r="M330" s="75">
        <f t="shared" si="167"/>
        <v>284</v>
      </c>
      <c r="N330" s="75"/>
      <c r="O330" s="75">
        <f t="shared" si="168"/>
        <v>284</v>
      </c>
      <c r="P330" s="75"/>
      <c r="Q330" s="75">
        <f t="shared" si="169"/>
        <v>284</v>
      </c>
    </row>
    <row r="331" spans="1:17" s="27" customFormat="1" ht="22.5">
      <c r="A331" s="101"/>
      <c r="B331" s="82"/>
      <c r="C331" s="51">
        <v>4610</v>
      </c>
      <c r="D331" s="41" t="s">
        <v>182</v>
      </c>
      <c r="E331" s="75">
        <v>1000</v>
      </c>
      <c r="F331" s="75"/>
      <c r="G331" s="75">
        <f t="shared" si="164"/>
        <v>1000</v>
      </c>
      <c r="H331" s="75"/>
      <c r="I331" s="75">
        <f t="shared" si="165"/>
        <v>1000</v>
      </c>
      <c r="J331" s="75"/>
      <c r="K331" s="75">
        <f t="shared" si="166"/>
        <v>1000</v>
      </c>
      <c r="L331" s="75"/>
      <c r="M331" s="75">
        <f t="shared" si="167"/>
        <v>1000</v>
      </c>
      <c r="N331" s="75"/>
      <c r="O331" s="75">
        <f t="shared" si="168"/>
        <v>1000</v>
      </c>
      <c r="P331" s="75"/>
      <c r="Q331" s="75">
        <f t="shared" si="169"/>
        <v>1000</v>
      </c>
    </row>
    <row r="332" spans="1:17" s="27" customFormat="1" ht="22.5">
      <c r="A332" s="101"/>
      <c r="B332" s="82"/>
      <c r="C332" s="51">
        <v>4700</v>
      </c>
      <c r="D332" s="41" t="s">
        <v>260</v>
      </c>
      <c r="E332" s="75">
        <v>3000</v>
      </c>
      <c r="F332" s="75"/>
      <c r="G332" s="75">
        <f t="shared" si="164"/>
        <v>3000</v>
      </c>
      <c r="H332" s="75"/>
      <c r="I332" s="75">
        <f t="shared" si="165"/>
        <v>3000</v>
      </c>
      <c r="J332" s="75"/>
      <c r="K332" s="75">
        <f t="shared" si="166"/>
        <v>3000</v>
      </c>
      <c r="L332" s="75"/>
      <c r="M332" s="75">
        <f t="shared" si="167"/>
        <v>3000</v>
      </c>
      <c r="N332" s="75"/>
      <c r="O332" s="75">
        <f t="shared" si="168"/>
        <v>3000</v>
      </c>
      <c r="P332" s="75"/>
      <c r="Q332" s="75">
        <f t="shared" si="169"/>
        <v>3000</v>
      </c>
    </row>
    <row r="333" spans="1:17" s="27" customFormat="1" ht="28.5" customHeight="1">
      <c r="A333" s="101"/>
      <c r="B333" s="82"/>
      <c r="C333" s="51">
        <v>4740</v>
      </c>
      <c r="D333" s="41" t="s">
        <v>288</v>
      </c>
      <c r="E333" s="75">
        <v>2000</v>
      </c>
      <c r="F333" s="75"/>
      <c r="G333" s="75">
        <f t="shared" si="164"/>
        <v>2000</v>
      </c>
      <c r="H333" s="75"/>
      <c r="I333" s="75">
        <f t="shared" si="165"/>
        <v>2000</v>
      </c>
      <c r="J333" s="75"/>
      <c r="K333" s="75">
        <f t="shared" si="166"/>
        <v>2000</v>
      </c>
      <c r="L333" s="75"/>
      <c r="M333" s="75">
        <f t="shared" si="167"/>
        <v>2000</v>
      </c>
      <c r="N333" s="75"/>
      <c r="O333" s="75">
        <f t="shared" si="168"/>
        <v>2000</v>
      </c>
      <c r="P333" s="75"/>
      <c r="Q333" s="75">
        <f t="shared" si="169"/>
        <v>2000</v>
      </c>
    </row>
    <row r="334" spans="1:17" s="27" customFormat="1" ht="28.5" customHeight="1">
      <c r="A334" s="101"/>
      <c r="B334" s="82"/>
      <c r="C334" s="51">
        <v>4750</v>
      </c>
      <c r="D334" s="41" t="s">
        <v>264</v>
      </c>
      <c r="E334" s="75">
        <v>5000</v>
      </c>
      <c r="F334" s="75"/>
      <c r="G334" s="75">
        <f t="shared" si="164"/>
        <v>5000</v>
      </c>
      <c r="H334" s="75"/>
      <c r="I334" s="75">
        <f t="shared" si="165"/>
        <v>5000</v>
      </c>
      <c r="J334" s="75"/>
      <c r="K334" s="75">
        <f t="shared" si="166"/>
        <v>5000</v>
      </c>
      <c r="L334" s="75"/>
      <c r="M334" s="75">
        <f t="shared" si="167"/>
        <v>5000</v>
      </c>
      <c r="N334" s="75">
        <v>-1000</v>
      </c>
      <c r="O334" s="75">
        <f t="shared" si="168"/>
        <v>4000</v>
      </c>
      <c r="P334" s="75"/>
      <c r="Q334" s="75">
        <f t="shared" si="169"/>
        <v>4000</v>
      </c>
    </row>
    <row r="335" spans="1:17" s="27" customFormat="1" ht="67.5">
      <c r="A335" s="71"/>
      <c r="B335" s="91">
        <v>85213</v>
      </c>
      <c r="C335" s="90"/>
      <c r="D335" s="81" t="s">
        <v>289</v>
      </c>
      <c r="E335" s="85">
        <f aca="true" t="shared" si="170" ref="E335:Q335">SUM(E336)</f>
        <v>49134</v>
      </c>
      <c r="F335" s="85">
        <f t="shared" si="170"/>
        <v>0</v>
      </c>
      <c r="G335" s="85">
        <f t="shared" si="170"/>
        <v>49134</v>
      </c>
      <c r="H335" s="85">
        <f t="shared" si="170"/>
        <v>0</v>
      </c>
      <c r="I335" s="85">
        <f t="shared" si="170"/>
        <v>49134</v>
      </c>
      <c r="J335" s="85">
        <f t="shared" si="170"/>
        <v>-73</v>
      </c>
      <c r="K335" s="85">
        <f t="shared" si="170"/>
        <v>49061</v>
      </c>
      <c r="L335" s="85">
        <f t="shared" si="170"/>
        <v>0</v>
      </c>
      <c r="M335" s="85">
        <f t="shared" si="170"/>
        <v>49061</v>
      </c>
      <c r="N335" s="85">
        <f t="shared" si="170"/>
        <v>0</v>
      </c>
      <c r="O335" s="85">
        <f t="shared" si="170"/>
        <v>49061</v>
      </c>
      <c r="P335" s="85">
        <f t="shared" si="170"/>
        <v>0</v>
      </c>
      <c r="Q335" s="85">
        <f t="shared" si="170"/>
        <v>49061</v>
      </c>
    </row>
    <row r="336" spans="1:17" s="27" customFormat="1" ht="21" customHeight="1">
      <c r="A336" s="71"/>
      <c r="B336" s="91"/>
      <c r="C336" s="90">
        <v>4130</v>
      </c>
      <c r="D336" s="41" t="s">
        <v>120</v>
      </c>
      <c r="E336" s="75">
        <f>12000+37134</f>
        <v>49134</v>
      </c>
      <c r="F336" s="75"/>
      <c r="G336" s="75">
        <f>SUM(E336:F336)</f>
        <v>49134</v>
      </c>
      <c r="H336" s="75"/>
      <c r="I336" s="75">
        <f>SUM(G336:H336)</f>
        <v>49134</v>
      </c>
      <c r="J336" s="75">
        <v>-73</v>
      </c>
      <c r="K336" s="75">
        <f>SUM(I336:J336)</f>
        <v>49061</v>
      </c>
      <c r="L336" s="75"/>
      <c r="M336" s="75">
        <f>SUM(K336:L336)</f>
        <v>49061</v>
      </c>
      <c r="N336" s="75"/>
      <c r="O336" s="75">
        <f>SUM(M336:N336)</f>
        <v>49061</v>
      </c>
      <c r="P336" s="75"/>
      <c r="Q336" s="75">
        <f>SUM(O336:P336)</f>
        <v>49061</v>
      </c>
    </row>
    <row r="337" spans="1:17" s="27" customFormat="1" ht="22.5">
      <c r="A337" s="71"/>
      <c r="B337" s="86">
        <v>85214</v>
      </c>
      <c r="C337" s="90"/>
      <c r="D337" s="41" t="s">
        <v>204</v>
      </c>
      <c r="E337" s="85">
        <f aca="true" t="shared" si="171" ref="E337:K337">SUM(E338:E339)</f>
        <v>1489695</v>
      </c>
      <c r="F337" s="85">
        <f t="shared" si="171"/>
        <v>0</v>
      </c>
      <c r="G337" s="85">
        <f t="shared" si="171"/>
        <v>1489695</v>
      </c>
      <c r="H337" s="85">
        <f t="shared" si="171"/>
        <v>0</v>
      </c>
      <c r="I337" s="85">
        <f t="shared" si="171"/>
        <v>1489695</v>
      </c>
      <c r="J337" s="85">
        <f t="shared" si="171"/>
        <v>0</v>
      </c>
      <c r="K337" s="85">
        <f t="shared" si="171"/>
        <v>1489695</v>
      </c>
      <c r="L337" s="85">
        <f aca="true" t="shared" si="172" ref="L337:Q337">SUM(L338:L339)</f>
        <v>0</v>
      </c>
      <c r="M337" s="85">
        <f t="shared" si="172"/>
        <v>1489695</v>
      </c>
      <c r="N337" s="85">
        <f t="shared" si="172"/>
        <v>0</v>
      </c>
      <c r="O337" s="85">
        <f t="shared" si="172"/>
        <v>1489695</v>
      </c>
      <c r="P337" s="85">
        <f t="shared" si="172"/>
        <v>0</v>
      </c>
      <c r="Q337" s="85">
        <f t="shared" si="172"/>
        <v>1489695</v>
      </c>
    </row>
    <row r="338" spans="1:17" s="27" customFormat="1" ht="21" customHeight="1">
      <c r="A338" s="71"/>
      <c r="B338" s="86"/>
      <c r="C338" s="90">
        <v>3110</v>
      </c>
      <c r="D338" s="41" t="s">
        <v>112</v>
      </c>
      <c r="E338" s="85">
        <f>539695+949000</f>
        <v>1488695</v>
      </c>
      <c r="F338" s="85"/>
      <c r="G338" s="85">
        <f>SUM(E338:F338)</f>
        <v>1488695</v>
      </c>
      <c r="H338" s="85"/>
      <c r="I338" s="85">
        <f>SUM(G338:H338)</f>
        <v>1488695</v>
      </c>
      <c r="J338" s="85"/>
      <c r="K338" s="85">
        <f>SUM(I338:J338)</f>
        <v>1488695</v>
      </c>
      <c r="L338" s="85"/>
      <c r="M338" s="85">
        <f>SUM(K338:L338)</f>
        <v>1488695</v>
      </c>
      <c r="N338" s="85"/>
      <c r="O338" s="85">
        <f>SUM(M338:N338)</f>
        <v>1488695</v>
      </c>
      <c r="P338" s="85"/>
      <c r="Q338" s="85">
        <f>SUM(O338:P338)</f>
        <v>1488695</v>
      </c>
    </row>
    <row r="339" spans="1:17" s="27" customFormat="1" ht="21" customHeight="1">
      <c r="A339" s="71"/>
      <c r="B339" s="86"/>
      <c r="C339" s="51">
        <v>4110</v>
      </c>
      <c r="D339" s="14" t="s">
        <v>86</v>
      </c>
      <c r="E339" s="85">
        <v>1000</v>
      </c>
      <c r="F339" s="85"/>
      <c r="G339" s="85">
        <f>SUM(E339:F339)</f>
        <v>1000</v>
      </c>
      <c r="H339" s="85"/>
      <c r="I339" s="85">
        <f>SUM(G339:H339)</f>
        <v>1000</v>
      </c>
      <c r="J339" s="85"/>
      <c r="K339" s="85">
        <f>SUM(I339:J339)</f>
        <v>1000</v>
      </c>
      <c r="L339" s="85"/>
      <c r="M339" s="85">
        <f>SUM(K339:L339)</f>
        <v>1000</v>
      </c>
      <c r="N339" s="85"/>
      <c r="O339" s="85">
        <f>SUM(M339:N339)</f>
        <v>1000</v>
      </c>
      <c r="P339" s="85"/>
      <c r="Q339" s="85">
        <f>SUM(O339:P339)</f>
        <v>1000</v>
      </c>
    </row>
    <row r="340" spans="1:17" s="27" customFormat="1" ht="21" customHeight="1">
      <c r="A340" s="71"/>
      <c r="B340" s="86">
        <v>85215</v>
      </c>
      <c r="C340" s="90"/>
      <c r="D340" s="41" t="s">
        <v>57</v>
      </c>
      <c r="E340" s="85">
        <f aca="true" t="shared" si="173" ref="E340:Q340">SUM(E341)</f>
        <v>819400</v>
      </c>
      <c r="F340" s="85">
        <f t="shared" si="173"/>
        <v>0</v>
      </c>
      <c r="G340" s="85">
        <f t="shared" si="173"/>
        <v>819400</v>
      </c>
      <c r="H340" s="85">
        <f t="shared" si="173"/>
        <v>0</v>
      </c>
      <c r="I340" s="85">
        <f t="shared" si="173"/>
        <v>819400</v>
      </c>
      <c r="J340" s="85">
        <f t="shared" si="173"/>
        <v>0</v>
      </c>
      <c r="K340" s="85">
        <f t="shared" si="173"/>
        <v>819400</v>
      </c>
      <c r="L340" s="85">
        <f t="shared" si="173"/>
        <v>0</v>
      </c>
      <c r="M340" s="85">
        <f t="shared" si="173"/>
        <v>819400</v>
      </c>
      <c r="N340" s="85">
        <f t="shared" si="173"/>
        <v>0</v>
      </c>
      <c r="O340" s="85">
        <f t="shared" si="173"/>
        <v>819400</v>
      </c>
      <c r="P340" s="85">
        <f t="shared" si="173"/>
        <v>0</v>
      </c>
      <c r="Q340" s="85">
        <f t="shared" si="173"/>
        <v>819400</v>
      </c>
    </row>
    <row r="341" spans="1:17" s="27" customFormat="1" ht="21" customHeight="1">
      <c r="A341" s="71"/>
      <c r="B341" s="86"/>
      <c r="C341" s="90">
        <v>3110</v>
      </c>
      <c r="D341" s="41" t="s">
        <v>112</v>
      </c>
      <c r="E341" s="85">
        <f>900000-80600</f>
        <v>819400</v>
      </c>
      <c r="F341" s="85"/>
      <c r="G341" s="85">
        <f>SUM(E341:F341)</f>
        <v>819400</v>
      </c>
      <c r="H341" s="85"/>
      <c r="I341" s="85">
        <f>SUM(G341:H341)</f>
        <v>819400</v>
      </c>
      <c r="J341" s="85"/>
      <c r="K341" s="85">
        <f>SUM(I341:J341)</f>
        <v>819400</v>
      </c>
      <c r="L341" s="85"/>
      <c r="M341" s="85">
        <f>SUM(K341:L341)</f>
        <v>819400</v>
      </c>
      <c r="N341" s="85"/>
      <c r="O341" s="85">
        <f>SUM(M341:N341)</f>
        <v>819400</v>
      </c>
      <c r="P341" s="85"/>
      <c r="Q341" s="85">
        <f>SUM(O341:P341)</f>
        <v>819400</v>
      </c>
    </row>
    <row r="342" spans="1:17" s="27" customFormat="1" ht="21" customHeight="1">
      <c r="A342" s="71"/>
      <c r="B342" s="86">
        <v>82516</v>
      </c>
      <c r="C342" s="90"/>
      <c r="D342" s="41" t="s">
        <v>307</v>
      </c>
      <c r="E342" s="85">
        <f aca="true" t="shared" si="174" ref="E342:Q342">SUM(E343)</f>
        <v>449868</v>
      </c>
      <c r="F342" s="85">
        <f t="shared" si="174"/>
        <v>0</v>
      </c>
      <c r="G342" s="85">
        <f t="shared" si="174"/>
        <v>449868</v>
      </c>
      <c r="H342" s="85">
        <f t="shared" si="174"/>
        <v>0</v>
      </c>
      <c r="I342" s="85">
        <f t="shared" si="174"/>
        <v>449868</v>
      </c>
      <c r="J342" s="85">
        <f t="shared" si="174"/>
        <v>0</v>
      </c>
      <c r="K342" s="85">
        <f t="shared" si="174"/>
        <v>449868</v>
      </c>
      <c r="L342" s="85">
        <f t="shared" si="174"/>
        <v>0</v>
      </c>
      <c r="M342" s="85">
        <f t="shared" si="174"/>
        <v>449868</v>
      </c>
      <c r="N342" s="85">
        <f t="shared" si="174"/>
        <v>0</v>
      </c>
      <c r="O342" s="85">
        <f t="shared" si="174"/>
        <v>449868</v>
      </c>
      <c r="P342" s="85">
        <f t="shared" si="174"/>
        <v>0</v>
      </c>
      <c r="Q342" s="85">
        <f t="shared" si="174"/>
        <v>449868</v>
      </c>
    </row>
    <row r="343" spans="1:17" s="27" customFormat="1" ht="21" customHeight="1">
      <c r="A343" s="71"/>
      <c r="B343" s="86"/>
      <c r="C343" s="90">
        <v>3110</v>
      </c>
      <c r="D343" s="41" t="s">
        <v>112</v>
      </c>
      <c r="E343" s="85">
        <v>449868</v>
      </c>
      <c r="F343" s="85"/>
      <c r="G343" s="85">
        <f>SUM(E343:F343)</f>
        <v>449868</v>
      </c>
      <c r="H343" s="85"/>
      <c r="I343" s="85">
        <f>SUM(G343:H343)</f>
        <v>449868</v>
      </c>
      <c r="J343" s="85"/>
      <c r="K343" s="85">
        <f>SUM(I343:J343)</f>
        <v>449868</v>
      </c>
      <c r="L343" s="85"/>
      <c r="M343" s="85">
        <f>SUM(K343:L343)</f>
        <v>449868</v>
      </c>
      <c r="N343" s="85"/>
      <c r="O343" s="85">
        <f>SUM(M343:N343)</f>
        <v>449868</v>
      </c>
      <c r="P343" s="85"/>
      <c r="Q343" s="85">
        <f>SUM(O343:P343)</f>
        <v>449868</v>
      </c>
    </row>
    <row r="344" spans="1:17" s="27" customFormat="1" ht="21" customHeight="1">
      <c r="A344" s="71"/>
      <c r="B344" s="86">
        <v>85219</v>
      </c>
      <c r="C344" s="90"/>
      <c r="D344" s="41" t="s">
        <v>58</v>
      </c>
      <c r="E344" s="85">
        <f aca="true" t="shared" si="175" ref="E344:K344">SUM(E345:E368)</f>
        <v>1374544</v>
      </c>
      <c r="F344" s="85">
        <f t="shared" si="175"/>
        <v>0</v>
      </c>
      <c r="G344" s="85">
        <f t="shared" si="175"/>
        <v>1374544</v>
      </c>
      <c r="H344" s="85">
        <f t="shared" si="175"/>
        <v>0</v>
      </c>
      <c r="I344" s="85">
        <f t="shared" si="175"/>
        <v>1374544</v>
      </c>
      <c r="J344" s="85">
        <f t="shared" si="175"/>
        <v>0</v>
      </c>
      <c r="K344" s="85">
        <f t="shared" si="175"/>
        <v>1374544</v>
      </c>
      <c r="L344" s="85">
        <f aca="true" t="shared" si="176" ref="L344:Q344">SUM(L345:L368)</f>
        <v>5500</v>
      </c>
      <c r="M344" s="85">
        <f t="shared" si="176"/>
        <v>1380044</v>
      </c>
      <c r="N344" s="85">
        <f t="shared" si="176"/>
        <v>0</v>
      </c>
      <c r="O344" s="85">
        <f t="shared" si="176"/>
        <v>1380044</v>
      </c>
      <c r="P344" s="85">
        <f t="shared" si="176"/>
        <v>13351</v>
      </c>
      <c r="Q344" s="85">
        <f t="shared" si="176"/>
        <v>1393395</v>
      </c>
    </row>
    <row r="345" spans="1:17" s="27" customFormat="1" ht="21" customHeight="1">
      <c r="A345" s="71"/>
      <c r="B345" s="86"/>
      <c r="C345" s="90">
        <v>3020</v>
      </c>
      <c r="D345" s="41" t="s">
        <v>210</v>
      </c>
      <c r="E345" s="85">
        <f>2610+770</f>
        <v>3380</v>
      </c>
      <c r="F345" s="85"/>
      <c r="G345" s="85">
        <f>SUM(E345:F345)</f>
        <v>3380</v>
      </c>
      <c r="H345" s="85"/>
      <c r="I345" s="85">
        <f>SUM(G345:H345)</f>
        <v>3380</v>
      </c>
      <c r="J345" s="85"/>
      <c r="K345" s="85">
        <f>SUM(I345:J345)</f>
        <v>3380</v>
      </c>
      <c r="L345" s="85"/>
      <c r="M345" s="85">
        <f>SUM(K345:L345)</f>
        <v>3380</v>
      </c>
      <c r="N345" s="85"/>
      <c r="O345" s="85">
        <f>SUM(M345:N345)</f>
        <v>3380</v>
      </c>
      <c r="P345" s="85"/>
      <c r="Q345" s="85">
        <f>SUM(O345:P345)</f>
        <v>3380</v>
      </c>
    </row>
    <row r="346" spans="1:17" s="27" customFormat="1" ht="21" customHeight="1">
      <c r="A346" s="71"/>
      <c r="B346" s="86"/>
      <c r="C346" s="90">
        <v>3110</v>
      </c>
      <c r="D346" s="41" t="s">
        <v>112</v>
      </c>
      <c r="E346" s="85"/>
      <c r="F346" s="85"/>
      <c r="G346" s="85"/>
      <c r="H346" s="85"/>
      <c r="I346" s="85"/>
      <c r="J346" s="85"/>
      <c r="K346" s="85">
        <v>0</v>
      </c>
      <c r="L346" s="85">
        <v>5500</v>
      </c>
      <c r="M346" s="85">
        <f>SUM(K346:L346)</f>
        <v>5500</v>
      </c>
      <c r="N346" s="85"/>
      <c r="O346" s="85">
        <f>SUM(M346:N346)</f>
        <v>5500</v>
      </c>
      <c r="P346" s="85"/>
      <c r="Q346" s="85">
        <f>SUM(O346:P346)</f>
        <v>5500</v>
      </c>
    </row>
    <row r="347" spans="1:17" s="27" customFormat="1" ht="21" customHeight="1">
      <c r="A347" s="71"/>
      <c r="B347" s="86"/>
      <c r="C347" s="90">
        <v>4010</v>
      </c>
      <c r="D347" s="41" t="s">
        <v>84</v>
      </c>
      <c r="E347" s="85">
        <f>30333+277985+284599+80372</f>
        <v>673289</v>
      </c>
      <c r="F347" s="85"/>
      <c r="G347" s="85">
        <f aca="true" t="shared" si="177" ref="G347:G368">SUM(E347:F347)</f>
        <v>673289</v>
      </c>
      <c r="H347" s="85"/>
      <c r="I347" s="85">
        <f aca="true" t="shared" si="178" ref="I347:I368">SUM(G347:H347)</f>
        <v>673289</v>
      </c>
      <c r="J347" s="85"/>
      <c r="K347" s="85">
        <f aca="true" t="shared" si="179" ref="K347:K368">SUM(I347:J347)</f>
        <v>673289</v>
      </c>
      <c r="L347" s="259"/>
      <c r="M347" s="85">
        <f>SUM(K347:L347)</f>
        <v>673289</v>
      </c>
      <c r="N347" s="259"/>
      <c r="O347" s="85">
        <f>SUM(M347:N347)</f>
        <v>673289</v>
      </c>
      <c r="P347" s="85">
        <v>13351</v>
      </c>
      <c r="Q347" s="85">
        <f>SUM(O347:P347)</f>
        <v>686640</v>
      </c>
    </row>
    <row r="348" spans="1:17" s="27" customFormat="1" ht="21" customHeight="1">
      <c r="A348" s="71"/>
      <c r="B348" s="86"/>
      <c r="C348" s="90">
        <v>4040</v>
      </c>
      <c r="D348" s="41" t="s">
        <v>85</v>
      </c>
      <c r="E348" s="85">
        <f>2420+32000+14500+6200</f>
        <v>55120</v>
      </c>
      <c r="F348" s="85"/>
      <c r="G348" s="85">
        <f t="shared" si="177"/>
        <v>55120</v>
      </c>
      <c r="H348" s="85"/>
      <c r="I348" s="85">
        <f t="shared" si="178"/>
        <v>55120</v>
      </c>
      <c r="J348" s="85"/>
      <c r="K348" s="85">
        <f t="shared" si="179"/>
        <v>55120</v>
      </c>
      <c r="L348" s="85"/>
      <c r="M348" s="85">
        <f aca="true" t="shared" si="180" ref="M348:M368">SUM(K348:L348)</f>
        <v>55120</v>
      </c>
      <c r="N348" s="85"/>
      <c r="O348" s="85">
        <f aca="true" t="shared" si="181" ref="O348:O368">SUM(M348:N348)</f>
        <v>55120</v>
      </c>
      <c r="P348" s="85"/>
      <c r="Q348" s="85">
        <f aca="true" t="shared" si="182" ref="Q348:Q368">SUM(O348:P348)</f>
        <v>55120</v>
      </c>
    </row>
    <row r="349" spans="1:17" s="27" customFormat="1" ht="21" customHeight="1">
      <c r="A349" s="71"/>
      <c r="B349" s="86"/>
      <c r="C349" s="90">
        <v>4110</v>
      </c>
      <c r="D349" s="41" t="s">
        <v>86</v>
      </c>
      <c r="E349" s="85">
        <f>5008+42504+50164+13237</f>
        <v>110913</v>
      </c>
      <c r="F349" s="85"/>
      <c r="G349" s="85">
        <f t="shared" si="177"/>
        <v>110913</v>
      </c>
      <c r="H349" s="85"/>
      <c r="I349" s="85">
        <f t="shared" si="178"/>
        <v>110913</v>
      </c>
      <c r="J349" s="85"/>
      <c r="K349" s="85">
        <f t="shared" si="179"/>
        <v>110913</v>
      </c>
      <c r="L349" s="85"/>
      <c r="M349" s="85">
        <f t="shared" si="180"/>
        <v>110913</v>
      </c>
      <c r="N349" s="85"/>
      <c r="O349" s="85">
        <f t="shared" si="181"/>
        <v>110913</v>
      </c>
      <c r="P349" s="85"/>
      <c r="Q349" s="85">
        <f t="shared" si="182"/>
        <v>110913</v>
      </c>
    </row>
    <row r="350" spans="1:17" s="27" customFormat="1" ht="21" customHeight="1">
      <c r="A350" s="71"/>
      <c r="B350" s="86"/>
      <c r="C350" s="90">
        <v>4120</v>
      </c>
      <c r="D350" s="41" t="s">
        <v>87</v>
      </c>
      <c r="E350" s="85">
        <f>803+6810+7945+2121</f>
        <v>17679</v>
      </c>
      <c r="F350" s="85"/>
      <c r="G350" s="85">
        <f t="shared" si="177"/>
        <v>17679</v>
      </c>
      <c r="H350" s="85"/>
      <c r="I350" s="85">
        <f t="shared" si="178"/>
        <v>17679</v>
      </c>
      <c r="J350" s="85"/>
      <c r="K350" s="85">
        <f t="shared" si="179"/>
        <v>17679</v>
      </c>
      <c r="L350" s="85"/>
      <c r="M350" s="85">
        <f t="shared" si="180"/>
        <v>17679</v>
      </c>
      <c r="N350" s="85"/>
      <c r="O350" s="85">
        <f t="shared" si="181"/>
        <v>17679</v>
      </c>
      <c r="P350" s="85"/>
      <c r="Q350" s="85">
        <f t="shared" si="182"/>
        <v>17679</v>
      </c>
    </row>
    <row r="351" spans="1:17" s="27" customFormat="1" ht="21" customHeight="1">
      <c r="A351" s="71"/>
      <c r="B351" s="86"/>
      <c r="C351" s="90">
        <v>4170</v>
      </c>
      <c r="D351" s="41" t="s">
        <v>191</v>
      </c>
      <c r="E351" s="85">
        <v>10200</v>
      </c>
      <c r="F351" s="85"/>
      <c r="G351" s="85">
        <f t="shared" si="177"/>
        <v>10200</v>
      </c>
      <c r="H351" s="85"/>
      <c r="I351" s="85">
        <f t="shared" si="178"/>
        <v>10200</v>
      </c>
      <c r="J351" s="85"/>
      <c r="K351" s="85">
        <f t="shared" si="179"/>
        <v>10200</v>
      </c>
      <c r="L351" s="85"/>
      <c r="M351" s="85">
        <f t="shared" si="180"/>
        <v>10200</v>
      </c>
      <c r="N351" s="85"/>
      <c r="O351" s="85">
        <f t="shared" si="181"/>
        <v>10200</v>
      </c>
      <c r="P351" s="85"/>
      <c r="Q351" s="85">
        <f t="shared" si="182"/>
        <v>10200</v>
      </c>
    </row>
    <row r="352" spans="1:17" s="27" customFormat="1" ht="21" customHeight="1">
      <c r="A352" s="71"/>
      <c r="B352" s="86"/>
      <c r="C352" s="90">
        <v>4210</v>
      </c>
      <c r="D352" s="41" t="s">
        <v>92</v>
      </c>
      <c r="E352" s="85">
        <f>4200+21100+11850</f>
        <v>37150</v>
      </c>
      <c r="F352" s="85"/>
      <c r="G352" s="85">
        <f t="shared" si="177"/>
        <v>37150</v>
      </c>
      <c r="H352" s="85"/>
      <c r="I352" s="85">
        <f t="shared" si="178"/>
        <v>37150</v>
      </c>
      <c r="J352" s="85"/>
      <c r="K352" s="85">
        <f t="shared" si="179"/>
        <v>37150</v>
      </c>
      <c r="L352" s="85"/>
      <c r="M352" s="85">
        <f t="shared" si="180"/>
        <v>37150</v>
      </c>
      <c r="N352" s="85"/>
      <c r="O352" s="85">
        <f t="shared" si="181"/>
        <v>37150</v>
      </c>
      <c r="P352" s="85"/>
      <c r="Q352" s="85">
        <f t="shared" si="182"/>
        <v>37150</v>
      </c>
    </row>
    <row r="353" spans="1:17" s="27" customFormat="1" ht="21" customHeight="1">
      <c r="A353" s="71"/>
      <c r="B353" s="86"/>
      <c r="C353" s="90">
        <v>4220</v>
      </c>
      <c r="D353" s="41" t="s">
        <v>180</v>
      </c>
      <c r="E353" s="85">
        <v>190000</v>
      </c>
      <c r="F353" s="85"/>
      <c r="G353" s="85">
        <f t="shared" si="177"/>
        <v>190000</v>
      </c>
      <c r="H353" s="85"/>
      <c r="I353" s="85">
        <f t="shared" si="178"/>
        <v>190000</v>
      </c>
      <c r="J353" s="85"/>
      <c r="K353" s="85">
        <f t="shared" si="179"/>
        <v>190000</v>
      </c>
      <c r="L353" s="85"/>
      <c r="M353" s="85">
        <f t="shared" si="180"/>
        <v>190000</v>
      </c>
      <c r="N353" s="85"/>
      <c r="O353" s="85">
        <f t="shared" si="181"/>
        <v>190000</v>
      </c>
      <c r="P353" s="85"/>
      <c r="Q353" s="85">
        <f t="shared" si="182"/>
        <v>190000</v>
      </c>
    </row>
    <row r="354" spans="1:17" s="27" customFormat="1" ht="21" customHeight="1">
      <c r="A354" s="71"/>
      <c r="B354" s="86"/>
      <c r="C354" s="90">
        <v>4260</v>
      </c>
      <c r="D354" s="41" t="s">
        <v>95</v>
      </c>
      <c r="E354" s="85">
        <f>6340+13615</f>
        <v>19955</v>
      </c>
      <c r="F354" s="85"/>
      <c r="G354" s="85">
        <f t="shared" si="177"/>
        <v>19955</v>
      </c>
      <c r="H354" s="85"/>
      <c r="I354" s="85">
        <f t="shared" si="178"/>
        <v>19955</v>
      </c>
      <c r="J354" s="85"/>
      <c r="K354" s="85">
        <f t="shared" si="179"/>
        <v>19955</v>
      </c>
      <c r="L354" s="85"/>
      <c r="M354" s="85">
        <f t="shared" si="180"/>
        <v>19955</v>
      </c>
      <c r="N354" s="85"/>
      <c r="O354" s="85">
        <f t="shared" si="181"/>
        <v>19955</v>
      </c>
      <c r="P354" s="85"/>
      <c r="Q354" s="85">
        <f t="shared" si="182"/>
        <v>19955</v>
      </c>
    </row>
    <row r="355" spans="1:17" s="27" customFormat="1" ht="21" customHeight="1">
      <c r="A355" s="71"/>
      <c r="B355" s="86"/>
      <c r="C355" s="90">
        <v>4270</v>
      </c>
      <c r="D355" s="41" t="s">
        <v>78</v>
      </c>
      <c r="E355" s="85">
        <f>1000+1000</f>
        <v>2000</v>
      </c>
      <c r="F355" s="85"/>
      <c r="G355" s="85">
        <f t="shared" si="177"/>
        <v>2000</v>
      </c>
      <c r="H355" s="85"/>
      <c r="I355" s="85">
        <f t="shared" si="178"/>
        <v>2000</v>
      </c>
      <c r="J355" s="85"/>
      <c r="K355" s="85">
        <f t="shared" si="179"/>
        <v>2000</v>
      </c>
      <c r="L355" s="85"/>
      <c r="M355" s="85">
        <f t="shared" si="180"/>
        <v>2000</v>
      </c>
      <c r="N355" s="85"/>
      <c r="O355" s="85">
        <f t="shared" si="181"/>
        <v>2000</v>
      </c>
      <c r="P355" s="85"/>
      <c r="Q355" s="85">
        <f t="shared" si="182"/>
        <v>2000</v>
      </c>
    </row>
    <row r="356" spans="1:17" s="27" customFormat="1" ht="21" customHeight="1">
      <c r="A356" s="71"/>
      <c r="B356" s="86"/>
      <c r="C356" s="90">
        <v>4280</v>
      </c>
      <c r="D356" s="41" t="s">
        <v>198</v>
      </c>
      <c r="E356" s="85">
        <f>150+850+680</f>
        <v>1680</v>
      </c>
      <c r="F356" s="85"/>
      <c r="G356" s="85">
        <f t="shared" si="177"/>
        <v>1680</v>
      </c>
      <c r="H356" s="85"/>
      <c r="I356" s="85">
        <f t="shared" si="178"/>
        <v>1680</v>
      </c>
      <c r="J356" s="85"/>
      <c r="K356" s="85">
        <f t="shared" si="179"/>
        <v>1680</v>
      </c>
      <c r="L356" s="85"/>
      <c r="M356" s="85">
        <f t="shared" si="180"/>
        <v>1680</v>
      </c>
      <c r="N356" s="85"/>
      <c r="O356" s="85">
        <f t="shared" si="181"/>
        <v>1680</v>
      </c>
      <c r="P356" s="85"/>
      <c r="Q356" s="85">
        <f t="shared" si="182"/>
        <v>1680</v>
      </c>
    </row>
    <row r="357" spans="1:17" s="27" customFormat="1" ht="21" customHeight="1">
      <c r="A357" s="71"/>
      <c r="B357" s="86"/>
      <c r="C357" s="90">
        <v>4300</v>
      </c>
      <c r="D357" s="41" t="s">
        <v>79</v>
      </c>
      <c r="E357" s="85">
        <f>55660+35816+15620</f>
        <v>107096</v>
      </c>
      <c r="F357" s="85"/>
      <c r="G357" s="85">
        <f t="shared" si="177"/>
        <v>107096</v>
      </c>
      <c r="H357" s="85"/>
      <c r="I357" s="85">
        <f t="shared" si="178"/>
        <v>107096</v>
      </c>
      <c r="J357" s="85"/>
      <c r="K357" s="85">
        <f t="shared" si="179"/>
        <v>107096</v>
      </c>
      <c r="L357" s="85"/>
      <c r="M357" s="85">
        <f t="shared" si="180"/>
        <v>107096</v>
      </c>
      <c r="N357" s="85"/>
      <c r="O357" s="85">
        <f t="shared" si="181"/>
        <v>107096</v>
      </c>
      <c r="P357" s="85"/>
      <c r="Q357" s="85">
        <f t="shared" si="182"/>
        <v>107096</v>
      </c>
    </row>
    <row r="358" spans="1:17" s="27" customFormat="1" ht="21" customHeight="1">
      <c r="A358" s="71"/>
      <c r="B358" s="86"/>
      <c r="C358" s="90">
        <v>4350</v>
      </c>
      <c r="D358" s="41" t="s">
        <v>205</v>
      </c>
      <c r="E358" s="85">
        <f>550+627</f>
        <v>1177</v>
      </c>
      <c r="F358" s="85"/>
      <c r="G358" s="85">
        <f t="shared" si="177"/>
        <v>1177</v>
      </c>
      <c r="H358" s="85"/>
      <c r="I358" s="85">
        <f t="shared" si="178"/>
        <v>1177</v>
      </c>
      <c r="J358" s="85"/>
      <c r="K358" s="85">
        <f t="shared" si="179"/>
        <v>1177</v>
      </c>
      <c r="L358" s="85"/>
      <c r="M358" s="85">
        <f t="shared" si="180"/>
        <v>1177</v>
      </c>
      <c r="N358" s="85"/>
      <c r="O358" s="85">
        <f t="shared" si="181"/>
        <v>1177</v>
      </c>
      <c r="P358" s="85"/>
      <c r="Q358" s="85">
        <f t="shared" si="182"/>
        <v>1177</v>
      </c>
    </row>
    <row r="359" spans="1:17" s="27" customFormat="1" ht="33.75">
      <c r="A359" s="71"/>
      <c r="B359" s="86"/>
      <c r="C359" s="90">
        <v>4360</v>
      </c>
      <c r="D359" s="41" t="s">
        <v>495</v>
      </c>
      <c r="E359" s="85">
        <v>732</v>
      </c>
      <c r="F359" s="85"/>
      <c r="G359" s="85">
        <f t="shared" si="177"/>
        <v>732</v>
      </c>
      <c r="H359" s="85"/>
      <c r="I359" s="85">
        <f t="shared" si="178"/>
        <v>732</v>
      </c>
      <c r="J359" s="85"/>
      <c r="K359" s="85">
        <f t="shared" si="179"/>
        <v>732</v>
      </c>
      <c r="L359" s="85"/>
      <c r="M359" s="85">
        <f t="shared" si="180"/>
        <v>732</v>
      </c>
      <c r="N359" s="85"/>
      <c r="O359" s="85">
        <f t="shared" si="181"/>
        <v>732</v>
      </c>
      <c r="P359" s="85"/>
      <c r="Q359" s="85">
        <f t="shared" si="182"/>
        <v>732</v>
      </c>
    </row>
    <row r="360" spans="1:17" s="27" customFormat="1" ht="45">
      <c r="A360" s="71"/>
      <c r="B360" s="86"/>
      <c r="C360" s="90">
        <v>4370</v>
      </c>
      <c r="D360" s="41" t="s">
        <v>494</v>
      </c>
      <c r="E360" s="85">
        <f>2500+6000+480</f>
        <v>8980</v>
      </c>
      <c r="F360" s="85"/>
      <c r="G360" s="85">
        <f t="shared" si="177"/>
        <v>8980</v>
      </c>
      <c r="H360" s="85"/>
      <c r="I360" s="85">
        <f t="shared" si="178"/>
        <v>8980</v>
      </c>
      <c r="J360" s="85"/>
      <c r="K360" s="85">
        <f t="shared" si="179"/>
        <v>8980</v>
      </c>
      <c r="L360" s="85"/>
      <c r="M360" s="85">
        <f t="shared" si="180"/>
        <v>8980</v>
      </c>
      <c r="N360" s="85"/>
      <c r="O360" s="85">
        <f t="shared" si="181"/>
        <v>8980</v>
      </c>
      <c r="P360" s="85"/>
      <c r="Q360" s="85">
        <f t="shared" si="182"/>
        <v>8980</v>
      </c>
    </row>
    <row r="361" spans="1:17" s="27" customFormat="1" ht="32.25" customHeight="1">
      <c r="A361" s="71"/>
      <c r="B361" s="86"/>
      <c r="C361" s="90">
        <v>4400</v>
      </c>
      <c r="D361" s="41" t="s">
        <v>252</v>
      </c>
      <c r="E361" s="85">
        <f>2110+58055+13697</f>
        <v>73862</v>
      </c>
      <c r="F361" s="85"/>
      <c r="G361" s="85">
        <f t="shared" si="177"/>
        <v>73862</v>
      </c>
      <c r="H361" s="85"/>
      <c r="I361" s="85">
        <f t="shared" si="178"/>
        <v>73862</v>
      </c>
      <c r="J361" s="85"/>
      <c r="K361" s="85">
        <f t="shared" si="179"/>
        <v>73862</v>
      </c>
      <c r="L361" s="85"/>
      <c r="M361" s="85">
        <f t="shared" si="180"/>
        <v>73862</v>
      </c>
      <c r="N361" s="85"/>
      <c r="O361" s="85">
        <f t="shared" si="181"/>
        <v>73862</v>
      </c>
      <c r="P361" s="85"/>
      <c r="Q361" s="85">
        <f t="shared" si="182"/>
        <v>73862</v>
      </c>
    </row>
    <row r="362" spans="1:17" s="27" customFormat="1" ht="21" customHeight="1">
      <c r="A362" s="71"/>
      <c r="B362" s="86"/>
      <c r="C362" s="90">
        <v>4410</v>
      </c>
      <c r="D362" s="41" t="s">
        <v>90</v>
      </c>
      <c r="E362" s="85">
        <f>200+14518</f>
        <v>14718</v>
      </c>
      <c r="F362" s="85"/>
      <c r="G362" s="85">
        <f t="shared" si="177"/>
        <v>14718</v>
      </c>
      <c r="H362" s="85"/>
      <c r="I362" s="85">
        <f t="shared" si="178"/>
        <v>14718</v>
      </c>
      <c r="J362" s="85"/>
      <c r="K362" s="85">
        <f t="shared" si="179"/>
        <v>14718</v>
      </c>
      <c r="L362" s="85"/>
      <c r="M362" s="85">
        <f t="shared" si="180"/>
        <v>14718</v>
      </c>
      <c r="N362" s="85"/>
      <c r="O362" s="85">
        <f t="shared" si="181"/>
        <v>14718</v>
      </c>
      <c r="P362" s="85"/>
      <c r="Q362" s="85">
        <f t="shared" si="182"/>
        <v>14718</v>
      </c>
    </row>
    <row r="363" spans="1:17" s="27" customFormat="1" ht="21" customHeight="1">
      <c r="A363" s="71"/>
      <c r="B363" s="86"/>
      <c r="C363" s="90">
        <v>4430</v>
      </c>
      <c r="D363" s="41" t="s">
        <v>94</v>
      </c>
      <c r="E363" s="85">
        <v>3470</v>
      </c>
      <c r="F363" s="85"/>
      <c r="G363" s="85">
        <f t="shared" si="177"/>
        <v>3470</v>
      </c>
      <c r="H363" s="85"/>
      <c r="I363" s="85">
        <f t="shared" si="178"/>
        <v>3470</v>
      </c>
      <c r="J363" s="85"/>
      <c r="K363" s="85">
        <f t="shared" si="179"/>
        <v>3470</v>
      </c>
      <c r="L363" s="85"/>
      <c r="M363" s="85">
        <f t="shared" si="180"/>
        <v>3470</v>
      </c>
      <c r="N363" s="85"/>
      <c r="O363" s="85">
        <f t="shared" si="181"/>
        <v>3470</v>
      </c>
      <c r="P363" s="85"/>
      <c r="Q363" s="85">
        <f t="shared" si="182"/>
        <v>3470</v>
      </c>
    </row>
    <row r="364" spans="1:17" s="27" customFormat="1" ht="21" customHeight="1">
      <c r="A364" s="71"/>
      <c r="B364" s="86"/>
      <c r="C364" s="90">
        <v>4440</v>
      </c>
      <c r="D364" s="41" t="s">
        <v>88</v>
      </c>
      <c r="E364" s="85">
        <f>1133+15000+4398+4622</f>
        <v>25153</v>
      </c>
      <c r="F364" s="85"/>
      <c r="G364" s="85">
        <f t="shared" si="177"/>
        <v>25153</v>
      </c>
      <c r="H364" s="85"/>
      <c r="I364" s="85">
        <f t="shared" si="178"/>
        <v>25153</v>
      </c>
      <c r="J364" s="85"/>
      <c r="K364" s="85">
        <f t="shared" si="179"/>
        <v>25153</v>
      </c>
      <c r="L364" s="85"/>
      <c r="M364" s="85">
        <f t="shared" si="180"/>
        <v>25153</v>
      </c>
      <c r="N364" s="85"/>
      <c r="O364" s="85">
        <f t="shared" si="181"/>
        <v>25153</v>
      </c>
      <c r="P364" s="85"/>
      <c r="Q364" s="85">
        <f t="shared" si="182"/>
        <v>25153</v>
      </c>
    </row>
    <row r="365" spans="1:17" s="27" customFormat="1" ht="22.5">
      <c r="A365" s="71"/>
      <c r="B365" s="86"/>
      <c r="C365" s="90">
        <v>4610</v>
      </c>
      <c r="D365" s="41" t="s">
        <v>182</v>
      </c>
      <c r="E365" s="85">
        <f>1200+600</f>
        <v>1800</v>
      </c>
      <c r="F365" s="85"/>
      <c r="G365" s="85">
        <f t="shared" si="177"/>
        <v>1800</v>
      </c>
      <c r="H365" s="85"/>
      <c r="I365" s="85">
        <f t="shared" si="178"/>
        <v>1800</v>
      </c>
      <c r="J365" s="85"/>
      <c r="K365" s="85">
        <f t="shared" si="179"/>
        <v>1800</v>
      </c>
      <c r="L365" s="85"/>
      <c r="M365" s="85">
        <f t="shared" si="180"/>
        <v>1800</v>
      </c>
      <c r="N365" s="85"/>
      <c r="O365" s="85">
        <f t="shared" si="181"/>
        <v>1800</v>
      </c>
      <c r="P365" s="85"/>
      <c r="Q365" s="85">
        <f t="shared" si="182"/>
        <v>1800</v>
      </c>
    </row>
    <row r="366" spans="1:17" s="27" customFormat="1" ht="30.75" customHeight="1">
      <c r="A366" s="71"/>
      <c r="B366" s="86"/>
      <c r="C366" s="90">
        <v>4700</v>
      </c>
      <c r="D366" s="41" t="s">
        <v>260</v>
      </c>
      <c r="E366" s="85">
        <f>2000+6000</f>
        <v>8000</v>
      </c>
      <c r="F366" s="85"/>
      <c r="G366" s="85">
        <f t="shared" si="177"/>
        <v>8000</v>
      </c>
      <c r="H366" s="85"/>
      <c r="I366" s="85">
        <f t="shared" si="178"/>
        <v>8000</v>
      </c>
      <c r="J366" s="85"/>
      <c r="K366" s="85">
        <f t="shared" si="179"/>
        <v>8000</v>
      </c>
      <c r="L366" s="85"/>
      <c r="M366" s="85">
        <f t="shared" si="180"/>
        <v>8000</v>
      </c>
      <c r="N366" s="85"/>
      <c r="O366" s="85">
        <f t="shared" si="181"/>
        <v>8000</v>
      </c>
      <c r="P366" s="85"/>
      <c r="Q366" s="85">
        <f t="shared" si="182"/>
        <v>8000</v>
      </c>
    </row>
    <row r="367" spans="1:17" s="27" customFormat="1" ht="32.25" customHeight="1">
      <c r="A367" s="71"/>
      <c r="B367" s="86"/>
      <c r="C367" s="90">
        <v>4740</v>
      </c>
      <c r="D367" s="41" t="s">
        <v>288</v>
      </c>
      <c r="E367" s="85">
        <f>130+1600</f>
        <v>1730</v>
      </c>
      <c r="F367" s="85"/>
      <c r="G367" s="85">
        <f t="shared" si="177"/>
        <v>1730</v>
      </c>
      <c r="H367" s="85"/>
      <c r="I367" s="85">
        <f t="shared" si="178"/>
        <v>1730</v>
      </c>
      <c r="J367" s="85"/>
      <c r="K367" s="85">
        <f t="shared" si="179"/>
        <v>1730</v>
      </c>
      <c r="L367" s="85"/>
      <c r="M367" s="85">
        <f t="shared" si="180"/>
        <v>1730</v>
      </c>
      <c r="N367" s="85"/>
      <c r="O367" s="85">
        <f t="shared" si="181"/>
        <v>1730</v>
      </c>
      <c r="P367" s="85"/>
      <c r="Q367" s="85">
        <f t="shared" si="182"/>
        <v>1730</v>
      </c>
    </row>
    <row r="368" spans="1:17" s="27" customFormat="1" ht="28.5" customHeight="1">
      <c r="A368" s="71"/>
      <c r="B368" s="86"/>
      <c r="C368" s="90">
        <v>4750</v>
      </c>
      <c r="D368" s="41" t="s">
        <v>264</v>
      </c>
      <c r="E368" s="85">
        <f>700+5760</f>
        <v>6460</v>
      </c>
      <c r="F368" s="85"/>
      <c r="G368" s="85">
        <f t="shared" si="177"/>
        <v>6460</v>
      </c>
      <c r="H368" s="85"/>
      <c r="I368" s="85">
        <f t="shared" si="178"/>
        <v>6460</v>
      </c>
      <c r="J368" s="85"/>
      <c r="K368" s="85">
        <f t="shared" si="179"/>
        <v>6460</v>
      </c>
      <c r="L368" s="85"/>
      <c r="M368" s="85">
        <f t="shared" si="180"/>
        <v>6460</v>
      </c>
      <c r="N368" s="85"/>
      <c r="O368" s="85">
        <f t="shared" si="181"/>
        <v>6460</v>
      </c>
      <c r="P368" s="85"/>
      <c r="Q368" s="85">
        <f t="shared" si="182"/>
        <v>6460</v>
      </c>
    </row>
    <row r="369" spans="1:17" s="27" customFormat="1" ht="21" customHeight="1">
      <c r="A369" s="71"/>
      <c r="B369" s="86">
        <v>85228</v>
      </c>
      <c r="C369" s="90"/>
      <c r="D369" s="41" t="s">
        <v>121</v>
      </c>
      <c r="E369" s="85">
        <f aca="true" t="shared" si="183" ref="E369:Q369">SUM(E370)</f>
        <v>150000</v>
      </c>
      <c r="F369" s="85">
        <f t="shared" si="183"/>
        <v>0</v>
      </c>
      <c r="G369" s="85">
        <f t="shared" si="183"/>
        <v>150000</v>
      </c>
      <c r="H369" s="85">
        <f t="shared" si="183"/>
        <v>0</v>
      </c>
      <c r="I369" s="85">
        <f t="shared" si="183"/>
        <v>150000</v>
      </c>
      <c r="J369" s="85">
        <f t="shared" si="183"/>
        <v>0</v>
      </c>
      <c r="K369" s="85">
        <f t="shared" si="183"/>
        <v>150000</v>
      </c>
      <c r="L369" s="85">
        <f t="shared" si="183"/>
        <v>0</v>
      </c>
      <c r="M369" s="85">
        <f t="shared" si="183"/>
        <v>150000</v>
      </c>
      <c r="N369" s="85">
        <f t="shared" si="183"/>
        <v>0</v>
      </c>
      <c r="O369" s="85">
        <f t="shared" si="183"/>
        <v>150000</v>
      </c>
      <c r="P369" s="85">
        <f t="shared" si="183"/>
        <v>0</v>
      </c>
      <c r="Q369" s="85">
        <f t="shared" si="183"/>
        <v>150000</v>
      </c>
    </row>
    <row r="370" spans="1:17" s="27" customFormat="1" ht="21" customHeight="1">
      <c r="A370" s="71"/>
      <c r="B370" s="86"/>
      <c r="C370" s="90">
        <v>4300</v>
      </c>
      <c r="D370" s="41" t="s">
        <v>79</v>
      </c>
      <c r="E370" s="85">
        <v>150000</v>
      </c>
      <c r="F370" s="85"/>
      <c r="G370" s="85">
        <f>SUM(E370:F370)</f>
        <v>150000</v>
      </c>
      <c r="H370" s="85"/>
      <c r="I370" s="85">
        <f>SUM(G370:H370)</f>
        <v>150000</v>
      </c>
      <c r="J370" s="85"/>
      <c r="K370" s="85">
        <f>SUM(I370:J370)</f>
        <v>150000</v>
      </c>
      <c r="L370" s="85"/>
      <c r="M370" s="85">
        <f>SUM(K370:L370)</f>
        <v>150000</v>
      </c>
      <c r="N370" s="85"/>
      <c r="O370" s="85">
        <f>SUM(M370:N370)</f>
        <v>150000</v>
      </c>
      <c r="P370" s="85"/>
      <c r="Q370" s="85">
        <f>SUM(O370:P370)</f>
        <v>150000</v>
      </c>
    </row>
    <row r="371" spans="1:17" s="27" customFormat="1" ht="21" customHeight="1">
      <c r="A371" s="71"/>
      <c r="B371" s="86" t="s">
        <v>157</v>
      </c>
      <c r="C371" s="90"/>
      <c r="D371" s="41" t="s">
        <v>6</v>
      </c>
      <c r="E371" s="85">
        <f aca="true" t="shared" si="184" ref="E371:K371">SUM(E372:E373)</f>
        <v>265520</v>
      </c>
      <c r="F371" s="85">
        <f t="shared" si="184"/>
        <v>0</v>
      </c>
      <c r="G371" s="85">
        <f t="shared" si="184"/>
        <v>265520</v>
      </c>
      <c r="H371" s="85">
        <f t="shared" si="184"/>
        <v>530000</v>
      </c>
      <c r="I371" s="85">
        <f t="shared" si="184"/>
        <v>795520</v>
      </c>
      <c r="J371" s="85">
        <f t="shared" si="184"/>
        <v>0</v>
      </c>
      <c r="K371" s="85">
        <f t="shared" si="184"/>
        <v>795520</v>
      </c>
      <c r="L371" s="85">
        <f aca="true" t="shared" si="185" ref="L371:Q371">SUM(L372:L373)</f>
        <v>0</v>
      </c>
      <c r="M371" s="85">
        <f t="shared" si="185"/>
        <v>795520</v>
      </c>
      <c r="N371" s="85">
        <f t="shared" si="185"/>
        <v>0</v>
      </c>
      <c r="O371" s="85">
        <f t="shared" si="185"/>
        <v>795520</v>
      </c>
      <c r="P371" s="85">
        <f t="shared" si="185"/>
        <v>69400</v>
      </c>
      <c r="Q371" s="85">
        <f t="shared" si="185"/>
        <v>864920</v>
      </c>
    </row>
    <row r="372" spans="1:17" s="27" customFormat="1" ht="21" customHeight="1">
      <c r="A372" s="71"/>
      <c r="B372" s="86"/>
      <c r="C372" s="90">
        <v>3110</v>
      </c>
      <c r="D372" s="41" t="s">
        <v>112</v>
      </c>
      <c r="E372" s="75">
        <f>250000+10000</f>
        <v>260000</v>
      </c>
      <c r="F372" s="75"/>
      <c r="G372" s="75">
        <f>SUM(E372:F372)</f>
        <v>260000</v>
      </c>
      <c r="H372" s="75">
        <v>530000</v>
      </c>
      <c r="I372" s="75">
        <f>SUM(G372:H372)</f>
        <v>790000</v>
      </c>
      <c r="J372" s="75"/>
      <c r="K372" s="75">
        <f>SUM(I372:J372)</f>
        <v>790000</v>
      </c>
      <c r="L372" s="75"/>
      <c r="M372" s="75">
        <f>SUM(K372:L372)</f>
        <v>790000</v>
      </c>
      <c r="N372" s="75"/>
      <c r="O372" s="75">
        <f>SUM(M372:N372)</f>
        <v>790000</v>
      </c>
      <c r="P372" s="75">
        <v>69400</v>
      </c>
      <c r="Q372" s="75">
        <f>SUM(O372:P372)</f>
        <v>859400</v>
      </c>
    </row>
    <row r="373" spans="1:17" s="27" customFormat="1" ht="21" customHeight="1">
      <c r="A373" s="71"/>
      <c r="B373" s="86"/>
      <c r="C373" s="90">
        <v>4430</v>
      </c>
      <c r="D373" s="41" t="s">
        <v>94</v>
      </c>
      <c r="E373" s="85">
        <v>5520</v>
      </c>
      <c r="F373" s="85"/>
      <c r="G373" s="75">
        <f>SUM(E373:F373)</f>
        <v>5520</v>
      </c>
      <c r="H373" s="85"/>
      <c r="I373" s="75">
        <f>SUM(G373:H373)</f>
        <v>5520</v>
      </c>
      <c r="J373" s="85"/>
      <c r="K373" s="75">
        <f>SUM(I373:J373)</f>
        <v>5520</v>
      </c>
      <c r="L373" s="85"/>
      <c r="M373" s="75">
        <f>SUM(K373:L373)</f>
        <v>5520</v>
      </c>
      <c r="N373" s="85"/>
      <c r="O373" s="75">
        <f>SUM(M373:N373)</f>
        <v>5520</v>
      </c>
      <c r="P373" s="85"/>
      <c r="Q373" s="75">
        <f>SUM(O373:P373)</f>
        <v>5520</v>
      </c>
    </row>
    <row r="374" spans="1:17" s="163" customFormat="1" ht="21" customHeight="1">
      <c r="A374" s="159">
        <v>853</v>
      </c>
      <c r="B374" s="160"/>
      <c r="C374" s="161"/>
      <c r="D374" s="162" t="s">
        <v>280</v>
      </c>
      <c r="E374" s="211">
        <f aca="true" t="shared" si="186" ref="E374:Q375">E375</f>
        <v>10704</v>
      </c>
      <c r="F374" s="211">
        <f t="shared" si="186"/>
        <v>0</v>
      </c>
      <c r="G374" s="211">
        <f t="shared" si="186"/>
        <v>10704</v>
      </c>
      <c r="H374" s="211">
        <f t="shared" si="186"/>
        <v>0</v>
      </c>
      <c r="I374" s="211">
        <f t="shared" si="186"/>
        <v>10704</v>
      </c>
      <c r="J374" s="211">
        <f t="shared" si="186"/>
        <v>0</v>
      </c>
      <c r="K374" s="211">
        <f t="shared" si="186"/>
        <v>10704</v>
      </c>
      <c r="L374" s="211">
        <f t="shared" si="186"/>
        <v>1133</v>
      </c>
      <c r="M374" s="211">
        <f t="shared" si="186"/>
        <v>11837</v>
      </c>
      <c r="N374" s="211">
        <f t="shared" si="186"/>
        <v>0</v>
      </c>
      <c r="O374" s="211">
        <f t="shared" si="186"/>
        <v>11837</v>
      </c>
      <c r="P374" s="211">
        <f t="shared" si="186"/>
        <v>0</v>
      </c>
      <c r="Q374" s="211">
        <f t="shared" si="186"/>
        <v>11837</v>
      </c>
    </row>
    <row r="375" spans="1:17" s="27" customFormat="1" ht="21" customHeight="1">
      <c r="A375" s="71"/>
      <c r="B375" s="86">
        <v>85311</v>
      </c>
      <c r="C375" s="90"/>
      <c r="D375" s="41" t="s">
        <v>281</v>
      </c>
      <c r="E375" s="85">
        <f t="shared" si="186"/>
        <v>10704</v>
      </c>
      <c r="F375" s="85">
        <f t="shared" si="186"/>
        <v>0</v>
      </c>
      <c r="G375" s="85">
        <f t="shared" si="186"/>
        <v>10704</v>
      </c>
      <c r="H375" s="85">
        <f t="shared" si="186"/>
        <v>0</v>
      </c>
      <c r="I375" s="85">
        <f t="shared" si="186"/>
        <v>10704</v>
      </c>
      <c r="J375" s="85">
        <f t="shared" si="186"/>
        <v>0</v>
      </c>
      <c r="K375" s="85">
        <f t="shared" si="186"/>
        <v>10704</v>
      </c>
      <c r="L375" s="85">
        <f t="shared" si="186"/>
        <v>1133</v>
      </c>
      <c r="M375" s="85">
        <f t="shared" si="186"/>
        <v>11837</v>
      </c>
      <c r="N375" s="85">
        <f t="shared" si="186"/>
        <v>0</v>
      </c>
      <c r="O375" s="85">
        <f t="shared" si="186"/>
        <v>11837</v>
      </c>
      <c r="P375" s="85">
        <f t="shared" si="186"/>
        <v>0</v>
      </c>
      <c r="Q375" s="85">
        <f t="shared" si="186"/>
        <v>11837</v>
      </c>
    </row>
    <row r="376" spans="1:19" s="27" customFormat="1" ht="45">
      <c r="A376" s="71"/>
      <c r="B376" s="86"/>
      <c r="C376" s="90">
        <v>2710</v>
      </c>
      <c r="D376" s="41" t="s">
        <v>297</v>
      </c>
      <c r="E376" s="85">
        <v>10704</v>
      </c>
      <c r="F376" s="85"/>
      <c r="G376" s="85">
        <f>SUM(E376:F376)</f>
        <v>10704</v>
      </c>
      <c r="H376" s="85"/>
      <c r="I376" s="85">
        <f>SUM(G376:H376)</f>
        <v>10704</v>
      </c>
      <c r="J376" s="85"/>
      <c r="K376" s="85">
        <f>SUM(I376:J376)</f>
        <v>10704</v>
      </c>
      <c r="L376" s="85">
        <v>1133</v>
      </c>
      <c r="M376" s="85">
        <f>SUM(K376:L376)</f>
        <v>11837</v>
      </c>
      <c r="N376" s="85"/>
      <c r="O376" s="85">
        <f>SUM(M376:N376)</f>
        <v>11837</v>
      </c>
      <c r="P376" s="85"/>
      <c r="Q376" s="85">
        <f>SUM(O376:P376)</f>
        <v>11837</v>
      </c>
      <c r="R376" s="123"/>
      <c r="S376" s="123"/>
    </row>
    <row r="377" spans="1:17" s="8" customFormat="1" ht="21" customHeight="1">
      <c r="A377" s="36" t="s">
        <v>122</v>
      </c>
      <c r="B377" s="37"/>
      <c r="C377" s="38"/>
      <c r="D377" s="39" t="s">
        <v>59</v>
      </c>
      <c r="E377" s="40">
        <f aca="true" t="shared" si="187" ref="E377:K377">SUM(E378,E389,E398,E394,E392)</f>
        <v>1079023</v>
      </c>
      <c r="F377" s="40">
        <f t="shared" si="187"/>
        <v>-100000</v>
      </c>
      <c r="G377" s="40">
        <f t="shared" si="187"/>
        <v>979023</v>
      </c>
      <c r="H377" s="40">
        <f t="shared" si="187"/>
        <v>0</v>
      </c>
      <c r="I377" s="40">
        <f t="shared" si="187"/>
        <v>979023</v>
      </c>
      <c r="J377" s="40">
        <f t="shared" si="187"/>
        <v>0</v>
      </c>
      <c r="K377" s="40">
        <f t="shared" si="187"/>
        <v>979023</v>
      </c>
      <c r="L377" s="40">
        <f aca="true" t="shared" si="188" ref="L377:Q377">SUM(L378,L389,L398,L394,L392)</f>
        <v>63900</v>
      </c>
      <c r="M377" s="40">
        <f t="shared" si="188"/>
        <v>1042923</v>
      </c>
      <c r="N377" s="40">
        <f t="shared" si="188"/>
        <v>279792</v>
      </c>
      <c r="O377" s="40">
        <f t="shared" si="188"/>
        <v>1322715</v>
      </c>
      <c r="P377" s="40">
        <f t="shared" si="188"/>
        <v>0</v>
      </c>
      <c r="Q377" s="40">
        <f t="shared" si="188"/>
        <v>1322715</v>
      </c>
    </row>
    <row r="378" spans="1:17" s="27" customFormat="1" ht="21" customHeight="1">
      <c r="A378" s="71"/>
      <c r="B378" s="86">
        <v>85401</v>
      </c>
      <c r="C378" s="90"/>
      <c r="D378" s="41" t="s">
        <v>60</v>
      </c>
      <c r="E378" s="85">
        <f aca="true" t="shared" si="189" ref="E378:K378">SUM(E379:E388)</f>
        <v>622434</v>
      </c>
      <c r="F378" s="85">
        <f t="shared" si="189"/>
        <v>0</v>
      </c>
      <c r="G378" s="85">
        <f t="shared" si="189"/>
        <v>622434</v>
      </c>
      <c r="H378" s="85">
        <f t="shared" si="189"/>
        <v>0</v>
      </c>
      <c r="I378" s="85">
        <f t="shared" si="189"/>
        <v>622434</v>
      </c>
      <c r="J378" s="85">
        <f t="shared" si="189"/>
        <v>0</v>
      </c>
      <c r="K378" s="85">
        <f t="shared" si="189"/>
        <v>622434</v>
      </c>
      <c r="L378" s="85">
        <f aca="true" t="shared" si="190" ref="L378:Q378">SUM(L379:L388)</f>
        <v>50</v>
      </c>
      <c r="M378" s="85">
        <f t="shared" si="190"/>
        <v>622484</v>
      </c>
      <c r="N378" s="85">
        <f t="shared" si="190"/>
        <v>0</v>
      </c>
      <c r="O378" s="85">
        <f t="shared" si="190"/>
        <v>622484</v>
      </c>
      <c r="P378" s="85">
        <f t="shared" si="190"/>
        <v>0</v>
      </c>
      <c r="Q378" s="85">
        <f t="shared" si="190"/>
        <v>622484</v>
      </c>
    </row>
    <row r="379" spans="1:17" s="27" customFormat="1" ht="21" customHeight="1">
      <c r="A379" s="71"/>
      <c r="B379" s="86"/>
      <c r="C379" s="90">
        <v>3020</v>
      </c>
      <c r="D379" s="41" t="s">
        <v>210</v>
      </c>
      <c r="E379" s="85">
        <v>10531</v>
      </c>
      <c r="F379" s="85"/>
      <c r="G379" s="85">
        <f>SUM(E379:F379)</f>
        <v>10531</v>
      </c>
      <c r="H379" s="85"/>
      <c r="I379" s="85">
        <f>SUM(G379:H379)</f>
        <v>10531</v>
      </c>
      <c r="J379" s="85"/>
      <c r="K379" s="85">
        <f>SUM(I379:J379)</f>
        <v>10531</v>
      </c>
      <c r="L379" s="85"/>
      <c r="M379" s="85">
        <f>SUM(K379:L379)</f>
        <v>10531</v>
      </c>
      <c r="N379" s="85"/>
      <c r="O379" s="85">
        <f>SUM(M379:N379)</f>
        <v>10531</v>
      </c>
      <c r="P379" s="85"/>
      <c r="Q379" s="85">
        <f>SUM(O379:P379)</f>
        <v>10531</v>
      </c>
    </row>
    <row r="380" spans="1:17" s="27" customFormat="1" ht="21" customHeight="1">
      <c r="A380" s="71"/>
      <c r="B380" s="86"/>
      <c r="C380" s="90">
        <v>4010</v>
      </c>
      <c r="D380" s="41" t="s">
        <v>84</v>
      </c>
      <c r="E380" s="85">
        <v>448520</v>
      </c>
      <c r="F380" s="85"/>
      <c r="G380" s="85">
        <f aca="true" t="shared" si="191" ref="G380:G388">SUM(E380:F380)</f>
        <v>448520</v>
      </c>
      <c r="H380" s="85"/>
      <c r="I380" s="85">
        <f aca="true" t="shared" si="192" ref="I380:I388">SUM(G380:H380)</f>
        <v>448520</v>
      </c>
      <c r="J380" s="85"/>
      <c r="K380" s="85">
        <f aca="true" t="shared" si="193" ref="K380:K388">SUM(I380:J380)</f>
        <v>448520</v>
      </c>
      <c r="L380" s="85">
        <v>2113</v>
      </c>
      <c r="M380" s="85">
        <f aca="true" t="shared" si="194" ref="M380:M388">SUM(K380:L380)</f>
        <v>450633</v>
      </c>
      <c r="N380" s="85"/>
      <c r="O380" s="85">
        <f aca="true" t="shared" si="195" ref="O380:O388">SUM(M380:N380)</f>
        <v>450633</v>
      </c>
      <c r="P380" s="85"/>
      <c r="Q380" s="85">
        <f aca="true" t="shared" si="196" ref="Q380:Q388">SUM(O380:P380)</f>
        <v>450633</v>
      </c>
    </row>
    <row r="381" spans="1:17" s="27" customFormat="1" ht="21" customHeight="1">
      <c r="A381" s="71"/>
      <c r="B381" s="86"/>
      <c r="C381" s="90">
        <v>4040</v>
      </c>
      <c r="D381" s="41" t="s">
        <v>85</v>
      </c>
      <c r="E381" s="85">
        <v>31891</v>
      </c>
      <c r="F381" s="85"/>
      <c r="G381" s="85">
        <f t="shared" si="191"/>
        <v>31891</v>
      </c>
      <c r="H381" s="85"/>
      <c r="I381" s="85">
        <f t="shared" si="192"/>
        <v>31891</v>
      </c>
      <c r="J381" s="85"/>
      <c r="K381" s="85">
        <f t="shared" si="193"/>
        <v>31891</v>
      </c>
      <c r="L381" s="85">
        <v>-2063</v>
      </c>
      <c r="M381" s="85">
        <f t="shared" si="194"/>
        <v>29828</v>
      </c>
      <c r="N381" s="85"/>
      <c r="O381" s="85">
        <f t="shared" si="195"/>
        <v>29828</v>
      </c>
      <c r="P381" s="85"/>
      <c r="Q381" s="85">
        <f t="shared" si="196"/>
        <v>29828</v>
      </c>
    </row>
    <row r="382" spans="1:17" s="27" customFormat="1" ht="21" customHeight="1">
      <c r="A382" s="71"/>
      <c r="B382" s="86"/>
      <c r="C382" s="90">
        <v>4110</v>
      </c>
      <c r="D382" s="41" t="s">
        <v>86</v>
      </c>
      <c r="E382" s="85">
        <v>73489</v>
      </c>
      <c r="F382" s="85"/>
      <c r="G382" s="85">
        <f t="shared" si="191"/>
        <v>73489</v>
      </c>
      <c r="H382" s="85"/>
      <c r="I382" s="85">
        <f t="shared" si="192"/>
        <v>73489</v>
      </c>
      <c r="J382" s="85"/>
      <c r="K382" s="85">
        <f t="shared" si="193"/>
        <v>73489</v>
      </c>
      <c r="L382" s="85"/>
      <c r="M382" s="85">
        <f t="shared" si="194"/>
        <v>73489</v>
      </c>
      <c r="N382" s="85"/>
      <c r="O382" s="85">
        <f t="shared" si="195"/>
        <v>73489</v>
      </c>
      <c r="P382" s="85"/>
      <c r="Q382" s="85">
        <f t="shared" si="196"/>
        <v>73489</v>
      </c>
    </row>
    <row r="383" spans="1:17" s="27" customFormat="1" ht="21" customHeight="1">
      <c r="A383" s="71"/>
      <c r="B383" s="86"/>
      <c r="C383" s="90">
        <v>4120</v>
      </c>
      <c r="D383" s="41" t="s">
        <v>87</v>
      </c>
      <c r="E383" s="85">
        <v>11872</v>
      </c>
      <c r="F383" s="85"/>
      <c r="G383" s="85">
        <f t="shared" si="191"/>
        <v>11872</v>
      </c>
      <c r="H383" s="85"/>
      <c r="I383" s="85">
        <f t="shared" si="192"/>
        <v>11872</v>
      </c>
      <c r="J383" s="85"/>
      <c r="K383" s="85">
        <f t="shared" si="193"/>
        <v>11872</v>
      </c>
      <c r="L383" s="85"/>
      <c r="M383" s="85">
        <f t="shared" si="194"/>
        <v>11872</v>
      </c>
      <c r="N383" s="85"/>
      <c r="O383" s="85">
        <f t="shared" si="195"/>
        <v>11872</v>
      </c>
      <c r="P383" s="85"/>
      <c r="Q383" s="85">
        <f t="shared" si="196"/>
        <v>11872</v>
      </c>
    </row>
    <row r="384" spans="1:17" s="27" customFormat="1" ht="21" customHeight="1">
      <c r="A384" s="71"/>
      <c r="B384" s="86"/>
      <c r="C384" s="90">
        <v>4210</v>
      </c>
      <c r="D384" s="41" t="s">
        <v>92</v>
      </c>
      <c r="E384" s="85">
        <v>6500</v>
      </c>
      <c r="F384" s="85"/>
      <c r="G384" s="85">
        <f t="shared" si="191"/>
        <v>6500</v>
      </c>
      <c r="H384" s="85"/>
      <c r="I384" s="85">
        <f t="shared" si="192"/>
        <v>6500</v>
      </c>
      <c r="J384" s="85"/>
      <c r="K384" s="85">
        <f t="shared" si="193"/>
        <v>6500</v>
      </c>
      <c r="L384" s="85"/>
      <c r="M384" s="85">
        <f t="shared" si="194"/>
        <v>6500</v>
      </c>
      <c r="N384" s="85"/>
      <c r="O384" s="85">
        <f t="shared" si="195"/>
        <v>6500</v>
      </c>
      <c r="P384" s="85"/>
      <c r="Q384" s="85">
        <f t="shared" si="196"/>
        <v>6500</v>
      </c>
    </row>
    <row r="385" spans="1:17" s="27" customFormat="1" ht="21" customHeight="1">
      <c r="A385" s="71"/>
      <c r="B385" s="86"/>
      <c r="C385" s="90">
        <v>4240</v>
      </c>
      <c r="D385" s="41" t="s">
        <v>123</v>
      </c>
      <c r="E385" s="85">
        <v>5640</v>
      </c>
      <c r="F385" s="85"/>
      <c r="G385" s="85">
        <f t="shared" si="191"/>
        <v>5640</v>
      </c>
      <c r="H385" s="85"/>
      <c r="I385" s="85">
        <f t="shared" si="192"/>
        <v>5640</v>
      </c>
      <c r="J385" s="85"/>
      <c r="K385" s="85">
        <f t="shared" si="193"/>
        <v>5640</v>
      </c>
      <c r="L385" s="85"/>
      <c r="M385" s="85">
        <f t="shared" si="194"/>
        <v>5640</v>
      </c>
      <c r="N385" s="85"/>
      <c r="O385" s="85">
        <f t="shared" si="195"/>
        <v>5640</v>
      </c>
      <c r="P385" s="85"/>
      <c r="Q385" s="85">
        <f t="shared" si="196"/>
        <v>5640</v>
      </c>
    </row>
    <row r="386" spans="1:17" s="27" customFormat="1" ht="21" customHeight="1">
      <c r="A386" s="71"/>
      <c r="B386" s="86"/>
      <c r="C386" s="90">
        <v>4280</v>
      </c>
      <c r="D386" s="41" t="s">
        <v>198</v>
      </c>
      <c r="E386" s="85">
        <v>600</v>
      </c>
      <c r="F386" s="85"/>
      <c r="G386" s="85">
        <f t="shared" si="191"/>
        <v>600</v>
      </c>
      <c r="H386" s="85"/>
      <c r="I386" s="85">
        <f t="shared" si="192"/>
        <v>600</v>
      </c>
      <c r="J386" s="85"/>
      <c r="K386" s="85">
        <f t="shared" si="193"/>
        <v>600</v>
      </c>
      <c r="L386" s="85"/>
      <c r="M386" s="85">
        <f t="shared" si="194"/>
        <v>600</v>
      </c>
      <c r="N386" s="85"/>
      <c r="O386" s="85">
        <f t="shared" si="195"/>
        <v>600</v>
      </c>
      <c r="P386" s="85"/>
      <c r="Q386" s="85">
        <f t="shared" si="196"/>
        <v>600</v>
      </c>
    </row>
    <row r="387" spans="1:17" s="27" customFormat="1" ht="21" customHeight="1">
      <c r="A387" s="71"/>
      <c r="B387" s="86"/>
      <c r="C387" s="90">
        <v>4300</v>
      </c>
      <c r="D387" s="41" t="s">
        <v>79</v>
      </c>
      <c r="E387" s="85">
        <v>200</v>
      </c>
      <c r="F387" s="85"/>
      <c r="G387" s="85">
        <f t="shared" si="191"/>
        <v>200</v>
      </c>
      <c r="H387" s="85"/>
      <c r="I387" s="85">
        <f t="shared" si="192"/>
        <v>200</v>
      </c>
      <c r="J387" s="85"/>
      <c r="K387" s="85">
        <f t="shared" si="193"/>
        <v>200</v>
      </c>
      <c r="L387" s="85"/>
      <c r="M387" s="85">
        <f t="shared" si="194"/>
        <v>200</v>
      </c>
      <c r="N387" s="85"/>
      <c r="O387" s="85">
        <f t="shared" si="195"/>
        <v>200</v>
      </c>
      <c r="P387" s="85"/>
      <c r="Q387" s="85">
        <f t="shared" si="196"/>
        <v>200</v>
      </c>
    </row>
    <row r="388" spans="1:17" s="27" customFormat="1" ht="22.5">
      <c r="A388" s="71"/>
      <c r="B388" s="86"/>
      <c r="C388" s="90">
        <v>4440</v>
      </c>
      <c r="D388" s="41" t="s">
        <v>88</v>
      </c>
      <c r="E388" s="85">
        <v>33191</v>
      </c>
      <c r="F388" s="85"/>
      <c r="G388" s="85">
        <f t="shared" si="191"/>
        <v>33191</v>
      </c>
      <c r="H388" s="85"/>
      <c r="I388" s="85">
        <f t="shared" si="192"/>
        <v>33191</v>
      </c>
      <c r="J388" s="85"/>
      <c r="K388" s="85">
        <f t="shared" si="193"/>
        <v>33191</v>
      </c>
      <c r="L388" s="85"/>
      <c r="M388" s="85">
        <f t="shared" si="194"/>
        <v>33191</v>
      </c>
      <c r="N388" s="85"/>
      <c r="O388" s="85">
        <f t="shared" si="195"/>
        <v>33191</v>
      </c>
      <c r="P388" s="85"/>
      <c r="Q388" s="85">
        <f t="shared" si="196"/>
        <v>33191</v>
      </c>
    </row>
    <row r="389" spans="1:17" s="27" customFormat="1" ht="33.75">
      <c r="A389" s="71"/>
      <c r="B389" s="86" t="s">
        <v>126</v>
      </c>
      <c r="C389" s="90"/>
      <c r="D389" s="41" t="s">
        <v>158</v>
      </c>
      <c r="E389" s="85">
        <f aca="true" t="shared" si="197" ref="E389:K389">SUM(E390:E391)</f>
        <v>102899</v>
      </c>
      <c r="F389" s="85">
        <f t="shared" si="197"/>
        <v>-100000</v>
      </c>
      <c r="G389" s="85">
        <f t="shared" si="197"/>
        <v>2899</v>
      </c>
      <c r="H389" s="85">
        <f t="shared" si="197"/>
        <v>0</v>
      </c>
      <c r="I389" s="85">
        <f t="shared" si="197"/>
        <v>2899</v>
      </c>
      <c r="J389" s="85">
        <f t="shared" si="197"/>
        <v>0</v>
      </c>
      <c r="K389" s="85">
        <f t="shared" si="197"/>
        <v>2899</v>
      </c>
      <c r="L389" s="85">
        <f aca="true" t="shared" si="198" ref="L389:Q389">SUM(L390:L391)</f>
        <v>63850</v>
      </c>
      <c r="M389" s="85">
        <f t="shared" si="198"/>
        <v>66749</v>
      </c>
      <c r="N389" s="85">
        <f t="shared" si="198"/>
        <v>0</v>
      </c>
      <c r="O389" s="85">
        <f t="shared" si="198"/>
        <v>66749</v>
      </c>
      <c r="P389" s="85">
        <f t="shared" si="198"/>
        <v>0</v>
      </c>
      <c r="Q389" s="85">
        <f t="shared" si="198"/>
        <v>66749</v>
      </c>
    </row>
    <row r="390" spans="1:17" s="27" customFormat="1" ht="21.75" customHeight="1">
      <c r="A390" s="71"/>
      <c r="B390" s="86"/>
      <c r="C390" s="90">
        <v>4210</v>
      </c>
      <c r="D390" s="41" t="s">
        <v>92</v>
      </c>
      <c r="E390" s="85">
        <f>1968+931</f>
        <v>2899</v>
      </c>
      <c r="F390" s="85"/>
      <c r="G390" s="85">
        <f>SUM(E390:F390)</f>
        <v>2899</v>
      </c>
      <c r="H390" s="85"/>
      <c r="I390" s="85">
        <f>SUM(G390:H390)</f>
        <v>2899</v>
      </c>
      <c r="J390" s="85"/>
      <c r="K390" s="85">
        <f>SUM(I390:J390)</f>
        <v>2899</v>
      </c>
      <c r="L390" s="85"/>
      <c r="M390" s="85">
        <f>SUM(K390:L390)</f>
        <v>2899</v>
      </c>
      <c r="N390" s="85"/>
      <c r="O390" s="85">
        <f>SUM(M390:N390)</f>
        <v>2899</v>
      </c>
      <c r="P390" s="85"/>
      <c r="Q390" s="85">
        <f>SUM(O390:P390)</f>
        <v>2899</v>
      </c>
    </row>
    <row r="391" spans="1:17" s="27" customFormat="1" ht="22.5">
      <c r="A391" s="90"/>
      <c r="B391" s="91"/>
      <c r="C391" s="90">
        <v>6050</v>
      </c>
      <c r="D391" s="41" t="s">
        <v>73</v>
      </c>
      <c r="E391" s="85">
        <v>100000</v>
      </c>
      <c r="F391" s="85">
        <v>-100000</v>
      </c>
      <c r="G391" s="85">
        <f>SUM(E391:F391)</f>
        <v>0</v>
      </c>
      <c r="H391" s="85"/>
      <c r="I391" s="85">
        <f>SUM(G391:H391)</f>
        <v>0</v>
      </c>
      <c r="J391" s="85"/>
      <c r="K391" s="85">
        <f>SUM(I391:J391)</f>
        <v>0</v>
      </c>
      <c r="L391" s="85">
        <v>63850</v>
      </c>
      <c r="M391" s="85">
        <f>SUM(K391:L391)</f>
        <v>63850</v>
      </c>
      <c r="N391" s="85"/>
      <c r="O391" s="85">
        <f>SUM(M391:N391)</f>
        <v>63850</v>
      </c>
      <c r="P391" s="85"/>
      <c r="Q391" s="85">
        <f>SUM(O391:P391)</f>
        <v>63850</v>
      </c>
    </row>
    <row r="392" spans="1:17" s="27" customFormat="1" ht="21" customHeight="1">
      <c r="A392" s="90"/>
      <c r="B392" s="91">
        <v>85415</v>
      </c>
      <c r="C392" s="90"/>
      <c r="D392" s="41" t="s">
        <v>225</v>
      </c>
      <c r="E392" s="85">
        <f aca="true" t="shared" si="199" ref="E392:Q392">SUM(E393)</f>
        <v>113000</v>
      </c>
      <c r="F392" s="85">
        <f t="shared" si="199"/>
        <v>0</v>
      </c>
      <c r="G392" s="85">
        <f t="shared" si="199"/>
        <v>113000</v>
      </c>
      <c r="H392" s="85">
        <f t="shared" si="199"/>
        <v>0</v>
      </c>
      <c r="I392" s="85">
        <f t="shared" si="199"/>
        <v>113000</v>
      </c>
      <c r="J392" s="85">
        <f t="shared" si="199"/>
        <v>0</v>
      </c>
      <c r="K392" s="85">
        <f t="shared" si="199"/>
        <v>113000</v>
      </c>
      <c r="L392" s="85">
        <f t="shared" si="199"/>
        <v>0</v>
      </c>
      <c r="M392" s="85">
        <f t="shared" si="199"/>
        <v>113000</v>
      </c>
      <c r="N392" s="85">
        <f t="shared" si="199"/>
        <v>279792</v>
      </c>
      <c r="O392" s="85">
        <f t="shared" si="199"/>
        <v>392792</v>
      </c>
      <c r="P392" s="85">
        <f t="shared" si="199"/>
        <v>0</v>
      </c>
      <c r="Q392" s="85">
        <f t="shared" si="199"/>
        <v>392792</v>
      </c>
    </row>
    <row r="393" spans="1:17" s="27" customFormat="1" ht="21" customHeight="1">
      <c r="A393" s="90"/>
      <c r="B393" s="91"/>
      <c r="C393" s="90">
        <v>3240</v>
      </c>
      <c r="D393" s="41" t="s">
        <v>226</v>
      </c>
      <c r="E393" s="85">
        <v>113000</v>
      </c>
      <c r="F393" s="85"/>
      <c r="G393" s="85">
        <f>SUM(E393:F393)</f>
        <v>113000</v>
      </c>
      <c r="H393" s="85"/>
      <c r="I393" s="85">
        <f>SUM(G393:H393)</f>
        <v>113000</v>
      </c>
      <c r="J393" s="85"/>
      <c r="K393" s="85">
        <f>SUM(I393:J393)</f>
        <v>113000</v>
      </c>
      <c r="L393" s="85"/>
      <c r="M393" s="85">
        <f>SUM(K393:L393)</f>
        <v>113000</v>
      </c>
      <c r="N393" s="85">
        <v>279792</v>
      </c>
      <c r="O393" s="85">
        <f>SUM(M393:N393)</f>
        <v>392792</v>
      </c>
      <c r="P393" s="85"/>
      <c r="Q393" s="85">
        <f>SUM(O393:P393)</f>
        <v>392792</v>
      </c>
    </row>
    <row r="394" spans="1:17" s="27" customFormat="1" ht="21" customHeight="1">
      <c r="A394" s="90"/>
      <c r="B394" s="91">
        <v>85446</v>
      </c>
      <c r="C394" s="90"/>
      <c r="D394" s="41" t="s">
        <v>147</v>
      </c>
      <c r="E394" s="85">
        <f aca="true" t="shared" si="200" ref="E394:J394">SUM(E395:E395)</f>
        <v>4445</v>
      </c>
      <c r="F394" s="85">
        <f t="shared" si="200"/>
        <v>0</v>
      </c>
      <c r="G394" s="85">
        <f t="shared" si="200"/>
        <v>4445</v>
      </c>
      <c r="H394" s="85">
        <f t="shared" si="200"/>
        <v>0</v>
      </c>
      <c r="I394" s="85">
        <f t="shared" si="200"/>
        <v>4445</v>
      </c>
      <c r="J394" s="85">
        <f t="shared" si="200"/>
        <v>0</v>
      </c>
      <c r="K394" s="85">
        <f aca="true" t="shared" si="201" ref="K394:Q394">SUM(K395:K397)</f>
        <v>4445</v>
      </c>
      <c r="L394" s="85">
        <f t="shared" si="201"/>
        <v>0</v>
      </c>
      <c r="M394" s="85">
        <f t="shared" si="201"/>
        <v>4445</v>
      </c>
      <c r="N394" s="85">
        <f t="shared" si="201"/>
        <v>0</v>
      </c>
      <c r="O394" s="85">
        <f t="shared" si="201"/>
        <v>4445</v>
      </c>
      <c r="P394" s="85">
        <f t="shared" si="201"/>
        <v>0</v>
      </c>
      <c r="Q394" s="85">
        <f t="shared" si="201"/>
        <v>4445</v>
      </c>
    </row>
    <row r="395" spans="1:17" s="27" customFormat="1" ht="21" customHeight="1">
      <c r="A395" s="90"/>
      <c r="B395" s="91"/>
      <c r="C395" s="90">
        <v>4300</v>
      </c>
      <c r="D395" s="41" t="s">
        <v>79</v>
      </c>
      <c r="E395" s="85">
        <v>4445</v>
      </c>
      <c r="F395" s="85"/>
      <c r="G395" s="85">
        <f>SUM(E395:F395)</f>
        <v>4445</v>
      </c>
      <c r="H395" s="85"/>
      <c r="I395" s="85">
        <f>SUM(G395:H395)</f>
        <v>4445</v>
      </c>
      <c r="J395" s="85"/>
      <c r="K395" s="85">
        <f>SUM(I395:J395)</f>
        <v>4445</v>
      </c>
      <c r="L395" s="85">
        <v>-2662</v>
      </c>
      <c r="M395" s="85">
        <f>SUM(K395:L395)</f>
        <v>1783</v>
      </c>
      <c r="N395" s="85">
        <v>-812</v>
      </c>
      <c r="O395" s="85">
        <f>SUM(M395:N395)</f>
        <v>971</v>
      </c>
      <c r="P395" s="85"/>
      <c r="Q395" s="85">
        <f>SUM(O395:P395)</f>
        <v>971</v>
      </c>
    </row>
    <row r="396" spans="1:17" s="27" customFormat="1" ht="21" customHeight="1">
      <c r="A396" s="90"/>
      <c r="B396" s="91"/>
      <c r="C396" s="90">
        <v>4410</v>
      </c>
      <c r="D396" s="41" t="s">
        <v>90</v>
      </c>
      <c r="E396" s="85"/>
      <c r="F396" s="85"/>
      <c r="G396" s="85"/>
      <c r="H396" s="85"/>
      <c r="I396" s="85"/>
      <c r="J396" s="85"/>
      <c r="K396" s="85">
        <v>0</v>
      </c>
      <c r="L396" s="85">
        <v>1012</v>
      </c>
      <c r="M396" s="85">
        <f>SUM(K396:L396)</f>
        <v>1012</v>
      </c>
      <c r="N396" s="85"/>
      <c r="O396" s="85">
        <f>SUM(M396:N396)</f>
        <v>1012</v>
      </c>
      <c r="P396" s="85"/>
      <c r="Q396" s="85">
        <f>SUM(O396:P396)</f>
        <v>1012</v>
      </c>
    </row>
    <row r="397" spans="1:17" s="27" customFormat="1" ht="22.5">
      <c r="A397" s="90"/>
      <c r="B397" s="91"/>
      <c r="C397" s="90">
        <v>4700</v>
      </c>
      <c r="D397" s="41" t="s">
        <v>260</v>
      </c>
      <c r="E397" s="85"/>
      <c r="F397" s="85"/>
      <c r="G397" s="85"/>
      <c r="H397" s="85"/>
      <c r="I397" s="85"/>
      <c r="J397" s="85"/>
      <c r="K397" s="85">
        <v>0</v>
      </c>
      <c r="L397" s="85">
        <v>1650</v>
      </c>
      <c r="M397" s="85">
        <f>SUM(K397:L397)</f>
        <v>1650</v>
      </c>
      <c r="N397" s="85">
        <v>812</v>
      </c>
      <c r="O397" s="85">
        <f>SUM(M397:N397)</f>
        <v>2462</v>
      </c>
      <c r="P397" s="85"/>
      <c r="Q397" s="85">
        <f>SUM(O397:P397)</f>
        <v>2462</v>
      </c>
    </row>
    <row r="398" spans="1:17" s="27" customFormat="1" ht="21" customHeight="1">
      <c r="A398" s="90"/>
      <c r="B398" s="91">
        <v>85495</v>
      </c>
      <c r="C398" s="90"/>
      <c r="D398" s="41" t="s">
        <v>6</v>
      </c>
      <c r="E398" s="85">
        <f aca="true" t="shared" si="202" ref="E398:Q398">SUM(E399:E399)</f>
        <v>236245</v>
      </c>
      <c r="F398" s="85">
        <f t="shared" si="202"/>
        <v>0</v>
      </c>
      <c r="G398" s="85">
        <f t="shared" si="202"/>
        <v>236245</v>
      </c>
      <c r="H398" s="85">
        <f t="shared" si="202"/>
        <v>0</v>
      </c>
      <c r="I398" s="85">
        <f t="shared" si="202"/>
        <v>236245</v>
      </c>
      <c r="J398" s="85">
        <f t="shared" si="202"/>
        <v>0</v>
      </c>
      <c r="K398" s="85">
        <f t="shared" si="202"/>
        <v>236245</v>
      </c>
      <c r="L398" s="85">
        <f t="shared" si="202"/>
        <v>0</v>
      </c>
      <c r="M398" s="85">
        <f t="shared" si="202"/>
        <v>236245</v>
      </c>
      <c r="N398" s="85">
        <f t="shared" si="202"/>
        <v>0</v>
      </c>
      <c r="O398" s="85">
        <f t="shared" si="202"/>
        <v>236245</v>
      </c>
      <c r="P398" s="85">
        <f t="shared" si="202"/>
        <v>0</v>
      </c>
      <c r="Q398" s="85">
        <f t="shared" si="202"/>
        <v>236245</v>
      </c>
    </row>
    <row r="399" spans="1:20" s="27" customFormat="1" ht="45">
      <c r="A399" s="90"/>
      <c r="B399" s="91"/>
      <c r="C399" s="90">
        <v>2320</v>
      </c>
      <c r="D399" s="41" t="s">
        <v>150</v>
      </c>
      <c r="E399" s="85">
        <f>199150+37095</f>
        <v>236245</v>
      </c>
      <c r="F399" s="85"/>
      <c r="G399" s="85">
        <f>SUM(E399:F399)</f>
        <v>236245</v>
      </c>
      <c r="H399" s="85"/>
      <c r="I399" s="85">
        <f>SUM(G399:H399)</f>
        <v>236245</v>
      </c>
      <c r="J399" s="85"/>
      <c r="K399" s="85">
        <f>SUM(I399:J399)</f>
        <v>236245</v>
      </c>
      <c r="L399" s="85"/>
      <c r="M399" s="85">
        <f>SUM(K399:L399)</f>
        <v>236245</v>
      </c>
      <c r="N399" s="85"/>
      <c r="O399" s="85">
        <f>SUM(M399:N399)</f>
        <v>236245</v>
      </c>
      <c r="P399" s="85"/>
      <c r="Q399" s="85">
        <f>SUM(O399:P399)</f>
        <v>236245</v>
      </c>
      <c r="R399" s="123"/>
      <c r="S399" s="123"/>
      <c r="T399" s="123"/>
    </row>
    <row r="400" spans="1:17" s="8" customFormat="1" ht="24">
      <c r="A400" s="36" t="s">
        <v>127</v>
      </c>
      <c r="B400" s="37"/>
      <c r="C400" s="38"/>
      <c r="D400" s="39" t="s">
        <v>61</v>
      </c>
      <c r="E400" s="40">
        <f aca="true" t="shared" si="203" ref="E400:J400">SUM(E401,E405,E407,E413,E415,E423,)</f>
        <v>2762212</v>
      </c>
      <c r="F400" s="40">
        <f t="shared" si="203"/>
        <v>535000</v>
      </c>
      <c r="G400" s="40">
        <f t="shared" si="203"/>
        <v>3297212</v>
      </c>
      <c r="H400" s="40">
        <f t="shared" si="203"/>
        <v>0</v>
      </c>
      <c r="I400" s="40">
        <f t="shared" si="203"/>
        <v>3297212</v>
      </c>
      <c r="J400" s="40">
        <f t="shared" si="203"/>
        <v>0</v>
      </c>
      <c r="K400" s="40">
        <f aca="true" t="shared" si="204" ref="K400:Q400">SUM(K401,K405,K407,K413,K415,K423,K420,K411)</f>
        <v>3297212</v>
      </c>
      <c r="L400" s="40">
        <f t="shared" si="204"/>
        <v>-18933</v>
      </c>
      <c r="M400" s="40">
        <f t="shared" si="204"/>
        <v>3278279</v>
      </c>
      <c r="N400" s="40">
        <f t="shared" si="204"/>
        <v>0</v>
      </c>
      <c r="O400" s="40">
        <f t="shared" si="204"/>
        <v>3278279</v>
      </c>
      <c r="P400" s="40">
        <f t="shared" si="204"/>
        <v>0</v>
      </c>
      <c r="Q400" s="40">
        <f t="shared" si="204"/>
        <v>3278279</v>
      </c>
    </row>
    <row r="401" spans="1:17" s="27" customFormat="1" ht="21" customHeight="1">
      <c r="A401" s="71"/>
      <c r="B401" s="86" t="s">
        <v>128</v>
      </c>
      <c r="C401" s="90"/>
      <c r="D401" s="41" t="s">
        <v>62</v>
      </c>
      <c r="E401" s="85">
        <f aca="true" t="shared" si="205" ref="E401:K401">SUM(E402:E404)</f>
        <v>300000</v>
      </c>
      <c r="F401" s="85">
        <f t="shared" si="205"/>
        <v>720000</v>
      </c>
      <c r="G401" s="85">
        <f t="shared" si="205"/>
        <v>1020000</v>
      </c>
      <c r="H401" s="85">
        <f t="shared" si="205"/>
        <v>0</v>
      </c>
      <c r="I401" s="85">
        <f t="shared" si="205"/>
        <v>1020000</v>
      </c>
      <c r="J401" s="85">
        <f t="shared" si="205"/>
        <v>0</v>
      </c>
      <c r="K401" s="85">
        <f t="shared" si="205"/>
        <v>1020000</v>
      </c>
      <c r="L401" s="85">
        <f aca="true" t="shared" si="206" ref="L401:Q401">SUM(L402:L404)</f>
        <v>-405000</v>
      </c>
      <c r="M401" s="85">
        <f t="shared" si="206"/>
        <v>615000</v>
      </c>
      <c r="N401" s="85">
        <f t="shared" si="206"/>
        <v>0</v>
      </c>
      <c r="O401" s="85">
        <f t="shared" si="206"/>
        <v>615000</v>
      </c>
      <c r="P401" s="85">
        <f t="shared" si="206"/>
        <v>0</v>
      </c>
      <c r="Q401" s="85">
        <f t="shared" si="206"/>
        <v>615000</v>
      </c>
    </row>
    <row r="402" spans="1:17" s="27" customFormat="1" ht="21" customHeight="1">
      <c r="A402" s="71"/>
      <c r="B402" s="86"/>
      <c r="C402" s="71">
        <v>4300</v>
      </c>
      <c r="D402" s="41" t="s">
        <v>79</v>
      </c>
      <c r="E402" s="85">
        <v>160000</v>
      </c>
      <c r="F402" s="85"/>
      <c r="G402" s="85">
        <f>SUM(E402:F402)</f>
        <v>160000</v>
      </c>
      <c r="H402" s="85"/>
      <c r="I402" s="85">
        <f>SUM(G402:H402)</f>
        <v>160000</v>
      </c>
      <c r="J402" s="85"/>
      <c r="K402" s="85">
        <f>SUM(I402:J402)</f>
        <v>160000</v>
      </c>
      <c r="L402" s="85"/>
      <c r="M402" s="85">
        <f>SUM(K402:L402)</f>
        <v>160000</v>
      </c>
      <c r="N402" s="85"/>
      <c r="O402" s="85">
        <f>SUM(M402:N402)</f>
        <v>160000</v>
      </c>
      <c r="P402" s="85"/>
      <c r="Q402" s="85">
        <f>SUM(O402:P402)</f>
        <v>160000</v>
      </c>
    </row>
    <row r="403" spans="1:17" s="27" customFormat="1" ht="67.5">
      <c r="A403" s="71"/>
      <c r="B403" s="86"/>
      <c r="C403" s="71">
        <v>6010</v>
      </c>
      <c r="D403" s="14" t="s">
        <v>284</v>
      </c>
      <c r="E403" s="85">
        <v>140000</v>
      </c>
      <c r="F403" s="85"/>
      <c r="G403" s="85">
        <f>SUM(E403:F403)</f>
        <v>140000</v>
      </c>
      <c r="H403" s="85"/>
      <c r="I403" s="85">
        <f>SUM(G403:H403)</f>
        <v>140000</v>
      </c>
      <c r="J403" s="85"/>
      <c r="K403" s="85">
        <f>SUM(I403:J403)</f>
        <v>140000</v>
      </c>
      <c r="L403" s="85"/>
      <c r="M403" s="85">
        <f>SUM(K403:L403)</f>
        <v>140000</v>
      </c>
      <c r="N403" s="85"/>
      <c r="O403" s="85">
        <f>SUM(M403:N403)</f>
        <v>140000</v>
      </c>
      <c r="P403" s="85"/>
      <c r="Q403" s="85">
        <f>SUM(O403:P403)</f>
        <v>140000</v>
      </c>
    </row>
    <row r="404" spans="1:17" s="27" customFormat="1" ht="21.75" customHeight="1">
      <c r="A404" s="71"/>
      <c r="B404" s="86"/>
      <c r="C404" s="71">
        <v>6050</v>
      </c>
      <c r="D404" s="41" t="s">
        <v>73</v>
      </c>
      <c r="E404" s="85">
        <v>0</v>
      </c>
      <c r="F404" s="85">
        <f>400000+65000+5000+250000</f>
        <v>720000</v>
      </c>
      <c r="G404" s="85">
        <f>SUM(E404:F404)</f>
        <v>720000</v>
      </c>
      <c r="H404" s="85"/>
      <c r="I404" s="85">
        <f>SUM(G404:H404)</f>
        <v>720000</v>
      </c>
      <c r="J404" s="85"/>
      <c r="K404" s="85">
        <f>SUM(I404:J404)</f>
        <v>720000</v>
      </c>
      <c r="L404" s="85">
        <f>-88000-317000</f>
        <v>-405000</v>
      </c>
      <c r="M404" s="85">
        <f>SUM(K404:L404)</f>
        <v>315000</v>
      </c>
      <c r="N404" s="85"/>
      <c r="O404" s="85">
        <f>SUM(M404:N404)</f>
        <v>315000</v>
      </c>
      <c r="P404" s="85"/>
      <c r="Q404" s="85">
        <f>SUM(O404:P404)</f>
        <v>315000</v>
      </c>
    </row>
    <row r="405" spans="1:17" s="27" customFormat="1" ht="21" customHeight="1">
      <c r="A405" s="71"/>
      <c r="B405" s="86" t="s">
        <v>129</v>
      </c>
      <c r="C405" s="90"/>
      <c r="D405" s="41" t="s">
        <v>130</v>
      </c>
      <c r="E405" s="85">
        <f aca="true" t="shared" si="207" ref="E405:Q405">SUM(E406:E406)</f>
        <v>787540</v>
      </c>
      <c r="F405" s="85">
        <f t="shared" si="207"/>
        <v>0</v>
      </c>
      <c r="G405" s="85">
        <f t="shared" si="207"/>
        <v>787540</v>
      </c>
      <c r="H405" s="85">
        <f t="shared" si="207"/>
        <v>0</v>
      </c>
      <c r="I405" s="85">
        <f t="shared" si="207"/>
        <v>787540</v>
      </c>
      <c r="J405" s="85">
        <f t="shared" si="207"/>
        <v>0</v>
      </c>
      <c r="K405" s="85">
        <f t="shared" si="207"/>
        <v>787540</v>
      </c>
      <c r="L405" s="85">
        <f t="shared" si="207"/>
        <v>59000</v>
      </c>
      <c r="M405" s="85">
        <f t="shared" si="207"/>
        <v>846540</v>
      </c>
      <c r="N405" s="85">
        <f t="shared" si="207"/>
        <v>0</v>
      </c>
      <c r="O405" s="85">
        <f t="shared" si="207"/>
        <v>846540</v>
      </c>
      <c r="P405" s="85">
        <f t="shared" si="207"/>
        <v>0</v>
      </c>
      <c r="Q405" s="85">
        <f t="shared" si="207"/>
        <v>846540</v>
      </c>
    </row>
    <row r="406" spans="1:17" s="27" customFormat="1" ht="21" customHeight="1">
      <c r="A406" s="71"/>
      <c r="B406" s="86"/>
      <c r="C406" s="90">
        <v>4300</v>
      </c>
      <c r="D406" s="94" t="s">
        <v>79</v>
      </c>
      <c r="E406" s="85">
        <f>785470+900+1170</f>
        <v>787540</v>
      </c>
      <c r="F406" s="85"/>
      <c r="G406" s="85">
        <f>SUM(E406:F406)</f>
        <v>787540</v>
      </c>
      <c r="H406" s="85"/>
      <c r="I406" s="85">
        <f>SUM(G406:H406)</f>
        <v>787540</v>
      </c>
      <c r="J406" s="85"/>
      <c r="K406" s="85">
        <f>SUM(I406:J406)</f>
        <v>787540</v>
      </c>
      <c r="L406" s="85">
        <v>59000</v>
      </c>
      <c r="M406" s="85">
        <f>SUM(K406:L406)</f>
        <v>846540</v>
      </c>
      <c r="N406" s="85"/>
      <c r="O406" s="85">
        <f>SUM(M406:N406)</f>
        <v>846540</v>
      </c>
      <c r="P406" s="85"/>
      <c r="Q406" s="85">
        <f>SUM(O406:P406)</f>
        <v>846540</v>
      </c>
    </row>
    <row r="407" spans="1:17" s="27" customFormat="1" ht="21" customHeight="1">
      <c r="A407" s="71"/>
      <c r="B407" s="86" t="s">
        <v>131</v>
      </c>
      <c r="C407" s="90"/>
      <c r="D407" s="41" t="s">
        <v>152</v>
      </c>
      <c r="E407" s="85">
        <f aca="true" t="shared" si="208" ref="E407:K407">SUM(E408:E410)</f>
        <v>284872</v>
      </c>
      <c r="F407" s="85">
        <f t="shared" si="208"/>
        <v>0</v>
      </c>
      <c r="G407" s="85">
        <f t="shared" si="208"/>
        <v>284872</v>
      </c>
      <c r="H407" s="85">
        <f t="shared" si="208"/>
        <v>0</v>
      </c>
      <c r="I407" s="85">
        <f t="shared" si="208"/>
        <v>284872</v>
      </c>
      <c r="J407" s="85">
        <f t="shared" si="208"/>
        <v>0</v>
      </c>
      <c r="K407" s="85">
        <f t="shared" si="208"/>
        <v>284872</v>
      </c>
      <c r="L407" s="85">
        <f aca="true" t="shared" si="209" ref="L407:Q407">SUM(L408:L410)</f>
        <v>-1100</v>
      </c>
      <c r="M407" s="85">
        <f t="shared" si="209"/>
        <v>283772</v>
      </c>
      <c r="N407" s="85">
        <f t="shared" si="209"/>
        <v>0</v>
      </c>
      <c r="O407" s="85">
        <f t="shared" si="209"/>
        <v>283772</v>
      </c>
      <c r="P407" s="85">
        <f t="shared" si="209"/>
        <v>0</v>
      </c>
      <c r="Q407" s="85">
        <f t="shared" si="209"/>
        <v>283772</v>
      </c>
    </row>
    <row r="408" spans="1:17" s="27" customFormat="1" ht="21" customHeight="1">
      <c r="A408" s="71"/>
      <c r="B408" s="86"/>
      <c r="C408" s="71">
        <v>4210</v>
      </c>
      <c r="D408" s="41" t="s">
        <v>92</v>
      </c>
      <c r="E408" s="85">
        <f>18000+6000+12000+15756+17714</f>
        <v>69470</v>
      </c>
      <c r="F408" s="85"/>
      <c r="G408" s="85">
        <f>SUM(E408:F408)</f>
        <v>69470</v>
      </c>
      <c r="H408" s="85"/>
      <c r="I408" s="85">
        <f>SUM(G408:H408)</f>
        <v>69470</v>
      </c>
      <c r="J408" s="85"/>
      <c r="K408" s="85">
        <f>SUM(I408:J408)</f>
        <v>69470</v>
      </c>
      <c r="L408" s="85">
        <v>-1100</v>
      </c>
      <c r="M408" s="85">
        <f>SUM(K408:L408)</f>
        <v>68370</v>
      </c>
      <c r="N408" s="85"/>
      <c r="O408" s="85">
        <f>SUM(M408:N408)</f>
        <v>68370</v>
      </c>
      <c r="P408" s="85"/>
      <c r="Q408" s="85">
        <f>SUM(O408:P408)</f>
        <v>68370</v>
      </c>
    </row>
    <row r="409" spans="1:17" s="27" customFormat="1" ht="21" customHeight="1">
      <c r="A409" s="71"/>
      <c r="B409" s="86"/>
      <c r="C409" s="71">
        <v>4270</v>
      </c>
      <c r="D409" s="41" t="s">
        <v>78</v>
      </c>
      <c r="E409" s="85">
        <v>5000</v>
      </c>
      <c r="F409" s="85"/>
      <c r="G409" s="85">
        <f>SUM(E409:F409)</f>
        <v>5000</v>
      </c>
      <c r="H409" s="85"/>
      <c r="I409" s="85">
        <f>SUM(G409:H409)</f>
        <v>5000</v>
      </c>
      <c r="J409" s="85"/>
      <c r="K409" s="85">
        <f>SUM(I409:J409)</f>
        <v>5000</v>
      </c>
      <c r="L409" s="85"/>
      <c r="M409" s="85">
        <f>SUM(K409:L409)</f>
        <v>5000</v>
      </c>
      <c r="N409" s="85"/>
      <c r="O409" s="85">
        <f>SUM(M409:N409)</f>
        <v>5000</v>
      </c>
      <c r="P409" s="85"/>
      <c r="Q409" s="85">
        <f>SUM(O409:P409)</f>
        <v>5000</v>
      </c>
    </row>
    <row r="410" spans="1:17" s="27" customFormat="1" ht="21" customHeight="1">
      <c r="A410" s="71"/>
      <c r="B410" s="86"/>
      <c r="C410" s="71">
        <v>4300</v>
      </c>
      <c r="D410" s="41" t="s">
        <v>79</v>
      </c>
      <c r="E410" s="85">
        <f>130802+32000+1000+20000+20000+6400+200</f>
        <v>210402</v>
      </c>
      <c r="F410" s="85"/>
      <c r="G410" s="85">
        <f>SUM(E410:F410)</f>
        <v>210402</v>
      </c>
      <c r="H410" s="85"/>
      <c r="I410" s="85">
        <f>SUM(G410:H410)</f>
        <v>210402</v>
      </c>
      <c r="J410" s="85"/>
      <c r="K410" s="85">
        <f>SUM(I410:J410)</f>
        <v>210402</v>
      </c>
      <c r="L410" s="85"/>
      <c r="M410" s="85">
        <f>SUM(K410:L410)</f>
        <v>210402</v>
      </c>
      <c r="N410" s="85"/>
      <c r="O410" s="85">
        <f>SUM(M410:N410)</f>
        <v>210402</v>
      </c>
      <c r="P410" s="85"/>
      <c r="Q410" s="85">
        <f>SUM(O410:P410)</f>
        <v>210402</v>
      </c>
    </row>
    <row r="411" spans="1:17" s="27" customFormat="1" ht="21" customHeight="1">
      <c r="A411" s="71"/>
      <c r="B411" s="86">
        <v>90005</v>
      </c>
      <c r="C411" s="71"/>
      <c r="D411" s="41" t="s">
        <v>414</v>
      </c>
      <c r="E411" s="85"/>
      <c r="F411" s="85"/>
      <c r="G411" s="85"/>
      <c r="H411" s="85"/>
      <c r="I411" s="85"/>
      <c r="J411" s="85"/>
      <c r="K411" s="85">
        <f aca="true" t="shared" si="210" ref="K411:Q411">SUM(K412)</f>
        <v>0</v>
      </c>
      <c r="L411" s="85">
        <f t="shared" si="210"/>
        <v>3000</v>
      </c>
      <c r="M411" s="85">
        <f t="shared" si="210"/>
        <v>3000</v>
      </c>
      <c r="N411" s="85">
        <f t="shared" si="210"/>
        <v>0</v>
      </c>
      <c r="O411" s="85">
        <f t="shared" si="210"/>
        <v>3000</v>
      </c>
      <c r="P411" s="85">
        <f t="shared" si="210"/>
        <v>0</v>
      </c>
      <c r="Q411" s="85">
        <f t="shared" si="210"/>
        <v>3000</v>
      </c>
    </row>
    <row r="412" spans="1:17" s="27" customFormat="1" ht="22.5">
      <c r="A412" s="71"/>
      <c r="B412" s="86"/>
      <c r="C412" s="71">
        <v>4520</v>
      </c>
      <c r="D412" s="41" t="s">
        <v>415</v>
      </c>
      <c r="E412" s="85"/>
      <c r="F412" s="85"/>
      <c r="G412" s="85"/>
      <c r="H412" s="85"/>
      <c r="I412" s="85"/>
      <c r="J412" s="85"/>
      <c r="K412" s="85">
        <v>0</v>
      </c>
      <c r="L412" s="85">
        <v>3000</v>
      </c>
      <c r="M412" s="85">
        <f>SUM(K412:L412)</f>
        <v>3000</v>
      </c>
      <c r="N412" s="85"/>
      <c r="O412" s="85">
        <f>SUM(M412:N412)</f>
        <v>3000</v>
      </c>
      <c r="P412" s="85"/>
      <c r="Q412" s="85">
        <f>SUM(O412:P412)</f>
        <v>3000</v>
      </c>
    </row>
    <row r="413" spans="1:17" s="27" customFormat="1" ht="21" customHeight="1">
      <c r="A413" s="71"/>
      <c r="B413" s="86" t="s">
        <v>132</v>
      </c>
      <c r="C413" s="90"/>
      <c r="D413" s="41" t="s">
        <v>133</v>
      </c>
      <c r="E413" s="85">
        <f aca="true" t="shared" si="211" ref="E413:Q413">SUM(E414)</f>
        <v>134000</v>
      </c>
      <c r="F413" s="85">
        <f t="shared" si="211"/>
        <v>0</v>
      </c>
      <c r="G413" s="85">
        <f t="shared" si="211"/>
        <v>134000</v>
      </c>
      <c r="H413" s="85">
        <f t="shared" si="211"/>
        <v>0</v>
      </c>
      <c r="I413" s="85">
        <f t="shared" si="211"/>
        <v>134000</v>
      </c>
      <c r="J413" s="85">
        <f t="shared" si="211"/>
        <v>0</v>
      </c>
      <c r="K413" s="85">
        <f t="shared" si="211"/>
        <v>134000</v>
      </c>
      <c r="L413" s="85">
        <f t="shared" si="211"/>
        <v>0</v>
      </c>
      <c r="M413" s="85">
        <f t="shared" si="211"/>
        <v>134000</v>
      </c>
      <c r="N413" s="85">
        <f t="shared" si="211"/>
        <v>0</v>
      </c>
      <c r="O413" s="85">
        <f t="shared" si="211"/>
        <v>134000</v>
      </c>
      <c r="P413" s="85">
        <f t="shared" si="211"/>
        <v>0</v>
      </c>
      <c r="Q413" s="85">
        <f t="shared" si="211"/>
        <v>134000</v>
      </c>
    </row>
    <row r="414" spans="1:17" s="27" customFormat="1" ht="21" customHeight="1">
      <c r="A414" s="71"/>
      <c r="B414" s="86"/>
      <c r="C414" s="90">
        <v>4300</v>
      </c>
      <c r="D414" s="94" t="s">
        <v>79</v>
      </c>
      <c r="E414" s="85">
        <v>134000</v>
      </c>
      <c r="F414" s="85"/>
      <c r="G414" s="85">
        <f>SUM(E414:F414)</f>
        <v>134000</v>
      </c>
      <c r="H414" s="85"/>
      <c r="I414" s="85">
        <f>SUM(G414:H414)</f>
        <v>134000</v>
      </c>
      <c r="J414" s="85"/>
      <c r="K414" s="85">
        <f>SUM(I414:J414)</f>
        <v>134000</v>
      </c>
      <c r="L414" s="85"/>
      <c r="M414" s="85">
        <f>SUM(K414:L414)</f>
        <v>134000</v>
      </c>
      <c r="N414" s="85"/>
      <c r="O414" s="85">
        <f>SUM(M414:N414)</f>
        <v>134000</v>
      </c>
      <c r="P414" s="85"/>
      <c r="Q414" s="85">
        <f>SUM(O414:P414)</f>
        <v>134000</v>
      </c>
    </row>
    <row r="415" spans="1:17" s="27" customFormat="1" ht="21" customHeight="1">
      <c r="A415" s="71"/>
      <c r="B415" s="86" t="s">
        <v>134</v>
      </c>
      <c r="C415" s="90"/>
      <c r="D415" s="41" t="s">
        <v>135</v>
      </c>
      <c r="E415" s="85">
        <f aca="true" t="shared" si="212" ref="E415:K415">SUM(E416:E419)</f>
        <v>1200000</v>
      </c>
      <c r="F415" s="85">
        <f t="shared" si="212"/>
        <v>-185000</v>
      </c>
      <c r="G415" s="85">
        <f t="shared" si="212"/>
        <v>1015000</v>
      </c>
      <c r="H415" s="85">
        <f t="shared" si="212"/>
        <v>0</v>
      </c>
      <c r="I415" s="85">
        <f t="shared" si="212"/>
        <v>1015000</v>
      </c>
      <c r="J415" s="85">
        <f t="shared" si="212"/>
        <v>0</v>
      </c>
      <c r="K415" s="85">
        <f t="shared" si="212"/>
        <v>1015000</v>
      </c>
      <c r="L415" s="85">
        <f aca="true" t="shared" si="213" ref="L415:Q415">SUM(L416:L419)</f>
        <v>3050</v>
      </c>
      <c r="M415" s="85">
        <f t="shared" si="213"/>
        <v>1018050</v>
      </c>
      <c r="N415" s="85">
        <f t="shared" si="213"/>
        <v>0</v>
      </c>
      <c r="O415" s="85">
        <f t="shared" si="213"/>
        <v>1018050</v>
      </c>
      <c r="P415" s="85">
        <f t="shared" si="213"/>
        <v>0</v>
      </c>
      <c r="Q415" s="85">
        <f t="shared" si="213"/>
        <v>1018050</v>
      </c>
    </row>
    <row r="416" spans="1:17" s="27" customFormat="1" ht="21" customHeight="1">
      <c r="A416" s="71"/>
      <c r="B416" s="91"/>
      <c r="C416" s="71">
        <v>4260</v>
      </c>
      <c r="D416" s="41" t="s">
        <v>95</v>
      </c>
      <c r="E416" s="85">
        <v>800000</v>
      </c>
      <c r="F416" s="85">
        <v>-100000</v>
      </c>
      <c r="G416" s="85">
        <f>SUM(E416:F416)</f>
        <v>700000</v>
      </c>
      <c r="H416" s="85"/>
      <c r="I416" s="85">
        <f>SUM(G416:H416)</f>
        <v>700000</v>
      </c>
      <c r="J416" s="85"/>
      <c r="K416" s="85">
        <f>SUM(I416:J416)</f>
        <v>700000</v>
      </c>
      <c r="L416" s="85"/>
      <c r="M416" s="85">
        <f>SUM(K416:L416)</f>
        <v>700000</v>
      </c>
      <c r="N416" s="85"/>
      <c r="O416" s="85">
        <f>SUM(M416:N416)</f>
        <v>700000</v>
      </c>
      <c r="P416" s="85"/>
      <c r="Q416" s="85">
        <f>SUM(O416:P416)</f>
        <v>700000</v>
      </c>
    </row>
    <row r="417" spans="1:17" s="27" customFormat="1" ht="21" customHeight="1">
      <c r="A417" s="71"/>
      <c r="B417" s="91"/>
      <c r="C417" s="71">
        <v>4270</v>
      </c>
      <c r="D417" s="41" t="s">
        <v>78</v>
      </c>
      <c r="E417" s="85">
        <v>350000</v>
      </c>
      <c r="F417" s="85">
        <v>-100000</v>
      </c>
      <c r="G417" s="85">
        <f>SUM(E417:F417)</f>
        <v>250000</v>
      </c>
      <c r="H417" s="85"/>
      <c r="I417" s="85">
        <f>SUM(G417:H417)</f>
        <v>250000</v>
      </c>
      <c r="J417" s="85"/>
      <c r="K417" s="85">
        <f>SUM(I417:J417)</f>
        <v>250000</v>
      </c>
      <c r="L417" s="85"/>
      <c r="M417" s="85">
        <f>SUM(K417:L417)</f>
        <v>250000</v>
      </c>
      <c r="N417" s="85"/>
      <c r="O417" s="85">
        <f>SUM(M417:N417)</f>
        <v>250000</v>
      </c>
      <c r="P417" s="85"/>
      <c r="Q417" s="85">
        <f>SUM(O417:P417)</f>
        <v>250000</v>
      </c>
    </row>
    <row r="418" spans="1:17" s="27" customFormat="1" ht="21" customHeight="1">
      <c r="A418" s="71"/>
      <c r="B418" s="91"/>
      <c r="C418" s="71">
        <v>4300</v>
      </c>
      <c r="D418" s="41" t="s">
        <v>79</v>
      </c>
      <c r="E418" s="85">
        <v>50000</v>
      </c>
      <c r="F418" s="85"/>
      <c r="G418" s="85">
        <f>SUM(E418:F418)</f>
        <v>50000</v>
      </c>
      <c r="H418" s="85"/>
      <c r="I418" s="85">
        <f>SUM(G418:H418)</f>
        <v>50000</v>
      </c>
      <c r="J418" s="85"/>
      <c r="K418" s="85">
        <f>SUM(I418:J418)</f>
        <v>50000</v>
      </c>
      <c r="L418" s="85">
        <v>3050</v>
      </c>
      <c r="M418" s="85">
        <f>SUM(K418:L418)</f>
        <v>53050</v>
      </c>
      <c r="N418" s="85"/>
      <c r="O418" s="85">
        <f>SUM(M418:N418)</f>
        <v>53050</v>
      </c>
      <c r="P418" s="85"/>
      <c r="Q418" s="85">
        <f>SUM(O418:P418)</f>
        <v>53050</v>
      </c>
    </row>
    <row r="419" spans="1:17" s="27" customFormat="1" ht="21" customHeight="1">
      <c r="A419" s="71"/>
      <c r="B419" s="91"/>
      <c r="C419" s="71">
        <v>6050</v>
      </c>
      <c r="D419" s="41" t="s">
        <v>73</v>
      </c>
      <c r="E419" s="85">
        <v>0</v>
      </c>
      <c r="F419" s="85">
        <f>5000+10000</f>
        <v>15000</v>
      </c>
      <c r="G419" s="85">
        <f>SUM(E419:F419)</f>
        <v>15000</v>
      </c>
      <c r="H419" s="85"/>
      <c r="I419" s="85">
        <f>SUM(G419:H419)</f>
        <v>15000</v>
      </c>
      <c r="J419" s="85"/>
      <c r="K419" s="85">
        <f>SUM(I419:J419)</f>
        <v>15000</v>
      </c>
      <c r="L419" s="85"/>
      <c r="M419" s="85">
        <f>SUM(K419:L419)</f>
        <v>15000</v>
      </c>
      <c r="N419" s="85"/>
      <c r="O419" s="85">
        <f>SUM(M419:N419)</f>
        <v>15000</v>
      </c>
      <c r="P419" s="85"/>
      <c r="Q419" s="85">
        <f>SUM(O419:P419)</f>
        <v>15000</v>
      </c>
    </row>
    <row r="420" spans="1:17" s="227" customFormat="1" ht="33.75">
      <c r="A420" s="225"/>
      <c r="B420" s="91">
        <v>90019</v>
      </c>
      <c r="C420" s="71"/>
      <c r="D420" s="81" t="s">
        <v>412</v>
      </c>
      <c r="E420" s="85"/>
      <c r="F420" s="85"/>
      <c r="G420" s="85"/>
      <c r="H420" s="85"/>
      <c r="I420" s="85"/>
      <c r="J420" s="85"/>
      <c r="K420" s="85">
        <f aca="true" t="shared" si="214" ref="K420:Q420">SUM(K421:K422)</f>
        <v>0</v>
      </c>
      <c r="L420" s="85">
        <f t="shared" si="214"/>
        <v>322117</v>
      </c>
      <c r="M420" s="85">
        <f t="shared" si="214"/>
        <v>322117</v>
      </c>
      <c r="N420" s="85">
        <f t="shared" si="214"/>
        <v>0</v>
      </c>
      <c r="O420" s="85">
        <f t="shared" si="214"/>
        <v>322117</v>
      </c>
      <c r="P420" s="85">
        <f t="shared" si="214"/>
        <v>0</v>
      </c>
      <c r="Q420" s="85">
        <f t="shared" si="214"/>
        <v>322117</v>
      </c>
    </row>
    <row r="421" spans="1:17" s="227" customFormat="1" ht="21" customHeight="1">
      <c r="A421" s="225"/>
      <c r="B421" s="91"/>
      <c r="C421" s="71">
        <v>4210</v>
      </c>
      <c r="D421" s="41" t="s">
        <v>92</v>
      </c>
      <c r="E421" s="85"/>
      <c r="F421" s="85"/>
      <c r="G421" s="85"/>
      <c r="H421" s="85"/>
      <c r="I421" s="85"/>
      <c r="J421" s="85"/>
      <c r="K421" s="85">
        <v>0</v>
      </c>
      <c r="L421" s="85">
        <v>85517</v>
      </c>
      <c r="M421" s="85">
        <f>SUM(K421:L421)</f>
        <v>85517</v>
      </c>
      <c r="N421" s="85"/>
      <c r="O421" s="85">
        <f>SUM(M421:N421)</f>
        <v>85517</v>
      </c>
      <c r="P421" s="85"/>
      <c r="Q421" s="85">
        <f>SUM(O421:P421)</f>
        <v>85517</v>
      </c>
    </row>
    <row r="422" spans="1:17" s="227" customFormat="1" ht="21" customHeight="1">
      <c r="A422" s="225"/>
      <c r="B422" s="91"/>
      <c r="C422" s="71">
        <v>4300</v>
      </c>
      <c r="D422" s="41" t="s">
        <v>79</v>
      </c>
      <c r="E422" s="85"/>
      <c r="F422" s="85"/>
      <c r="G422" s="85"/>
      <c r="H422" s="85"/>
      <c r="I422" s="85"/>
      <c r="J422" s="85"/>
      <c r="K422" s="85">
        <v>0</v>
      </c>
      <c r="L422" s="85">
        <v>236600</v>
      </c>
      <c r="M422" s="85">
        <f>SUM(K422:L422)</f>
        <v>236600</v>
      </c>
      <c r="N422" s="85"/>
      <c r="O422" s="85">
        <f>SUM(M422:N422)</f>
        <v>236600</v>
      </c>
      <c r="P422" s="85"/>
      <c r="Q422" s="85">
        <f>SUM(O422:P422)</f>
        <v>236600</v>
      </c>
    </row>
    <row r="423" spans="1:17" s="27" customFormat="1" ht="21" customHeight="1">
      <c r="A423" s="71"/>
      <c r="B423" s="86" t="s">
        <v>136</v>
      </c>
      <c r="C423" s="90"/>
      <c r="D423" s="41" t="s">
        <v>6</v>
      </c>
      <c r="E423" s="85">
        <f aca="true" t="shared" si="215" ref="E423:K423">SUM(E424:E427)</f>
        <v>55800</v>
      </c>
      <c r="F423" s="85">
        <f t="shared" si="215"/>
        <v>0</v>
      </c>
      <c r="G423" s="85">
        <f t="shared" si="215"/>
        <v>55800</v>
      </c>
      <c r="H423" s="85">
        <f t="shared" si="215"/>
        <v>0</v>
      </c>
      <c r="I423" s="85">
        <f t="shared" si="215"/>
        <v>55800</v>
      </c>
      <c r="J423" s="85">
        <f t="shared" si="215"/>
        <v>0</v>
      </c>
      <c r="K423" s="85">
        <f t="shared" si="215"/>
        <v>55800</v>
      </c>
      <c r="L423" s="85">
        <f aca="true" t="shared" si="216" ref="L423:Q423">SUM(L424:L427)</f>
        <v>0</v>
      </c>
      <c r="M423" s="85">
        <f t="shared" si="216"/>
        <v>55800</v>
      </c>
      <c r="N423" s="85">
        <f t="shared" si="216"/>
        <v>0</v>
      </c>
      <c r="O423" s="85">
        <f t="shared" si="216"/>
        <v>55800</v>
      </c>
      <c r="P423" s="85">
        <f t="shared" si="216"/>
        <v>0</v>
      </c>
      <c r="Q423" s="85">
        <f t="shared" si="216"/>
        <v>55800</v>
      </c>
    </row>
    <row r="424" spans="1:17" s="27" customFormat="1" ht="21" customHeight="1">
      <c r="A424" s="71"/>
      <c r="B424" s="86"/>
      <c r="C424" s="90">
        <v>4210</v>
      </c>
      <c r="D424" s="41" t="s">
        <v>92</v>
      </c>
      <c r="E424" s="85">
        <v>11800</v>
      </c>
      <c r="F424" s="85"/>
      <c r="G424" s="85">
        <f>SUM(E424:F424)</f>
        <v>11800</v>
      </c>
      <c r="H424" s="85"/>
      <c r="I424" s="85">
        <f>SUM(G424:H424)</f>
        <v>11800</v>
      </c>
      <c r="J424" s="85"/>
      <c r="K424" s="85">
        <f>SUM(I424:J424)</f>
        <v>11800</v>
      </c>
      <c r="L424" s="85"/>
      <c r="M424" s="85">
        <f>SUM(K424:L424)</f>
        <v>11800</v>
      </c>
      <c r="N424" s="85"/>
      <c r="O424" s="85">
        <f>SUM(M424:N424)</f>
        <v>11800</v>
      </c>
      <c r="P424" s="85"/>
      <c r="Q424" s="85">
        <f>SUM(O424:P424)</f>
        <v>11800</v>
      </c>
    </row>
    <row r="425" spans="1:17" s="27" customFormat="1" ht="21" customHeight="1">
      <c r="A425" s="71"/>
      <c r="B425" s="91"/>
      <c r="C425" s="71">
        <v>4260</v>
      </c>
      <c r="D425" s="41" t="s">
        <v>95</v>
      </c>
      <c r="E425" s="85">
        <v>7000</v>
      </c>
      <c r="F425" s="85"/>
      <c r="G425" s="85">
        <f>SUM(E425:F425)</f>
        <v>7000</v>
      </c>
      <c r="H425" s="85"/>
      <c r="I425" s="85">
        <f>SUM(G425:H425)</f>
        <v>7000</v>
      </c>
      <c r="J425" s="85"/>
      <c r="K425" s="85">
        <f>SUM(I425:J425)</f>
        <v>7000</v>
      </c>
      <c r="L425" s="85"/>
      <c r="M425" s="85">
        <f>SUM(K425:L425)</f>
        <v>7000</v>
      </c>
      <c r="N425" s="85"/>
      <c r="O425" s="85">
        <f>SUM(M425:N425)</f>
        <v>7000</v>
      </c>
      <c r="P425" s="85"/>
      <c r="Q425" s="85">
        <f>SUM(O425:P425)</f>
        <v>7000</v>
      </c>
    </row>
    <row r="426" spans="1:17" s="27" customFormat="1" ht="21" customHeight="1">
      <c r="A426" s="71"/>
      <c r="B426" s="91"/>
      <c r="C426" s="90">
        <v>4300</v>
      </c>
      <c r="D426" s="94" t="s">
        <v>79</v>
      </c>
      <c r="E426" s="85">
        <f>26000+9000</f>
        <v>35000</v>
      </c>
      <c r="F426" s="85"/>
      <c r="G426" s="85">
        <f>SUM(E426:F426)</f>
        <v>35000</v>
      </c>
      <c r="H426" s="85"/>
      <c r="I426" s="85">
        <f>SUM(G426:H426)</f>
        <v>35000</v>
      </c>
      <c r="J426" s="85"/>
      <c r="K426" s="85">
        <f>SUM(I426:J426)</f>
        <v>35000</v>
      </c>
      <c r="L426" s="85"/>
      <c r="M426" s="85">
        <f>SUM(K426:L426)</f>
        <v>35000</v>
      </c>
      <c r="N426" s="85"/>
      <c r="O426" s="85">
        <f>SUM(M426:N426)</f>
        <v>35000</v>
      </c>
      <c r="P426" s="85"/>
      <c r="Q426" s="85">
        <f>SUM(O426:P426)</f>
        <v>35000</v>
      </c>
    </row>
    <row r="427" spans="1:17" s="27" customFormat="1" ht="30" customHeight="1">
      <c r="A427" s="71"/>
      <c r="B427" s="91"/>
      <c r="C427" s="90">
        <v>4390</v>
      </c>
      <c r="D427" s="41" t="s">
        <v>266</v>
      </c>
      <c r="E427" s="85">
        <v>2000</v>
      </c>
      <c r="F427" s="85"/>
      <c r="G427" s="85">
        <f>SUM(E427:F427)</f>
        <v>2000</v>
      </c>
      <c r="H427" s="85"/>
      <c r="I427" s="85">
        <f>SUM(G427:H427)</f>
        <v>2000</v>
      </c>
      <c r="J427" s="85"/>
      <c r="K427" s="85">
        <f>SUM(I427:J427)</f>
        <v>2000</v>
      </c>
      <c r="L427" s="85"/>
      <c r="M427" s="85">
        <f>SUM(K427:L427)</f>
        <v>2000</v>
      </c>
      <c r="N427" s="85"/>
      <c r="O427" s="85">
        <f>SUM(M427:N427)</f>
        <v>2000</v>
      </c>
      <c r="P427" s="85"/>
      <c r="Q427" s="85">
        <f>SUM(O427:P427)</f>
        <v>2000</v>
      </c>
    </row>
    <row r="428" spans="1:17" s="7" customFormat="1" ht="25.5" customHeight="1">
      <c r="A428" s="36" t="s">
        <v>63</v>
      </c>
      <c r="B428" s="37"/>
      <c r="C428" s="38"/>
      <c r="D428" s="39" t="s">
        <v>137</v>
      </c>
      <c r="E428" s="40">
        <f aca="true" t="shared" si="217" ref="E428:K428">SUM(E429,E436,E438,E440,E442)</f>
        <v>2570955</v>
      </c>
      <c r="F428" s="40">
        <f t="shared" si="217"/>
        <v>170500</v>
      </c>
      <c r="G428" s="40">
        <f t="shared" si="217"/>
        <v>2741455</v>
      </c>
      <c r="H428" s="40">
        <f t="shared" si="217"/>
        <v>0</v>
      </c>
      <c r="I428" s="40">
        <f t="shared" si="217"/>
        <v>2741455</v>
      </c>
      <c r="J428" s="40">
        <f t="shared" si="217"/>
        <v>0</v>
      </c>
      <c r="K428" s="40">
        <f t="shared" si="217"/>
        <v>2741455</v>
      </c>
      <c r="L428" s="40">
        <f aca="true" t="shared" si="218" ref="L428:Q428">SUM(L429,L436,L438,L440,L442)</f>
        <v>8700</v>
      </c>
      <c r="M428" s="40">
        <f t="shared" si="218"/>
        <v>2750155</v>
      </c>
      <c r="N428" s="40">
        <f t="shared" si="218"/>
        <v>0</v>
      </c>
      <c r="O428" s="40">
        <f t="shared" si="218"/>
        <v>2750155</v>
      </c>
      <c r="P428" s="40">
        <f t="shared" si="218"/>
        <v>0</v>
      </c>
      <c r="Q428" s="40">
        <f t="shared" si="218"/>
        <v>2750155</v>
      </c>
    </row>
    <row r="429" spans="1:17" s="27" customFormat="1" ht="21.75" customHeight="1">
      <c r="A429" s="71"/>
      <c r="B429" s="86" t="s">
        <v>138</v>
      </c>
      <c r="C429" s="90"/>
      <c r="D429" s="41" t="s">
        <v>151</v>
      </c>
      <c r="E429" s="85">
        <f aca="true" t="shared" si="219" ref="E429:K429">SUM(E430:E435)</f>
        <v>713023</v>
      </c>
      <c r="F429" s="85">
        <f t="shared" si="219"/>
        <v>170500</v>
      </c>
      <c r="G429" s="85">
        <f t="shared" si="219"/>
        <v>883523</v>
      </c>
      <c r="H429" s="85">
        <f t="shared" si="219"/>
        <v>0</v>
      </c>
      <c r="I429" s="85">
        <f t="shared" si="219"/>
        <v>883523</v>
      </c>
      <c r="J429" s="85">
        <f t="shared" si="219"/>
        <v>0</v>
      </c>
      <c r="K429" s="85">
        <f t="shared" si="219"/>
        <v>883523</v>
      </c>
      <c r="L429" s="85">
        <f aca="true" t="shared" si="220" ref="L429:Q429">SUM(L430:L435)</f>
        <v>3700</v>
      </c>
      <c r="M429" s="85">
        <f t="shared" si="220"/>
        <v>887223</v>
      </c>
      <c r="N429" s="85">
        <f t="shared" si="220"/>
        <v>0</v>
      </c>
      <c r="O429" s="85">
        <f t="shared" si="220"/>
        <v>887223</v>
      </c>
      <c r="P429" s="85">
        <f t="shared" si="220"/>
        <v>0</v>
      </c>
      <c r="Q429" s="85">
        <f t="shared" si="220"/>
        <v>887223</v>
      </c>
    </row>
    <row r="430" spans="1:19" s="27" customFormat="1" ht="27" customHeight="1">
      <c r="A430" s="71"/>
      <c r="B430" s="86"/>
      <c r="C430" s="90">
        <v>2480</v>
      </c>
      <c r="D430" s="41" t="s">
        <v>188</v>
      </c>
      <c r="E430" s="85">
        <v>632800</v>
      </c>
      <c r="F430" s="85">
        <f>-62000-11000+6000+187500</f>
        <v>120500</v>
      </c>
      <c r="G430" s="85">
        <f aca="true" t="shared" si="221" ref="G430:G435">SUM(E430:F430)</f>
        <v>753300</v>
      </c>
      <c r="H430" s="85"/>
      <c r="I430" s="85">
        <f aca="true" t="shared" si="222" ref="I430:I435">SUM(G430:H430)</f>
        <v>753300</v>
      </c>
      <c r="J430" s="85"/>
      <c r="K430" s="85">
        <f aca="true" t="shared" si="223" ref="K430:K435">SUM(I430:J430)</f>
        <v>753300</v>
      </c>
      <c r="L430" s="85">
        <f>1000+3500</f>
        <v>4500</v>
      </c>
      <c r="M430" s="85">
        <f aca="true" t="shared" si="224" ref="M430:M435">SUM(K430:L430)</f>
        <v>757800</v>
      </c>
      <c r="N430" s="85"/>
      <c r="O430" s="85">
        <f aca="true" t="shared" si="225" ref="O430:O435">SUM(M430:N430)</f>
        <v>757800</v>
      </c>
      <c r="P430" s="85"/>
      <c r="Q430" s="85">
        <f aca="true" t="shared" si="226" ref="Q430:Q435">SUM(O430:P430)</f>
        <v>757800</v>
      </c>
      <c r="R430" s="123"/>
      <c r="S430" s="123"/>
    </row>
    <row r="431" spans="1:17" s="27" customFormat="1" ht="21" customHeight="1">
      <c r="A431" s="71"/>
      <c r="B431" s="86"/>
      <c r="C431" s="71">
        <v>4210</v>
      </c>
      <c r="D431" s="41" t="s">
        <v>92</v>
      </c>
      <c r="E431" s="85">
        <f>26426+6061</f>
        <v>32487</v>
      </c>
      <c r="F431" s="85"/>
      <c r="G431" s="85">
        <f t="shared" si="221"/>
        <v>32487</v>
      </c>
      <c r="H431" s="85"/>
      <c r="I431" s="85">
        <f t="shared" si="222"/>
        <v>32487</v>
      </c>
      <c r="J431" s="85"/>
      <c r="K431" s="85">
        <f t="shared" si="223"/>
        <v>32487</v>
      </c>
      <c r="L431" s="85"/>
      <c r="M431" s="85">
        <f t="shared" si="224"/>
        <v>32487</v>
      </c>
      <c r="N431" s="85"/>
      <c r="O431" s="85">
        <f t="shared" si="225"/>
        <v>32487</v>
      </c>
      <c r="P431" s="85"/>
      <c r="Q431" s="85">
        <f t="shared" si="226"/>
        <v>32487</v>
      </c>
    </row>
    <row r="432" spans="1:17" s="27" customFormat="1" ht="21" customHeight="1">
      <c r="A432" s="71"/>
      <c r="B432" s="86"/>
      <c r="C432" s="71">
        <v>4260</v>
      </c>
      <c r="D432" s="41" t="s">
        <v>95</v>
      </c>
      <c r="E432" s="85">
        <v>15466</v>
      </c>
      <c r="F432" s="85"/>
      <c r="G432" s="85">
        <f t="shared" si="221"/>
        <v>15466</v>
      </c>
      <c r="H432" s="85"/>
      <c r="I432" s="85">
        <f t="shared" si="222"/>
        <v>15466</v>
      </c>
      <c r="J432" s="85"/>
      <c r="K432" s="85">
        <f t="shared" si="223"/>
        <v>15466</v>
      </c>
      <c r="L432" s="85">
        <v>-800</v>
      </c>
      <c r="M432" s="85">
        <f t="shared" si="224"/>
        <v>14666</v>
      </c>
      <c r="N432" s="85"/>
      <c r="O432" s="85">
        <f t="shared" si="225"/>
        <v>14666</v>
      </c>
      <c r="P432" s="85"/>
      <c r="Q432" s="85">
        <f t="shared" si="226"/>
        <v>14666</v>
      </c>
    </row>
    <row r="433" spans="1:17" s="27" customFormat="1" ht="21" customHeight="1">
      <c r="A433" s="71"/>
      <c r="B433" s="86"/>
      <c r="C433" s="71">
        <v>4270</v>
      </c>
      <c r="D433" s="41" t="s">
        <v>78</v>
      </c>
      <c r="E433" s="85">
        <f>29250+1100</f>
        <v>30350</v>
      </c>
      <c r="F433" s="85">
        <f>20000+30000</f>
        <v>50000</v>
      </c>
      <c r="G433" s="85">
        <f t="shared" si="221"/>
        <v>80350</v>
      </c>
      <c r="H433" s="85"/>
      <c r="I433" s="85">
        <f t="shared" si="222"/>
        <v>80350</v>
      </c>
      <c r="J433" s="85"/>
      <c r="K433" s="85">
        <f t="shared" si="223"/>
        <v>80350</v>
      </c>
      <c r="L433" s="85"/>
      <c r="M433" s="85">
        <f t="shared" si="224"/>
        <v>80350</v>
      </c>
      <c r="N433" s="85"/>
      <c r="O433" s="85">
        <f t="shared" si="225"/>
        <v>80350</v>
      </c>
      <c r="P433" s="85"/>
      <c r="Q433" s="85">
        <f t="shared" si="226"/>
        <v>80350</v>
      </c>
    </row>
    <row r="434" spans="1:17" s="27" customFormat="1" ht="21" customHeight="1">
      <c r="A434" s="71"/>
      <c r="B434" s="86"/>
      <c r="C434" s="90">
        <v>4300</v>
      </c>
      <c r="D434" s="94" t="s">
        <v>79</v>
      </c>
      <c r="E434" s="85">
        <v>230</v>
      </c>
      <c r="F434" s="85"/>
      <c r="G434" s="85">
        <f t="shared" si="221"/>
        <v>230</v>
      </c>
      <c r="H434" s="85"/>
      <c r="I434" s="85">
        <f t="shared" si="222"/>
        <v>230</v>
      </c>
      <c r="J434" s="85"/>
      <c r="K434" s="85">
        <f t="shared" si="223"/>
        <v>230</v>
      </c>
      <c r="L434" s="85"/>
      <c r="M434" s="85">
        <f t="shared" si="224"/>
        <v>230</v>
      </c>
      <c r="N434" s="85"/>
      <c r="O434" s="85">
        <f t="shared" si="225"/>
        <v>230</v>
      </c>
      <c r="P434" s="85"/>
      <c r="Q434" s="85">
        <f t="shared" si="226"/>
        <v>230</v>
      </c>
    </row>
    <row r="435" spans="1:17" s="27" customFormat="1" ht="21" customHeight="1">
      <c r="A435" s="71"/>
      <c r="B435" s="86"/>
      <c r="C435" s="90">
        <v>4430</v>
      </c>
      <c r="D435" s="94" t="s">
        <v>94</v>
      </c>
      <c r="E435" s="85">
        <v>1690</v>
      </c>
      <c r="F435" s="85"/>
      <c r="G435" s="85">
        <f t="shared" si="221"/>
        <v>1690</v>
      </c>
      <c r="H435" s="85"/>
      <c r="I435" s="85">
        <f t="shared" si="222"/>
        <v>1690</v>
      </c>
      <c r="J435" s="85"/>
      <c r="K435" s="85">
        <f t="shared" si="223"/>
        <v>1690</v>
      </c>
      <c r="L435" s="85"/>
      <c r="M435" s="85">
        <f t="shared" si="224"/>
        <v>1690</v>
      </c>
      <c r="N435" s="85"/>
      <c r="O435" s="85">
        <f t="shared" si="225"/>
        <v>1690</v>
      </c>
      <c r="P435" s="85"/>
      <c r="Q435" s="85">
        <f t="shared" si="226"/>
        <v>1690</v>
      </c>
    </row>
    <row r="436" spans="1:17" s="27" customFormat="1" ht="21" customHeight="1">
      <c r="A436" s="71"/>
      <c r="B436" s="86" t="s">
        <v>64</v>
      </c>
      <c r="C436" s="90"/>
      <c r="D436" s="41" t="s">
        <v>65</v>
      </c>
      <c r="E436" s="85">
        <f aca="true" t="shared" si="227" ref="E436:Q436">E437</f>
        <v>1180352</v>
      </c>
      <c r="F436" s="85">
        <f t="shared" si="227"/>
        <v>0</v>
      </c>
      <c r="G436" s="85">
        <f t="shared" si="227"/>
        <v>1180352</v>
      </c>
      <c r="H436" s="85">
        <f t="shared" si="227"/>
        <v>0</v>
      </c>
      <c r="I436" s="85">
        <f t="shared" si="227"/>
        <v>1180352</v>
      </c>
      <c r="J436" s="85">
        <f t="shared" si="227"/>
        <v>0</v>
      </c>
      <c r="K436" s="85">
        <f t="shared" si="227"/>
        <v>1180352</v>
      </c>
      <c r="L436" s="85">
        <f t="shared" si="227"/>
        <v>1000</v>
      </c>
      <c r="M436" s="85">
        <f t="shared" si="227"/>
        <v>1181352</v>
      </c>
      <c r="N436" s="85">
        <f t="shared" si="227"/>
        <v>0</v>
      </c>
      <c r="O436" s="85">
        <f t="shared" si="227"/>
        <v>1181352</v>
      </c>
      <c r="P436" s="85">
        <f t="shared" si="227"/>
        <v>0</v>
      </c>
      <c r="Q436" s="85">
        <f t="shared" si="227"/>
        <v>1181352</v>
      </c>
    </row>
    <row r="437" spans="1:19" s="27" customFormat="1" ht="22.5">
      <c r="A437" s="71"/>
      <c r="B437" s="86"/>
      <c r="C437" s="90">
        <v>2480</v>
      </c>
      <c r="D437" s="41" t="s">
        <v>188</v>
      </c>
      <c r="E437" s="85">
        <f>60000+1120352</f>
        <v>1180352</v>
      </c>
      <c r="F437" s="85"/>
      <c r="G437" s="85">
        <f>SUM(E437:F437)</f>
        <v>1180352</v>
      </c>
      <c r="H437" s="85"/>
      <c r="I437" s="85">
        <f>SUM(G437:H437)</f>
        <v>1180352</v>
      </c>
      <c r="J437" s="85"/>
      <c r="K437" s="85">
        <f>SUM(I437:J437)</f>
        <v>1180352</v>
      </c>
      <c r="L437" s="85">
        <v>1000</v>
      </c>
      <c r="M437" s="85">
        <f>SUM(K437:L437)</f>
        <v>1181352</v>
      </c>
      <c r="N437" s="85"/>
      <c r="O437" s="85">
        <f>SUM(M437:N437)</f>
        <v>1181352</v>
      </c>
      <c r="P437" s="85"/>
      <c r="Q437" s="85">
        <f>SUM(O437:P437)</f>
        <v>1181352</v>
      </c>
      <c r="R437" s="123"/>
      <c r="S437" s="123"/>
    </row>
    <row r="438" spans="1:17" s="27" customFormat="1" ht="21" customHeight="1">
      <c r="A438" s="71"/>
      <c r="B438" s="86" t="s">
        <v>139</v>
      </c>
      <c r="C438" s="90"/>
      <c r="D438" s="41" t="s">
        <v>140</v>
      </c>
      <c r="E438" s="85">
        <f aca="true" t="shared" si="228" ref="E438:Q438">E439</f>
        <v>650000</v>
      </c>
      <c r="F438" s="85">
        <f t="shared" si="228"/>
        <v>0</v>
      </c>
      <c r="G438" s="85">
        <f t="shared" si="228"/>
        <v>650000</v>
      </c>
      <c r="H438" s="85">
        <f t="shared" si="228"/>
        <v>0</v>
      </c>
      <c r="I438" s="85">
        <f t="shared" si="228"/>
        <v>650000</v>
      </c>
      <c r="J438" s="85">
        <f t="shared" si="228"/>
        <v>0</v>
      </c>
      <c r="K438" s="85">
        <f t="shared" si="228"/>
        <v>650000</v>
      </c>
      <c r="L438" s="85">
        <f t="shared" si="228"/>
        <v>4000</v>
      </c>
      <c r="M438" s="85">
        <f t="shared" si="228"/>
        <v>654000</v>
      </c>
      <c r="N438" s="85">
        <f t="shared" si="228"/>
        <v>0</v>
      </c>
      <c r="O438" s="85">
        <f t="shared" si="228"/>
        <v>654000</v>
      </c>
      <c r="P438" s="85">
        <f t="shared" si="228"/>
        <v>0</v>
      </c>
      <c r="Q438" s="85">
        <f t="shared" si="228"/>
        <v>654000</v>
      </c>
    </row>
    <row r="439" spans="1:19" s="27" customFormat="1" ht="22.5">
      <c r="A439" s="71"/>
      <c r="B439" s="86"/>
      <c r="C439" s="90">
        <v>2480</v>
      </c>
      <c r="D439" s="41" t="s">
        <v>188</v>
      </c>
      <c r="E439" s="85">
        <v>650000</v>
      </c>
      <c r="F439" s="85"/>
      <c r="G439" s="85">
        <f>SUM(E439:F439)</f>
        <v>650000</v>
      </c>
      <c r="H439" s="85"/>
      <c r="I439" s="85">
        <f>SUM(G439:H439)</f>
        <v>650000</v>
      </c>
      <c r="J439" s="85"/>
      <c r="K439" s="85">
        <f>SUM(I439:J439)</f>
        <v>650000</v>
      </c>
      <c r="L439" s="85">
        <f>2000+1000+1000</f>
        <v>4000</v>
      </c>
      <c r="M439" s="85">
        <f>SUM(K439:L439)</f>
        <v>654000</v>
      </c>
      <c r="N439" s="85"/>
      <c r="O439" s="85">
        <f>SUM(M439:N439)</f>
        <v>654000</v>
      </c>
      <c r="P439" s="85"/>
      <c r="Q439" s="85">
        <f>SUM(O439:P439)</f>
        <v>654000</v>
      </c>
      <c r="R439" s="123"/>
      <c r="S439" s="123"/>
    </row>
    <row r="440" spans="1:17" s="27" customFormat="1" ht="21" customHeight="1">
      <c r="A440" s="71"/>
      <c r="B440" s="86">
        <v>92120</v>
      </c>
      <c r="C440" s="90"/>
      <c r="D440" s="41" t="s">
        <v>282</v>
      </c>
      <c r="E440" s="85">
        <f aca="true" t="shared" si="229" ref="E440:Q440">SUM(E441)</f>
        <v>7500</v>
      </c>
      <c r="F440" s="85">
        <f t="shared" si="229"/>
        <v>0</v>
      </c>
      <c r="G440" s="85">
        <f t="shared" si="229"/>
        <v>7500</v>
      </c>
      <c r="H440" s="85">
        <f t="shared" si="229"/>
        <v>0</v>
      </c>
      <c r="I440" s="85">
        <f t="shared" si="229"/>
        <v>7500</v>
      </c>
      <c r="J440" s="85">
        <f t="shared" si="229"/>
        <v>0</v>
      </c>
      <c r="K440" s="85">
        <f t="shared" si="229"/>
        <v>7500</v>
      </c>
      <c r="L440" s="85">
        <f t="shared" si="229"/>
        <v>0</v>
      </c>
      <c r="M440" s="85">
        <f t="shared" si="229"/>
        <v>7500</v>
      </c>
      <c r="N440" s="85">
        <f t="shared" si="229"/>
        <v>0</v>
      </c>
      <c r="O440" s="85">
        <f t="shared" si="229"/>
        <v>7500</v>
      </c>
      <c r="P440" s="85">
        <f t="shared" si="229"/>
        <v>0</v>
      </c>
      <c r="Q440" s="85">
        <f t="shared" si="229"/>
        <v>7500</v>
      </c>
    </row>
    <row r="441" spans="1:19" s="27" customFormat="1" ht="67.5">
      <c r="A441" s="71"/>
      <c r="B441" s="86"/>
      <c r="C441" s="90">
        <v>2720</v>
      </c>
      <c r="D441" s="41" t="s">
        <v>283</v>
      </c>
      <c r="E441" s="85">
        <v>7500</v>
      </c>
      <c r="F441" s="85"/>
      <c r="G441" s="85">
        <f>SUM(E441:F441)</f>
        <v>7500</v>
      </c>
      <c r="H441" s="85"/>
      <c r="I441" s="85">
        <f>SUM(G441:H441)</f>
        <v>7500</v>
      </c>
      <c r="J441" s="85"/>
      <c r="K441" s="85">
        <f>SUM(I441:J441)</f>
        <v>7500</v>
      </c>
      <c r="L441" s="85"/>
      <c r="M441" s="85">
        <f>SUM(K441:L441)</f>
        <v>7500</v>
      </c>
      <c r="N441" s="85"/>
      <c r="O441" s="85">
        <f>SUM(M441:N441)</f>
        <v>7500</v>
      </c>
      <c r="P441" s="85"/>
      <c r="Q441" s="85">
        <f>SUM(O441:P441)</f>
        <v>7500</v>
      </c>
      <c r="R441" s="123"/>
      <c r="S441" s="123"/>
    </row>
    <row r="442" spans="1:17" s="27" customFormat="1" ht="21" customHeight="1">
      <c r="A442" s="71"/>
      <c r="B442" s="86">
        <v>92195</v>
      </c>
      <c r="C442" s="90"/>
      <c r="D442" s="41" t="s">
        <v>6</v>
      </c>
      <c r="E442" s="85">
        <f aca="true" t="shared" si="230" ref="E442:K442">SUM(E443:E444)</f>
        <v>20080</v>
      </c>
      <c r="F442" s="85">
        <f t="shared" si="230"/>
        <v>0</v>
      </c>
      <c r="G442" s="85">
        <f t="shared" si="230"/>
        <v>20080</v>
      </c>
      <c r="H442" s="85">
        <f t="shared" si="230"/>
        <v>0</v>
      </c>
      <c r="I442" s="85">
        <f t="shared" si="230"/>
        <v>20080</v>
      </c>
      <c r="J442" s="85">
        <f t="shared" si="230"/>
        <v>0</v>
      </c>
      <c r="K442" s="85">
        <f t="shared" si="230"/>
        <v>20080</v>
      </c>
      <c r="L442" s="85">
        <f aca="true" t="shared" si="231" ref="L442:Q442">SUM(L443:L444)</f>
        <v>0</v>
      </c>
      <c r="M442" s="85">
        <f t="shared" si="231"/>
        <v>20080</v>
      </c>
      <c r="N442" s="85">
        <f t="shared" si="231"/>
        <v>0</v>
      </c>
      <c r="O442" s="85">
        <f t="shared" si="231"/>
        <v>20080</v>
      </c>
      <c r="P442" s="85">
        <f t="shared" si="231"/>
        <v>0</v>
      </c>
      <c r="Q442" s="85">
        <f t="shared" si="231"/>
        <v>20080</v>
      </c>
    </row>
    <row r="443" spans="1:17" s="27" customFormat="1" ht="21" customHeight="1">
      <c r="A443" s="71"/>
      <c r="B443" s="86"/>
      <c r="C443" s="90">
        <v>4210</v>
      </c>
      <c r="D443" s="41" t="s">
        <v>92</v>
      </c>
      <c r="E443" s="85">
        <v>80</v>
      </c>
      <c r="F443" s="85"/>
      <c r="G443" s="85">
        <f>SUM(E443:F443)</f>
        <v>80</v>
      </c>
      <c r="H443" s="85"/>
      <c r="I443" s="85">
        <f>SUM(G443:H443)</f>
        <v>80</v>
      </c>
      <c r="J443" s="85"/>
      <c r="K443" s="85">
        <f>SUM(I443:J443)</f>
        <v>80</v>
      </c>
      <c r="L443" s="85"/>
      <c r="M443" s="85">
        <f>SUM(K443:L443)</f>
        <v>80</v>
      </c>
      <c r="N443" s="85"/>
      <c r="O443" s="85">
        <f>SUM(M443:N443)</f>
        <v>80</v>
      </c>
      <c r="P443" s="85"/>
      <c r="Q443" s="85">
        <f>SUM(O443:P443)</f>
        <v>80</v>
      </c>
    </row>
    <row r="444" spans="1:17" s="27" customFormat="1" ht="21" customHeight="1">
      <c r="A444" s="71"/>
      <c r="B444" s="86"/>
      <c r="C444" s="90">
        <v>4300</v>
      </c>
      <c r="D444" s="94" t="s">
        <v>79</v>
      </c>
      <c r="E444" s="85">
        <v>20000</v>
      </c>
      <c r="F444" s="85"/>
      <c r="G444" s="85">
        <f>SUM(E444:F444)</f>
        <v>20000</v>
      </c>
      <c r="H444" s="85"/>
      <c r="I444" s="85">
        <f>SUM(G444:H444)</f>
        <v>20000</v>
      </c>
      <c r="J444" s="85"/>
      <c r="K444" s="85">
        <f>SUM(I444:J444)</f>
        <v>20000</v>
      </c>
      <c r="L444" s="85"/>
      <c r="M444" s="85">
        <f>SUM(K444:L444)</f>
        <v>20000</v>
      </c>
      <c r="N444" s="85"/>
      <c r="O444" s="85">
        <f>SUM(M444:N444)</f>
        <v>20000</v>
      </c>
      <c r="P444" s="85"/>
      <c r="Q444" s="85">
        <f>SUM(O444:P444)</f>
        <v>20000</v>
      </c>
    </row>
    <row r="445" spans="1:17" s="7" customFormat="1" ht="21" customHeight="1">
      <c r="A445" s="36" t="s">
        <v>141</v>
      </c>
      <c r="B445" s="37"/>
      <c r="C445" s="38"/>
      <c r="D445" s="39" t="s">
        <v>66</v>
      </c>
      <c r="E445" s="40">
        <f aca="true" t="shared" si="232" ref="E445:Q445">SUM(E452,E448,E446,E461)</f>
        <v>2621888</v>
      </c>
      <c r="F445" s="40">
        <f t="shared" si="232"/>
        <v>-744000</v>
      </c>
      <c r="G445" s="40">
        <f t="shared" si="232"/>
        <v>1877888</v>
      </c>
      <c r="H445" s="40">
        <f t="shared" si="232"/>
        <v>0</v>
      </c>
      <c r="I445" s="40">
        <f t="shared" si="232"/>
        <v>1877888</v>
      </c>
      <c r="J445" s="40">
        <f t="shared" si="232"/>
        <v>0</v>
      </c>
      <c r="K445" s="40">
        <f t="shared" si="232"/>
        <v>1877888</v>
      </c>
      <c r="L445" s="40">
        <f t="shared" si="232"/>
        <v>422200</v>
      </c>
      <c r="M445" s="40">
        <f t="shared" si="232"/>
        <v>2300088</v>
      </c>
      <c r="N445" s="40">
        <f t="shared" si="232"/>
        <v>0</v>
      </c>
      <c r="O445" s="40">
        <f t="shared" si="232"/>
        <v>2300088</v>
      </c>
      <c r="P445" s="40">
        <f t="shared" si="232"/>
        <v>0</v>
      </c>
      <c r="Q445" s="40">
        <f t="shared" si="232"/>
        <v>2300088</v>
      </c>
    </row>
    <row r="446" spans="1:17" s="27" customFormat="1" ht="21" customHeight="1">
      <c r="A446" s="71"/>
      <c r="B446" s="91">
        <v>92601</v>
      </c>
      <c r="C446" s="90"/>
      <c r="D446" s="41" t="s">
        <v>259</v>
      </c>
      <c r="E446" s="85">
        <f aca="true" t="shared" si="233" ref="E446:Q446">SUM(E447)</f>
        <v>1956380</v>
      </c>
      <c r="F446" s="85">
        <f t="shared" si="233"/>
        <v>-500000</v>
      </c>
      <c r="G446" s="85">
        <f t="shared" si="233"/>
        <v>1456380</v>
      </c>
      <c r="H446" s="85">
        <f t="shared" si="233"/>
        <v>0</v>
      </c>
      <c r="I446" s="85">
        <f t="shared" si="233"/>
        <v>1456380</v>
      </c>
      <c r="J446" s="85">
        <f t="shared" si="233"/>
        <v>0</v>
      </c>
      <c r="K446" s="85">
        <f t="shared" si="233"/>
        <v>1456380</v>
      </c>
      <c r="L446" s="85">
        <f t="shared" si="233"/>
        <v>0</v>
      </c>
      <c r="M446" s="85">
        <f t="shared" si="233"/>
        <v>1456380</v>
      </c>
      <c r="N446" s="85">
        <f t="shared" si="233"/>
        <v>0</v>
      </c>
      <c r="O446" s="85">
        <f t="shared" si="233"/>
        <v>1456380</v>
      </c>
      <c r="P446" s="85">
        <f t="shared" si="233"/>
        <v>0</v>
      </c>
      <c r="Q446" s="85">
        <f t="shared" si="233"/>
        <v>1456380</v>
      </c>
    </row>
    <row r="447" spans="1:17" s="27" customFormat="1" ht="21" customHeight="1">
      <c r="A447" s="71"/>
      <c r="B447" s="91"/>
      <c r="C447" s="90">
        <v>6050</v>
      </c>
      <c r="D447" s="41" t="s">
        <v>78</v>
      </c>
      <c r="E447" s="85">
        <f>70000+1886380</f>
        <v>1956380</v>
      </c>
      <c r="F447" s="85">
        <f>-600000+100000</f>
        <v>-500000</v>
      </c>
      <c r="G447" s="85">
        <f>SUM(E447:F447)</f>
        <v>1456380</v>
      </c>
      <c r="H447" s="85"/>
      <c r="I447" s="85">
        <f>SUM(G447:H447)</f>
        <v>1456380</v>
      </c>
      <c r="J447" s="85"/>
      <c r="K447" s="85">
        <f>SUM(I447:J447)</f>
        <v>1456380</v>
      </c>
      <c r="L447" s="85"/>
      <c r="M447" s="85">
        <f>SUM(K447:L447)</f>
        <v>1456380</v>
      </c>
      <c r="N447" s="85"/>
      <c r="O447" s="85">
        <f>SUM(M447:N447)</f>
        <v>1456380</v>
      </c>
      <c r="P447" s="85"/>
      <c r="Q447" s="85">
        <f>SUM(O447:P447)</f>
        <v>1456380</v>
      </c>
    </row>
    <row r="448" spans="1:17" s="27" customFormat="1" ht="21.75" customHeight="1">
      <c r="A448" s="71"/>
      <c r="B448" s="91">
        <v>92604</v>
      </c>
      <c r="C448" s="90"/>
      <c r="D448" s="41" t="s">
        <v>197</v>
      </c>
      <c r="E448" s="85">
        <f aca="true" t="shared" si="234" ref="E448:K448">SUM(E449:E451)</f>
        <v>530000</v>
      </c>
      <c r="F448" s="85">
        <f t="shared" si="234"/>
        <v>-250000</v>
      </c>
      <c r="G448" s="85">
        <f t="shared" si="234"/>
        <v>280000</v>
      </c>
      <c r="H448" s="85">
        <f t="shared" si="234"/>
        <v>0</v>
      </c>
      <c r="I448" s="85">
        <f t="shared" si="234"/>
        <v>280000</v>
      </c>
      <c r="J448" s="85">
        <f t="shared" si="234"/>
        <v>0</v>
      </c>
      <c r="K448" s="85">
        <f t="shared" si="234"/>
        <v>280000</v>
      </c>
      <c r="L448" s="85">
        <f aca="true" t="shared" si="235" ref="L448:Q448">SUM(L449:L451)</f>
        <v>0</v>
      </c>
      <c r="M448" s="85">
        <f t="shared" si="235"/>
        <v>280000</v>
      </c>
      <c r="N448" s="85">
        <f t="shared" si="235"/>
        <v>0</v>
      </c>
      <c r="O448" s="85">
        <f t="shared" si="235"/>
        <v>280000</v>
      </c>
      <c r="P448" s="85">
        <f t="shared" si="235"/>
        <v>0</v>
      </c>
      <c r="Q448" s="85">
        <f t="shared" si="235"/>
        <v>280000</v>
      </c>
    </row>
    <row r="449" spans="1:17" s="27" customFormat="1" ht="21" customHeight="1">
      <c r="A449" s="71"/>
      <c r="B449" s="91"/>
      <c r="C449" s="90">
        <v>4270</v>
      </c>
      <c r="D449" s="41" t="s">
        <v>78</v>
      </c>
      <c r="E449" s="85">
        <v>10000</v>
      </c>
      <c r="F449" s="85"/>
      <c r="G449" s="85">
        <f>SUM(E449:F449)</f>
        <v>10000</v>
      </c>
      <c r="H449" s="85"/>
      <c r="I449" s="85">
        <f>SUM(G449:H449)</f>
        <v>10000</v>
      </c>
      <c r="J449" s="85"/>
      <c r="K449" s="85">
        <f>SUM(I449:J449)</f>
        <v>10000</v>
      </c>
      <c r="L449" s="85"/>
      <c r="M449" s="85">
        <f>SUM(K449:L449)</f>
        <v>10000</v>
      </c>
      <c r="N449" s="85"/>
      <c r="O449" s="85">
        <f>SUM(M449:N449)</f>
        <v>10000</v>
      </c>
      <c r="P449" s="85"/>
      <c r="Q449" s="85">
        <f>SUM(O449:P449)</f>
        <v>10000</v>
      </c>
    </row>
    <row r="450" spans="1:17" s="27" customFormat="1" ht="21" customHeight="1">
      <c r="A450" s="71"/>
      <c r="B450" s="91"/>
      <c r="C450" s="90">
        <v>4300</v>
      </c>
      <c r="D450" s="94" t="s">
        <v>79</v>
      </c>
      <c r="E450" s="85">
        <f>90000+30000</f>
        <v>120000</v>
      </c>
      <c r="F450" s="85"/>
      <c r="G450" s="85">
        <f>SUM(E450:F450)</f>
        <v>120000</v>
      </c>
      <c r="H450" s="85"/>
      <c r="I450" s="85">
        <f>SUM(G450:H450)</f>
        <v>120000</v>
      </c>
      <c r="J450" s="85"/>
      <c r="K450" s="85">
        <f>SUM(I450:J450)</f>
        <v>120000</v>
      </c>
      <c r="L450" s="85"/>
      <c r="M450" s="85">
        <f>SUM(K450:L450)</f>
        <v>120000</v>
      </c>
      <c r="N450" s="85"/>
      <c r="O450" s="85">
        <f>SUM(M450:N450)</f>
        <v>120000</v>
      </c>
      <c r="P450" s="85"/>
      <c r="Q450" s="85">
        <f>SUM(O450:P450)</f>
        <v>120000</v>
      </c>
    </row>
    <row r="451" spans="1:17" s="27" customFormat="1" ht="67.5">
      <c r="A451" s="71"/>
      <c r="B451" s="91"/>
      <c r="C451" s="90">
        <v>6010</v>
      </c>
      <c r="D451" s="14" t="s">
        <v>284</v>
      </c>
      <c r="E451" s="85">
        <v>400000</v>
      </c>
      <c r="F451" s="85">
        <v>-250000</v>
      </c>
      <c r="G451" s="85">
        <f>SUM(E451:F451)</f>
        <v>150000</v>
      </c>
      <c r="H451" s="85"/>
      <c r="I451" s="85">
        <f>SUM(G451:H451)</f>
        <v>150000</v>
      </c>
      <c r="J451" s="85"/>
      <c r="K451" s="85">
        <f>SUM(I451:J451)</f>
        <v>150000</v>
      </c>
      <c r="L451" s="85"/>
      <c r="M451" s="85">
        <f>SUM(K451:L451)</f>
        <v>150000</v>
      </c>
      <c r="N451" s="85"/>
      <c r="O451" s="85">
        <f>SUM(M451:N451)</f>
        <v>150000</v>
      </c>
      <c r="P451" s="85"/>
      <c r="Q451" s="85">
        <f>SUM(O451:P451)</f>
        <v>150000</v>
      </c>
    </row>
    <row r="452" spans="1:17" s="27" customFormat="1" ht="22.5">
      <c r="A452" s="90"/>
      <c r="B452" s="93">
        <v>92605</v>
      </c>
      <c r="C452" s="90"/>
      <c r="D452" s="41" t="s">
        <v>67</v>
      </c>
      <c r="E452" s="85">
        <f aca="true" t="shared" si="236" ref="E452:J452">SUM(E454:E460)</f>
        <v>124903</v>
      </c>
      <c r="F452" s="85">
        <f t="shared" si="236"/>
        <v>6000</v>
      </c>
      <c r="G452" s="85">
        <f t="shared" si="236"/>
        <v>130903</v>
      </c>
      <c r="H452" s="85">
        <f t="shared" si="236"/>
        <v>0</v>
      </c>
      <c r="I452" s="85">
        <f t="shared" si="236"/>
        <v>130903</v>
      </c>
      <c r="J452" s="85">
        <f t="shared" si="236"/>
        <v>0</v>
      </c>
      <c r="K452" s="85">
        <f aca="true" t="shared" si="237" ref="K452:Q452">SUM(K453:K460)</f>
        <v>130903</v>
      </c>
      <c r="L452" s="85">
        <f t="shared" si="237"/>
        <v>422200</v>
      </c>
      <c r="M452" s="85">
        <f t="shared" si="237"/>
        <v>553103</v>
      </c>
      <c r="N452" s="85">
        <f t="shared" si="237"/>
        <v>0</v>
      </c>
      <c r="O452" s="85">
        <f t="shared" si="237"/>
        <v>553103</v>
      </c>
      <c r="P452" s="85">
        <f t="shared" si="237"/>
        <v>0</v>
      </c>
      <c r="Q452" s="85">
        <f t="shared" si="237"/>
        <v>553103</v>
      </c>
    </row>
    <row r="453" spans="1:17" s="27" customFormat="1" ht="33.75">
      <c r="A453" s="90"/>
      <c r="B453" s="93"/>
      <c r="C453" s="90">
        <v>2820</v>
      </c>
      <c r="D453" s="41" t="s">
        <v>479</v>
      </c>
      <c r="E453" s="85"/>
      <c r="F453" s="85"/>
      <c r="G453" s="85"/>
      <c r="H453" s="85"/>
      <c r="I453" s="85"/>
      <c r="J453" s="85"/>
      <c r="K453" s="85">
        <v>0</v>
      </c>
      <c r="L453" s="85">
        <v>400000</v>
      </c>
      <c r="M453" s="85">
        <f aca="true" t="shared" si="238" ref="M453:M460">SUM(K453:L453)</f>
        <v>400000</v>
      </c>
      <c r="N453" s="85"/>
      <c r="O453" s="85">
        <f aca="true" t="shared" si="239" ref="O453:O460">SUM(M453:N453)</f>
        <v>400000</v>
      </c>
      <c r="P453" s="85"/>
      <c r="Q453" s="85">
        <f aca="true" t="shared" si="240" ref="Q453:Q460">SUM(O453:P453)</f>
        <v>400000</v>
      </c>
    </row>
    <row r="454" spans="1:17" s="27" customFormat="1" ht="24.75" customHeight="1">
      <c r="A454" s="90"/>
      <c r="B454" s="93"/>
      <c r="C454" s="90">
        <v>3250</v>
      </c>
      <c r="D454" s="41" t="s">
        <v>285</v>
      </c>
      <c r="E454" s="85">
        <v>50000</v>
      </c>
      <c r="F454" s="85"/>
      <c r="G454" s="85">
        <f aca="true" t="shared" si="241" ref="G454:G460">SUM(E454:F454)</f>
        <v>50000</v>
      </c>
      <c r="H454" s="85"/>
      <c r="I454" s="85">
        <f aca="true" t="shared" si="242" ref="I454:I460">SUM(G454:H454)</f>
        <v>50000</v>
      </c>
      <c r="J454" s="85"/>
      <c r="K454" s="85">
        <f aca="true" t="shared" si="243" ref="K454:K460">SUM(I454:J454)</f>
        <v>50000</v>
      </c>
      <c r="L454" s="85"/>
      <c r="M454" s="85">
        <f t="shared" si="238"/>
        <v>50000</v>
      </c>
      <c r="N454" s="85"/>
      <c r="O454" s="85">
        <f t="shared" si="239"/>
        <v>50000</v>
      </c>
      <c r="P454" s="85"/>
      <c r="Q454" s="85">
        <f t="shared" si="240"/>
        <v>50000</v>
      </c>
    </row>
    <row r="455" spans="1:17" s="27" customFormat="1" ht="21" customHeight="1">
      <c r="A455" s="90"/>
      <c r="B455" s="93"/>
      <c r="C455" s="90">
        <v>4110</v>
      </c>
      <c r="D455" s="41" t="s">
        <v>86</v>
      </c>
      <c r="E455" s="85">
        <v>1200</v>
      </c>
      <c r="F455" s="85"/>
      <c r="G455" s="85">
        <f t="shared" si="241"/>
        <v>1200</v>
      </c>
      <c r="H455" s="85"/>
      <c r="I455" s="85">
        <f t="shared" si="242"/>
        <v>1200</v>
      </c>
      <c r="J455" s="85"/>
      <c r="K455" s="85">
        <f t="shared" si="243"/>
        <v>1200</v>
      </c>
      <c r="L455" s="85">
        <v>470</v>
      </c>
      <c r="M455" s="85">
        <f t="shared" si="238"/>
        <v>1670</v>
      </c>
      <c r="N455" s="85"/>
      <c r="O455" s="85">
        <f t="shared" si="239"/>
        <v>1670</v>
      </c>
      <c r="P455" s="85"/>
      <c r="Q455" s="85">
        <f t="shared" si="240"/>
        <v>1670</v>
      </c>
    </row>
    <row r="456" spans="1:17" s="27" customFormat="1" ht="21" customHeight="1">
      <c r="A456" s="90"/>
      <c r="B456" s="93"/>
      <c r="C456" s="90">
        <v>4120</v>
      </c>
      <c r="D456" s="41" t="s">
        <v>87</v>
      </c>
      <c r="E456" s="85">
        <v>150</v>
      </c>
      <c r="F456" s="85"/>
      <c r="G456" s="85">
        <f t="shared" si="241"/>
        <v>150</v>
      </c>
      <c r="H456" s="85"/>
      <c r="I456" s="85">
        <f t="shared" si="242"/>
        <v>150</v>
      </c>
      <c r="J456" s="85"/>
      <c r="K456" s="85">
        <f t="shared" si="243"/>
        <v>150</v>
      </c>
      <c r="L456" s="85">
        <v>42</v>
      </c>
      <c r="M456" s="85">
        <f t="shared" si="238"/>
        <v>192</v>
      </c>
      <c r="N456" s="85"/>
      <c r="O456" s="85">
        <f t="shared" si="239"/>
        <v>192</v>
      </c>
      <c r="P456" s="85"/>
      <c r="Q456" s="85">
        <f t="shared" si="240"/>
        <v>192</v>
      </c>
    </row>
    <row r="457" spans="1:17" s="27" customFormat="1" ht="21" customHeight="1">
      <c r="A457" s="90"/>
      <c r="B457" s="93"/>
      <c r="C457" s="90">
        <v>4170</v>
      </c>
      <c r="D457" s="41" t="s">
        <v>194</v>
      </c>
      <c r="E457" s="85">
        <f>40000+5000-1200-150</f>
        <v>43650</v>
      </c>
      <c r="F457" s="85"/>
      <c r="G457" s="85">
        <f t="shared" si="241"/>
        <v>43650</v>
      </c>
      <c r="H457" s="85"/>
      <c r="I457" s="85">
        <f t="shared" si="242"/>
        <v>43650</v>
      </c>
      <c r="J457" s="85"/>
      <c r="K457" s="85">
        <f t="shared" si="243"/>
        <v>43650</v>
      </c>
      <c r="L457" s="85">
        <v>4410</v>
      </c>
      <c r="M457" s="85">
        <f t="shared" si="238"/>
        <v>48060</v>
      </c>
      <c r="N457" s="85"/>
      <c r="O457" s="85">
        <f t="shared" si="239"/>
        <v>48060</v>
      </c>
      <c r="P457" s="85"/>
      <c r="Q457" s="85">
        <f t="shared" si="240"/>
        <v>48060</v>
      </c>
    </row>
    <row r="458" spans="1:17" s="27" customFormat="1" ht="21" customHeight="1">
      <c r="A458" s="90"/>
      <c r="B458" s="86"/>
      <c r="C458" s="71">
        <v>4210</v>
      </c>
      <c r="D458" s="41" t="s">
        <v>92</v>
      </c>
      <c r="E458" s="85">
        <f>8500+1500+2100+3863</f>
        <v>15963</v>
      </c>
      <c r="F458" s="85">
        <v>6000</v>
      </c>
      <c r="G458" s="85">
        <f t="shared" si="241"/>
        <v>21963</v>
      </c>
      <c r="H458" s="85"/>
      <c r="I458" s="85">
        <f t="shared" si="242"/>
        <v>21963</v>
      </c>
      <c r="J458" s="85"/>
      <c r="K458" s="85">
        <f t="shared" si="243"/>
        <v>21963</v>
      </c>
      <c r="L458" s="85">
        <f>700+1500+6200+2000</f>
        <v>10400</v>
      </c>
      <c r="M458" s="85">
        <f t="shared" si="238"/>
        <v>32363</v>
      </c>
      <c r="N458" s="85"/>
      <c r="O458" s="85">
        <f t="shared" si="239"/>
        <v>32363</v>
      </c>
      <c r="P458" s="85"/>
      <c r="Q458" s="85">
        <f t="shared" si="240"/>
        <v>32363</v>
      </c>
    </row>
    <row r="459" spans="1:17" s="27" customFormat="1" ht="21" customHeight="1">
      <c r="A459" s="90"/>
      <c r="B459" s="86"/>
      <c r="C459" s="71">
        <v>4260</v>
      </c>
      <c r="D459" s="41" t="s">
        <v>95</v>
      </c>
      <c r="E459" s="85">
        <v>1000</v>
      </c>
      <c r="F459" s="85"/>
      <c r="G459" s="85">
        <f t="shared" si="241"/>
        <v>1000</v>
      </c>
      <c r="H459" s="85"/>
      <c r="I459" s="85">
        <f t="shared" si="242"/>
        <v>1000</v>
      </c>
      <c r="J459" s="85"/>
      <c r="K459" s="85">
        <f t="shared" si="243"/>
        <v>1000</v>
      </c>
      <c r="L459" s="85"/>
      <c r="M459" s="85">
        <f t="shared" si="238"/>
        <v>1000</v>
      </c>
      <c r="N459" s="85"/>
      <c r="O459" s="85">
        <f t="shared" si="239"/>
        <v>1000</v>
      </c>
      <c r="P459" s="85"/>
      <c r="Q459" s="85">
        <f t="shared" si="240"/>
        <v>1000</v>
      </c>
    </row>
    <row r="460" spans="1:17" s="27" customFormat="1" ht="21" customHeight="1">
      <c r="A460" s="90"/>
      <c r="B460" s="86"/>
      <c r="C460" s="90">
        <v>4300</v>
      </c>
      <c r="D460" s="94" t="s">
        <v>79</v>
      </c>
      <c r="E460" s="85">
        <f>8500+1500+1740+1200</f>
        <v>12940</v>
      </c>
      <c r="F460" s="85"/>
      <c r="G460" s="85">
        <f t="shared" si="241"/>
        <v>12940</v>
      </c>
      <c r="H460" s="85"/>
      <c r="I460" s="85">
        <f t="shared" si="242"/>
        <v>12940</v>
      </c>
      <c r="J460" s="85"/>
      <c r="K460" s="85">
        <f t="shared" si="243"/>
        <v>12940</v>
      </c>
      <c r="L460" s="85">
        <f>4914+1964</f>
        <v>6878</v>
      </c>
      <c r="M460" s="85">
        <f t="shared" si="238"/>
        <v>19818</v>
      </c>
      <c r="N460" s="85"/>
      <c r="O460" s="85">
        <f t="shared" si="239"/>
        <v>19818</v>
      </c>
      <c r="P460" s="85"/>
      <c r="Q460" s="85">
        <f t="shared" si="240"/>
        <v>19818</v>
      </c>
    </row>
    <row r="461" spans="1:17" s="27" customFormat="1" ht="21" customHeight="1">
      <c r="A461" s="90"/>
      <c r="B461" s="71">
        <v>92695</v>
      </c>
      <c r="C461" s="90"/>
      <c r="D461" s="94" t="s">
        <v>6</v>
      </c>
      <c r="E461" s="85">
        <f aca="true" t="shared" si="244" ref="E461:K461">SUM(E462:E463)</f>
        <v>10605</v>
      </c>
      <c r="F461" s="85">
        <f t="shared" si="244"/>
        <v>0</v>
      </c>
      <c r="G461" s="85">
        <f t="shared" si="244"/>
        <v>10605</v>
      </c>
      <c r="H461" s="85">
        <f t="shared" si="244"/>
        <v>0</v>
      </c>
      <c r="I461" s="85">
        <f t="shared" si="244"/>
        <v>10605</v>
      </c>
      <c r="J461" s="85">
        <f t="shared" si="244"/>
        <v>0</v>
      </c>
      <c r="K461" s="85">
        <f t="shared" si="244"/>
        <v>10605</v>
      </c>
      <c r="L461" s="85">
        <f aca="true" t="shared" si="245" ref="L461:Q461">SUM(L462:L463)</f>
        <v>0</v>
      </c>
      <c r="M461" s="85">
        <f t="shared" si="245"/>
        <v>10605</v>
      </c>
      <c r="N461" s="85">
        <f t="shared" si="245"/>
        <v>0</v>
      </c>
      <c r="O461" s="85">
        <f t="shared" si="245"/>
        <v>10605</v>
      </c>
      <c r="P461" s="85">
        <f t="shared" si="245"/>
        <v>0</v>
      </c>
      <c r="Q461" s="85">
        <f t="shared" si="245"/>
        <v>10605</v>
      </c>
    </row>
    <row r="462" spans="1:17" s="27" customFormat="1" ht="21" customHeight="1">
      <c r="A462" s="90"/>
      <c r="B462" s="71"/>
      <c r="C462" s="71">
        <v>4210</v>
      </c>
      <c r="D462" s="41" t="s">
        <v>92</v>
      </c>
      <c r="E462" s="85">
        <f>6250+2655</f>
        <v>8905</v>
      </c>
      <c r="F462" s="85"/>
      <c r="G462" s="85">
        <f>SUM(E462:F462)</f>
        <v>8905</v>
      </c>
      <c r="H462" s="85"/>
      <c r="I462" s="85">
        <f>SUM(G462:H462)</f>
        <v>8905</v>
      </c>
      <c r="J462" s="85"/>
      <c r="K462" s="85">
        <f>SUM(I462:J462)</f>
        <v>8905</v>
      </c>
      <c r="L462" s="85"/>
      <c r="M462" s="85">
        <f>SUM(K462:L462)</f>
        <v>8905</v>
      </c>
      <c r="N462" s="85"/>
      <c r="O462" s="85">
        <f>SUM(M462:N462)</f>
        <v>8905</v>
      </c>
      <c r="P462" s="85"/>
      <c r="Q462" s="85">
        <f>SUM(O462:P462)</f>
        <v>8905</v>
      </c>
    </row>
    <row r="463" spans="1:17" s="27" customFormat="1" ht="21" customHeight="1">
      <c r="A463" s="90"/>
      <c r="B463" s="71"/>
      <c r="C463" s="71">
        <v>4300</v>
      </c>
      <c r="D463" s="94" t="s">
        <v>79</v>
      </c>
      <c r="E463" s="85">
        <v>1700</v>
      </c>
      <c r="F463" s="85"/>
      <c r="G463" s="85">
        <f>SUM(E463:F463)</f>
        <v>1700</v>
      </c>
      <c r="H463" s="85"/>
      <c r="I463" s="85">
        <f>SUM(G463:H463)</f>
        <v>1700</v>
      </c>
      <c r="J463" s="85"/>
      <c r="K463" s="85">
        <f>SUM(I463:J463)</f>
        <v>1700</v>
      </c>
      <c r="L463" s="85"/>
      <c r="M463" s="85">
        <f>SUM(K463:L463)</f>
        <v>1700</v>
      </c>
      <c r="N463" s="85"/>
      <c r="O463" s="85">
        <f>SUM(M463:N463)</f>
        <v>1700</v>
      </c>
      <c r="P463" s="85"/>
      <c r="Q463" s="85">
        <f>SUM(O463:P463)</f>
        <v>1700</v>
      </c>
    </row>
    <row r="464" spans="1:17" s="8" customFormat="1" ht="20.25" customHeight="1">
      <c r="A464" s="10"/>
      <c r="B464" s="10"/>
      <c r="C464" s="10"/>
      <c r="D464" s="38" t="s">
        <v>68</v>
      </c>
      <c r="E464" s="40">
        <f aca="true" t="shared" si="246" ref="E464:Q464">SUM(E445,E428,E400,E377,E310,E295,E187,E183,E180,E170,E129,E124,E54,E45,E24,E16,E7,E374)</f>
        <v>64069780</v>
      </c>
      <c r="F464" s="40">
        <f t="shared" si="246"/>
        <v>0</v>
      </c>
      <c r="G464" s="40">
        <f t="shared" si="246"/>
        <v>64069780</v>
      </c>
      <c r="H464" s="40">
        <f t="shared" si="246"/>
        <v>530000</v>
      </c>
      <c r="I464" s="40">
        <f t="shared" si="246"/>
        <v>64599780</v>
      </c>
      <c r="J464" s="40">
        <f t="shared" si="246"/>
        <v>-73</v>
      </c>
      <c r="K464" s="40">
        <f t="shared" si="246"/>
        <v>64599707</v>
      </c>
      <c r="L464" s="40">
        <f t="shared" si="246"/>
        <v>-51671</v>
      </c>
      <c r="M464" s="40">
        <f t="shared" si="246"/>
        <v>64548036</v>
      </c>
      <c r="N464" s="40">
        <f t="shared" si="246"/>
        <v>436012</v>
      </c>
      <c r="O464" s="40">
        <f t="shared" si="246"/>
        <v>64984048</v>
      </c>
      <c r="P464" s="40">
        <f t="shared" si="246"/>
        <v>158567</v>
      </c>
      <c r="Q464" s="40">
        <f t="shared" si="246"/>
        <v>65142615</v>
      </c>
    </row>
    <row r="465" spans="1:19" ht="12.75">
      <c r="A465" s="60"/>
      <c r="B465" s="60"/>
      <c r="C465" s="60"/>
      <c r="D465" s="60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201"/>
      <c r="S465" s="201"/>
    </row>
    <row r="466" spans="4:17" ht="12.75">
      <c r="D466" s="60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</row>
    <row r="467" spans="4:17" ht="12.75">
      <c r="D467" s="60"/>
      <c r="E467" s="212"/>
      <c r="F467" s="212"/>
      <c r="G467" s="212"/>
      <c r="H467" s="212"/>
      <c r="I467" s="212"/>
      <c r="J467" s="212"/>
      <c r="K467" s="212"/>
      <c r="L467" s="212"/>
      <c r="M467" s="212"/>
      <c r="N467" s="212"/>
      <c r="O467" s="212"/>
      <c r="P467" s="212"/>
      <c r="Q467" s="212"/>
    </row>
    <row r="468" spans="1:17" s="24" customFormat="1" ht="12.75">
      <c r="A468" s="26"/>
      <c r="B468" s="26"/>
      <c r="C468" s="26"/>
      <c r="D468" s="26"/>
      <c r="E468" s="25"/>
      <c r="F468" s="25"/>
      <c r="G468" s="25"/>
      <c r="H468" s="25"/>
      <c r="I468" s="25"/>
      <c r="J468" s="25"/>
      <c r="K468" s="25"/>
      <c r="L468" s="25"/>
      <c r="M468" s="25"/>
      <c r="N468" s="25">
        <f>'ZAŁ. NR 1'!L128-'ZAŁ. NR 2'!N464</f>
        <v>0</v>
      </c>
      <c r="O468" s="25"/>
      <c r="P468" s="25">
        <f>'ZAŁ. NR 1'!N128-'ZAŁ. NR 2'!P464</f>
        <v>0</v>
      </c>
      <c r="Q468" s="25"/>
    </row>
    <row r="469" spans="1:17" s="24" customFormat="1" ht="12.75">
      <c r="A469" s="26"/>
      <c r="B469" s="26"/>
      <c r="C469" s="26"/>
      <c r="D469" s="26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s="24" customFormat="1" ht="12.75">
      <c r="A470" s="26"/>
      <c r="B470" s="26"/>
      <c r="C470" s="26"/>
      <c r="D470" s="26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1:17" s="24" customFormat="1" ht="12.75">
      <c r="A471" s="26"/>
      <c r="B471" s="26"/>
      <c r="C471" s="26"/>
      <c r="D471" s="26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1:17" s="24" customFormat="1" ht="12.75">
      <c r="A472" s="26"/>
      <c r="B472" s="26"/>
      <c r="C472" s="26"/>
      <c r="D472" s="26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1:17" s="24" customFormat="1" ht="12.75">
      <c r="A473" s="26"/>
      <c r="B473" s="26"/>
      <c r="C473" s="26"/>
      <c r="D473" s="26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1:17" s="24" customFormat="1" ht="12.75">
      <c r="A474" s="26"/>
      <c r="B474" s="26"/>
      <c r="C474" s="26"/>
      <c r="D474" s="26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1:17" s="24" customFormat="1" ht="12.75">
      <c r="A475" s="26"/>
      <c r="B475" s="26"/>
      <c r="C475" s="26"/>
      <c r="D475" s="26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1:17" s="24" customFormat="1" ht="12.75">
      <c r="A476" s="26"/>
      <c r="B476" s="26"/>
      <c r="C476" s="26"/>
      <c r="D476" s="26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s="24" customFormat="1" ht="12.75">
      <c r="A477" s="26"/>
      <c r="B477" s="26"/>
      <c r="C477" s="26"/>
      <c r="D477" s="26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1:17" s="24" customFormat="1" ht="12.75">
      <c r="A478" s="26"/>
      <c r="B478" s="26"/>
      <c r="C478" s="26"/>
      <c r="D478" s="26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1:17" s="24" customFormat="1" ht="12.75">
      <c r="A479" s="26"/>
      <c r="B479" s="26"/>
      <c r="C479" s="26"/>
      <c r="D479" s="26"/>
      <c r="E479" s="25"/>
      <c r="F479" s="25"/>
      <c r="G479" s="25"/>
      <c r="H479" s="25"/>
      <c r="I479" s="25"/>
      <c r="J479" s="25"/>
      <c r="K479" s="25"/>
      <c r="L479" s="265"/>
      <c r="M479" s="25"/>
      <c r="N479" s="265"/>
      <c r="O479" s="25"/>
      <c r="P479" s="265"/>
      <c r="Q479" s="25"/>
    </row>
    <row r="480" spans="1:17" s="24" customFormat="1" ht="12.75">
      <c r="A480" s="26"/>
      <c r="B480" s="26"/>
      <c r="C480" s="26"/>
      <c r="D480" s="26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1:17" s="24" customFormat="1" ht="12.75">
      <c r="A481" s="26"/>
      <c r="B481" s="26"/>
      <c r="C481" s="26"/>
      <c r="D481" s="26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1:17" s="24" customFormat="1" ht="12.75">
      <c r="A482" s="26"/>
      <c r="B482" s="26"/>
      <c r="C482" s="26"/>
      <c r="D482" s="26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1:17" s="24" customFormat="1" ht="12.75">
      <c r="A483" s="26"/>
      <c r="B483" s="26"/>
      <c r="C483" s="26"/>
      <c r="D483" s="26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s="24" customFormat="1" ht="12.75">
      <c r="A484" s="26"/>
      <c r="B484" s="26"/>
      <c r="C484" s="26"/>
      <c r="D484" s="26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7" s="24" customFormat="1" ht="12.75">
      <c r="A485" s="26"/>
      <c r="B485" s="26"/>
      <c r="C485" s="26"/>
      <c r="D485" s="26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s="24" customFormat="1" ht="12.75">
      <c r="A486" s="26"/>
      <c r="B486" s="26"/>
      <c r="C486" s="26"/>
      <c r="D486" s="26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1:17" s="24" customFormat="1" ht="12.75">
      <c r="A487" s="26"/>
      <c r="B487" s="26"/>
      <c r="C487" s="26"/>
      <c r="D487" s="26"/>
      <c r="E487" s="25"/>
      <c r="F487" s="25"/>
      <c r="G487" s="25"/>
      <c r="H487" s="25"/>
      <c r="I487" s="25"/>
      <c r="J487" s="25"/>
      <c r="K487" s="25"/>
      <c r="L487" s="265"/>
      <c r="M487" s="265"/>
      <c r="N487" s="265"/>
      <c r="O487" s="265"/>
      <c r="P487" s="265"/>
      <c r="Q487" s="265"/>
    </row>
    <row r="488" spans="1:17" s="24" customFormat="1" ht="12.75">
      <c r="A488" s="26"/>
      <c r="B488" s="26"/>
      <c r="C488" s="26"/>
      <c r="D488" s="26"/>
      <c r="E488" s="25"/>
      <c r="F488" s="25"/>
      <c r="G488" s="25"/>
      <c r="H488" s="25"/>
      <c r="I488" s="25"/>
      <c r="J488" s="25"/>
      <c r="K488" s="25"/>
      <c r="L488" s="265"/>
      <c r="M488" s="265"/>
      <c r="N488" s="265"/>
      <c r="O488" s="265"/>
      <c r="P488" s="265"/>
      <c r="Q488" s="265"/>
    </row>
    <row r="489" spans="1:17" s="24" customFormat="1" ht="12.75">
      <c r="A489" s="26"/>
      <c r="B489" s="26"/>
      <c r="C489" s="26"/>
      <c r="D489" s="26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1:17" s="24" customFormat="1" ht="12.75">
      <c r="A490" s="26"/>
      <c r="B490" s="26"/>
      <c r="C490" s="26"/>
      <c r="D490" s="26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s="24" customFormat="1" ht="12.75">
      <c r="A491" s="26"/>
      <c r="B491" s="26"/>
      <c r="C491" s="26"/>
      <c r="D491" s="26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1:17" s="24" customFormat="1" ht="12.75">
      <c r="A492" s="26"/>
      <c r="B492" s="26"/>
      <c r="C492" s="26"/>
      <c r="D492" s="26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1:17" s="24" customFormat="1" ht="12.75">
      <c r="A493" s="26"/>
      <c r="B493" s="26"/>
      <c r="C493" s="26"/>
      <c r="D493" s="2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1:17" s="24" customFormat="1" ht="12.75">
      <c r="A494" s="26"/>
      <c r="B494" s="26"/>
      <c r="C494" s="26"/>
      <c r="D494" s="26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1:17" s="24" customFormat="1" ht="12.75">
      <c r="A495" s="26"/>
      <c r="B495" s="26"/>
      <c r="C495" s="26"/>
      <c r="D495" s="26"/>
      <c r="E495" s="25"/>
      <c r="F495" s="25"/>
      <c r="G495" s="25"/>
      <c r="H495" s="25"/>
      <c r="I495" s="25"/>
      <c r="J495" s="25"/>
      <c r="K495" s="25"/>
      <c r="L495" s="252"/>
      <c r="M495" s="25"/>
      <c r="N495" s="252"/>
      <c r="O495" s="25"/>
      <c r="P495" s="252"/>
      <c r="Q495" s="25"/>
    </row>
    <row r="496" spans="1:17" s="24" customFormat="1" ht="12.75">
      <c r="A496" s="26"/>
      <c r="B496" s="26"/>
      <c r="C496" s="26"/>
      <c r="D496" s="26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s="24" customFormat="1" ht="12.75">
      <c r="A497" s="26"/>
      <c r="B497" s="26"/>
      <c r="C497" s="26"/>
      <c r="D497" s="26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s="24" customFormat="1" ht="12.75">
      <c r="A498" s="26"/>
      <c r="B498" s="26"/>
      <c r="C498" s="26"/>
      <c r="D498" s="26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1:17" s="24" customFormat="1" ht="12.75">
      <c r="A499" s="26"/>
      <c r="B499" s="26"/>
      <c r="C499" s="26"/>
      <c r="D499" s="26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1:17" s="24" customFormat="1" ht="12.75">
      <c r="A500" s="26"/>
      <c r="B500" s="26"/>
      <c r="C500" s="26"/>
      <c r="D500" s="26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s="24" customFormat="1" ht="12.75">
      <c r="A501" s="26"/>
      <c r="B501" s="26"/>
      <c r="C501" s="26"/>
      <c r="D501" s="2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s="24" customFormat="1" ht="12.75">
      <c r="A502" s="26"/>
      <c r="B502" s="26"/>
      <c r="C502" s="26"/>
      <c r="D502" s="26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</row>
    <row r="503" spans="1:17" s="24" customFormat="1" ht="12.75">
      <c r="A503" s="26"/>
      <c r="B503" s="26"/>
      <c r="C503" s="26"/>
      <c r="D503" s="2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s="24" customFormat="1" ht="12.75">
      <c r="A504" s="26"/>
      <c r="B504" s="26"/>
      <c r="C504" s="26"/>
      <c r="D504" s="2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1:17" s="24" customFormat="1" ht="12.75">
      <c r="A505" s="26"/>
      <c r="B505" s="26"/>
      <c r="C505" s="26"/>
      <c r="D505" s="2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s="24" customFormat="1" ht="12.75">
      <c r="A506" s="26"/>
      <c r="B506" s="26"/>
      <c r="C506" s="26"/>
      <c r="D506" s="26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s="24" customFormat="1" ht="12.75">
      <c r="A507" s="26"/>
      <c r="B507" s="26"/>
      <c r="C507" s="26"/>
      <c r="D507" s="2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s="24" customFormat="1" ht="12.75">
      <c r="A508" s="26"/>
      <c r="B508" s="26"/>
      <c r="C508" s="26"/>
      <c r="D508" s="2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s="24" customFormat="1" ht="12.75">
      <c r="A509" s="26"/>
      <c r="B509" s="26"/>
      <c r="C509" s="26"/>
      <c r="D509" s="2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s="24" customFormat="1" ht="12.75">
      <c r="A510" s="26"/>
      <c r="B510" s="26"/>
      <c r="C510" s="26"/>
      <c r="D510" s="2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s="24" customFormat="1" ht="12.75">
      <c r="A511" s="26"/>
      <c r="B511" s="26"/>
      <c r="C511" s="26"/>
      <c r="D511" s="2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1:17" s="24" customFormat="1" ht="12.75">
      <c r="A512" s="26"/>
      <c r="B512" s="26"/>
      <c r="C512" s="26"/>
      <c r="D512" s="2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1:17" s="24" customFormat="1" ht="12.75">
      <c r="A513" s="26"/>
      <c r="B513" s="26"/>
      <c r="C513" s="26"/>
      <c r="D513" s="2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1:17" s="24" customFormat="1" ht="12.75">
      <c r="A514" s="26"/>
      <c r="B514" s="26"/>
      <c r="C514" s="26"/>
      <c r="D514" s="2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1:17" s="24" customFormat="1" ht="12.75">
      <c r="A515" s="26"/>
      <c r="B515" s="26"/>
      <c r="C515" s="26"/>
      <c r="D515" s="2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s="24" customFormat="1" ht="12.75">
      <c r="A516" s="26"/>
      <c r="B516" s="26"/>
      <c r="C516" s="26"/>
      <c r="D516" s="2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1:17" s="24" customFormat="1" ht="12.75">
      <c r="A517" s="26"/>
      <c r="B517" s="26"/>
      <c r="C517" s="26"/>
      <c r="D517" s="2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s="24" customFormat="1" ht="12.75">
      <c r="A518" s="26"/>
      <c r="B518" s="26"/>
      <c r="C518" s="26"/>
      <c r="D518" s="2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7" s="24" customFormat="1" ht="12.75">
      <c r="A519" s="26"/>
      <c r="B519" s="26"/>
      <c r="C519" s="26"/>
      <c r="D519" s="2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s="24" customFormat="1" ht="12.75">
      <c r="A520" s="26"/>
      <c r="B520" s="26"/>
      <c r="C520" s="26"/>
      <c r="D520" s="2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1:17" s="24" customFormat="1" ht="12.75">
      <c r="A521" s="26"/>
      <c r="B521" s="26"/>
      <c r="C521" s="26"/>
      <c r="D521" s="2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1:17" s="24" customFormat="1" ht="12.75">
      <c r="A522" s="26"/>
      <c r="B522" s="26"/>
      <c r="C522" s="26"/>
      <c r="D522" s="2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1:17" s="24" customFormat="1" ht="12.75">
      <c r="A523" s="26"/>
      <c r="B523" s="26"/>
      <c r="C523" s="26"/>
      <c r="D523" s="2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1:17" s="24" customFormat="1" ht="12.75">
      <c r="A524" s="26"/>
      <c r="B524" s="26"/>
      <c r="C524" s="26"/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1:17" s="24" customFormat="1" ht="12.75">
      <c r="A525" s="26"/>
      <c r="B525" s="26"/>
      <c r="C525" s="26"/>
      <c r="D525" s="2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s="24" customFormat="1" ht="12.75">
      <c r="A526" s="26"/>
      <c r="B526" s="26"/>
      <c r="C526" s="26"/>
      <c r="D526" s="2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1:17" s="24" customFormat="1" ht="12.75">
      <c r="A527" s="26"/>
      <c r="B527" s="26"/>
      <c r="C527" s="26"/>
      <c r="D527" s="2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s="24" customFormat="1" ht="12.75">
      <c r="A528" s="26"/>
      <c r="B528" s="26"/>
      <c r="C528" s="26"/>
      <c r="D528" s="2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s="24" customFormat="1" ht="12.75">
      <c r="A529" s="26"/>
      <c r="B529" s="26"/>
      <c r="C529" s="26"/>
      <c r="D529" s="2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1:17" s="24" customFormat="1" ht="12.75">
      <c r="A530" s="26"/>
      <c r="B530" s="26"/>
      <c r="C530" s="26"/>
      <c r="D530" s="2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1:17" s="24" customFormat="1" ht="12.75">
      <c r="A531" s="26"/>
      <c r="B531" s="26"/>
      <c r="C531" s="26"/>
      <c r="D531" s="2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s="24" customFormat="1" ht="12.75">
      <c r="A532" s="26"/>
      <c r="B532" s="26"/>
      <c r="C532" s="26"/>
      <c r="D532" s="2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1:17" s="24" customFormat="1" ht="12.75">
      <c r="A533" s="26"/>
      <c r="B533" s="26"/>
      <c r="C533" s="26"/>
      <c r="D533" s="2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s="24" customFormat="1" ht="12.75">
      <c r="A534" s="26"/>
      <c r="B534" s="26"/>
      <c r="C534" s="26"/>
      <c r="D534" s="2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s="24" customFormat="1" ht="12.75">
      <c r="A535" s="26"/>
      <c r="B535" s="26"/>
      <c r="C535" s="26"/>
      <c r="D535" s="2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7" s="24" customFormat="1" ht="12.75">
      <c r="A536" s="26"/>
      <c r="B536" s="26"/>
      <c r="C536" s="26"/>
      <c r="D536" s="2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1:17" s="24" customFormat="1" ht="12.75">
      <c r="A537" s="26"/>
      <c r="B537" s="26"/>
      <c r="C537" s="26"/>
      <c r="D537" s="2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1:17" s="24" customFormat="1" ht="12.75">
      <c r="A538" s="26"/>
      <c r="B538" s="26"/>
      <c r="C538" s="26"/>
      <c r="D538" s="2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1:17" s="24" customFormat="1" ht="12.75">
      <c r="A539" s="26"/>
      <c r="B539" s="26"/>
      <c r="C539" s="26"/>
      <c r="D539" s="2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s="24" customFormat="1" ht="12.75">
      <c r="A540" s="26"/>
      <c r="B540" s="26"/>
      <c r="C540" s="26"/>
      <c r="D540" s="2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s="24" customFormat="1" ht="12.75">
      <c r="A541" s="26"/>
      <c r="B541" s="26"/>
      <c r="C541" s="26"/>
      <c r="D541" s="2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s="24" customFormat="1" ht="12.75">
      <c r="A542" s="26"/>
      <c r="B542" s="26"/>
      <c r="C542" s="26"/>
      <c r="D542" s="2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s="24" customFormat="1" ht="12.75">
      <c r="A543" s="26"/>
      <c r="B543" s="26"/>
      <c r="C543" s="26"/>
      <c r="D543" s="2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s="24" customFormat="1" ht="12.75">
      <c r="A544" s="26"/>
      <c r="B544" s="26"/>
      <c r="C544" s="26"/>
      <c r="D544" s="2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s="24" customFormat="1" ht="12.75">
      <c r="A545" s="26"/>
      <c r="B545" s="26"/>
      <c r="C545" s="26"/>
      <c r="D545" s="2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s="24" customFormat="1" ht="12.75">
      <c r="A546" s="26"/>
      <c r="B546" s="26"/>
      <c r="C546" s="26"/>
      <c r="D546" s="2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s="24" customFormat="1" ht="12.75">
      <c r="A547" s="26"/>
      <c r="B547" s="26"/>
      <c r="C547" s="26"/>
      <c r="D547" s="2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s="24" customFormat="1" ht="12.75">
      <c r="A548" s="26"/>
      <c r="B548" s="26"/>
      <c r="C548" s="26"/>
      <c r="D548" s="2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1:17" s="24" customFormat="1" ht="12.75">
      <c r="A549" s="26"/>
      <c r="B549" s="26"/>
      <c r="C549" s="26"/>
      <c r="D549" s="2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s="24" customFormat="1" ht="12.75">
      <c r="A550" s="26"/>
      <c r="B550" s="26"/>
      <c r="C550" s="26"/>
      <c r="D550" s="2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s="24" customFormat="1" ht="12.75">
      <c r="A551" s="26"/>
      <c r="B551" s="26"/>
      <c r="C551" s="26"/>
      <c r="D551" s="2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1:17" s="24" customFormat="1" ht="12.75">
      <c r="A552" s="26"/>
      <c r="B552" s="26"/>
      <c r="C552" s="26"/>
      <c r="D552" s="2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s="24" customFormat="1" ht="12.75">
      <c r="A553" s="26"/>
      <c r="B553" s="26"/>
      <c r="C553" s="26"/>
      <c r="D553" s="2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s="24" customFormat="1" ht="12.75">
      <c r="A554" s="26"/>
      <c r="B554" s="26"/>
      <c r="C554" s="26"/>
      <c r="D554" s="2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s="24" customFormat="1" ht="12.75">
      <c r="A555" s="26"/>
      <c r="B555" s="26"/>
      <c r="C555" s="26"/>
      <c r="D555" s="2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s="24" customFormat="1" ht="12.75">
      <c r="A556" s="26"/>
      <c r="B556" s="26"/>
      <c r="C556" s="26"/>
      <c r="D556" s="2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1:17" s="24" customFormat="1" ht="12.75">
      <c r="A557" s="26"/>
      <c r="B557" s="26"/>
      <c r="C557" s="26"/>
      <c r="D557" s="2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s="24" customFormat="1" ht="12.75">
      <c r="A558" s="26"/>
      <c r="B558" s="26"/>
      <c r="C558" s="26"/>
      <c r="D558" s="2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s="24" customFormat="1" ht="12.75">
      <c r="A559" s="26"/>
      <c r="B559" s="26"/>
      <c r="C559" s="26"/>
      <c r="D559" s="2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s="24" customFormat="1" ht="12.75">
      <c r="A560" s="26"/>
      <c r="B560" s="26"/>
      <c r="C560" s="26"/>
      <c r="D560" s="2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s="24" customFormat="1" ht="12.75">
      <c r="A561" s="26"/>
      <c r="B561" s="26"/>
      <c r="C561" s="26"/>
      <c r="D561" s="2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s="24" customFormat="1" ht="12.75">
      <c r="A562" s="26"/>
      <c r="B562" s="26"/>
      <c r="C562" s="26"/>
      <c r="D562" s="2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s="24" customFormat="1" ht="12.75">
      <c r="A563" s="26"/>
      <c r="B563" s="26"/>
      <c r="C563" s="26"/>
      <c r="D563" s="2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s="24" customFormat="1" ht="12.75">
      <c r="A564" s="26"/>
      <c r="B564" s="26"/>
      <c r="C564" s="26"/>
      <c r="D564" s="2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s="24" customFormat="1" ht="12.75">
      <c r="A565" s="26"/>
      <c r="B565" s="26"/>
      <c r="C565" s="26"/>
      <c r="D565" s="2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s="24" customFormat="1" ht="12.75">
      <c r="A566" s="26"/>
      <c r="B566" s="26"/>
      <c r="C566" s="26"/>
      <c r="D566" s="2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17" s="24" customFormat="1" ht="12.75">
      <c r="A567" s="26"/>
      <c r="B567" s="26"/>
      <c r="C567" s="26"/>
      <c r="D567" s="2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17" s="24" customFormat="1" ht="12.75">
      <c r="A568" s="26"/>
      <c r="B568" s="26"/>
      <c r="C568" s="26"/>
      <c r="D568" s="2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17" s="24" customFormat="1" ht="12.75">
      <c r="A569" s="26"/>
      <c r="B569" s="26"/>
      <c r="C569" s="26"/>
      <c r="D569" s="2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17" s="24" customFormat="1" ht="12.75">
      <c r="A570" s="26"/>
      <c r="B570" s="26"/>
      <c r="C570" s="26"/>
      <c r="D570" s="2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s="24" customFormat="1" ht="12.75">
      <c r="A571" s="26"/>
      <c r="B571" s="26"/>
      <c r="C571" s="26"/>
      <c r="D571" s="2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s="24" customFormat="1" ht="12.75">
      <c r="A572" s="26"/>
      <c r="B572" s="26"/>
      <c r="C572" s="26"/>
      <c r="D572" s="2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s="24" customFormat="1" ht="12.75">
      <c r="A573" s="26"/>
      <c r="B573" s="26"/>
      <c r="C573" s="26"/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s="24" customFormat="1" ht="12.75">
      <c r="A574" s="26"/>
      <c r="B574" s="26"/>
      <c r="C574" s="26"/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s="24" customFormat="1" ht="12.75">
      <c r="A575" s="26"/>
      <c r="B575" s="26"/>
      <c r="C575" s="26"/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s="24" customFormat="1" ht="12.75">
      <c r="A576" s="26"/>
      <c r="B576" s="26"/>
      <c r="C576" s="26"/>
      <c r="D576" s="2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s="24" customFormat="1" ht="12.75">
      <c r="A577" s="26"/>
      <c r="B577" s="26"/>
      <c r="C577" s="26"/>
      <c r="D577" s="2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1:17" s="24" customFormat="1" ht="12.75">
      <c r="A578" s="26"/>
      <c r="B578" s="26"/>
      <c r="C578" s="26"/>
      <c r="D578" s="2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s="24" customFormat="1" ht="12.75">
      <c r="A579" s="26"/>
      <c r="B579" s="26"/>
      <c r="C579" s="26"/>
      <c r="D579" s="2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s="24" customFormat="1" ht="12.75">
      <c r="A580" s="26"/>
      <c r="B580" s="26"/>
      <c r="C580" s="26"/>
      <c r="D580" s="2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s="24" customFormat="1" ht="12.75">
      <c r="A581" s="26"/>
      <c r="B581" s="26"/>
      <c r="C581" s="26"/>
      <c r="D581" s="2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s="24" customFormat="1" ht="12.75">
      <c r="A582" s="26"/>
      <c r="B582" s="26"/>
      <c r="C582" s="26"/>
      <c r="D582" s="2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s="24" customFormat="1" ht="12.75">
      <c r="A583" s="26"/>
      <c r="B583" s="26"/>
      <c r="C583" s="26"/>
      <c r="D583" s="2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s="24" customFormat="1" ht="12.75">
      <c r="A584" s="26"/>
      <c r="B584" s="26"/>
      <c r="C584" s="26"/>
      <c r="D584" s="2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s="24" customFormat="1" ht="12.75">
      <c r="A585" s="26"/>
      <c r="B585" s="26"/>
      <c r="C585" s="26"/>
      <c r="D585" s="2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s="24" customFormat="1" ht="12.75">
      <c r="A586" s="26"/>
      <c r="B586" s="26"/>
      <c r="C586" s="26"/>
      <c r="D586" s="2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s="24" customFormat="1" ht="12.75">
      <c r="A587" s="26"/>
      <c r="B587" s="26"/>
      <c r="C587" s="26"/>
      <c r="D587" s="2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s="24" customFormat="1" ht="12.75">
      <c r="A588" s="26"/>
      <c r="B588" s="26"/>
      <c r="C588" s="26"/>
      <c r="D588" s="2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s="24" customFormat="1" ht="12.75">
      <c r="A589" s="26"/>
      <c r="B589" s="26"/>
      <c r="C589" s="26"/>
      <c r="D589" s="2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s="24" customFormat="1" ht="12.75">
      <c r="A590" s="26"/>
      <c r="B590" s="26"/>
      <c r="C590" s="26"/>
      <c r="D590" s="2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s="24" customFormat="1" ht="12.75">
      <c r="A591" s="26"/>
      <c r="B591" s="26"/>
      <c r="C591" s="26"/>
      <c r="D591" s="2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s="24" customFormat="1" ht="12.75">
      <c r="A592" s="26"/>
      <c r="B592" s="26"/>
      <c r="C592" s="26"/>
      <c r="D592" s="2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s="24" customFormat="1" ht="12.75">
      <c r="A593" s="26"/>
      <c r="B593" s="26"/>
      <c r="C593" s="26"/>
      <c r="D593" s="2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s="24" customFormat="1" ht="12.75">
      <c r="A594" s="26"/>
      <c r="B594" s="26"/>
      <c r="C594" s="26"/>
      <c r="D594" s="2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s="24" customFormat="1" ht="12.75">
      <c r="A595" s="26"/>
      <c r="B595" s="26"/>
      <c r="C595" s="26"/>
      <c r="D595" s="2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s="24" customFormat="1" ht="12.75">
      <c r="A596" s="26"/>
      <c r="B596" s="26"/>
      <c r="C596" s="26"/>
      <c r="D596" s="2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s="24" customFormat="1" ht="12.75">
      <c r="A597" s="26"/>
      <c r="B597" s="26"/>
      <c r="C597" s="26"/>
      <c r="D597" s="2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s="24" customFormat="1" ht="12.75">
      <c r="A598" s="26"/>
      <c r="B598" s="26"/>
      <c r="C598" s="26"/>
      <c r="D598" s="2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s="24" customFormat="1" ht="12.75">
      <c r="A599" s="26"/>
      <c r="B599" s="26"/>
      <c r="C599" s="26"/>
      <c r="D599" s="2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1:17" s="24" customFormat="1" ht="12.75">
      <c r="A600" s="26"/>
      <c r="B600" s="26"/>
      <c r="C600" s="26"/>
      <c r="D600" s="2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24" customFormat="1" ht="12.75">
      <c r="A601" s="26"/>
      <c r="B601" s="26"/>
      <c r="C601" s="26"/>
      <c r="D601" s="2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24" customFormat="1" ht="12.75">
      <c r="A602" s="26"/>
      <c r="B602" s="26"/>
      <c r="C602" s="26"/>
      <c r="D602" s="2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24" customFormat="1" ht="12.75">
      <c r="A603" s="26"/>
      <c r="B603" s="26"/>
      <c r="C603" s="26"/>
      <c r="D603" s="2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24" customFormat="1" ht="12.75">
      <c r="A604" s="26"/>
      <c r="B604" s="26"/>
      <c r="C604" s="26"/>
      <c r="D604" s="2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24" customFormat="1" ht="12.75">
      <c r="A605" s="26"/>
      <c r="B605" s="26"/>
      <c r="C605" s="26"/>
      <c r="D605" s="2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24" customFormat="1" ht="12.75">
      <c r="A606" s="26"/>
      <c r="B606" s="26"/>
      <c r="C606" s="26"/>
      <c r="D606" s="2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24" customFormat="1" ht="12.75">
      <c r="A607" s="26"/>
      <c r="B607" s="26"/>
      <c r="C607" s="26"/>
      <c r="D607" s="2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24" customFormat="1" ht="12.75">
      <c r="A608" s="26"/>
      <c r="B608" s="26"/>
      <c r="C608" s="26"/>
      <c r="D608" s="2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24" customFormat="1" ht="12.75">
      <c r="A609" s="26"/>
      <c r="B609" s="26"/>
      <c r="C609" s="26"/>
      <c r="D609" s="2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24" customFormat="1" ht="12.75">
      <c r="A610" s="26"/>
      <c r="B610" s="26"/>
      <c r="C610" s="26"/>
      <c r="D610" s="2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24" customFormat="1" ht="12.75">
      <c r="A611" s="26"/>
      <c r="B611" s="26"/>
      <c r="C611" s="26"/>
      <c r="D611" s="2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24" customFormat="1" ht="12.75">
      <c r="A612" s="26"/>
      <c r="B612" s="26"/>
      <c r="C612" s="26"/>
      <c r="D612" s="2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24" customFormat="1" ht="12.75">
      <c r="A613" s="26"/>
      <c r="B613" s="26"/>
      <c r="C613" s="26"/>
      <c r="D613" s="2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24" customFormat="1" ht="12.75">
      <c r="A614" s="26"/>
      <c r="B614" s="26"/>
      <c r="C614" s="26"/>
      <c r="D614" s="2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24" customFormat="1" ht="12.75">
      <c r="A615" s="26"/>
      <c r="B615" s="26"/>
      <c r="C615" s="26"/>
      <c r="D615" s="2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24" customFormat="1" ht="12.75">
      <c r="A616" s="26"/>
      <c r="B616" s="26"/>
      <c r="C616" s="26"/>
      <c r="D616" s="2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s="24" customFormat="1" ht="12.75">
      <c r="A617" s="26"/>
      <c r="B617" s="26"/>
      <c r="C617" s="26"/>
      <c r="D617" s="2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1:17" s="24" customFormat="1" ht="12.75">
      <c r="A618" s="26"/>
      <c r="B618" s="26"/>
      <c r="C618" s="26"/>
      <c r="D618" s="2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1:17" s="24" customFormat="1" ht="12.75">
      <c r="A619" s="26"/>
      <c r="B619" s="26"/>
      <c r="C619" s="26"/>
      <c r="D619" s="2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s="24" customFormat="1" ht="12.75">
      <c r="A620" s="26"/>
      <c r="B620" s="26"/>
      <c r="C620" s="26"/>
      <c r="D620" s="2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24" customFormat="1" ht="12.75">
      <c r="A621" s="26"/>
      <c r="B621" s="26"/>
      <c r="C621" s="26"/>
      <c r="D621" s="2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s="24" customFormat="1" ht="12.75">
      <c r="A622" s="26"/>
      <c r="B622" s="26"/>
      <c r="C622" s="26"/>
      <c r="D622" s="2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s="24" customFormat="1" ht="12.75">
      <c r="A623" s="26"/>
      <c r="B623" s="26"/>
      <c r="C623" s="26"/>
      <c r="D623" s="2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1:17" s="24" customFormat="1" ht="12.75">
      <c r="A624" s="26"/>
      <c r="B624" s="26"/>
      <c r="C624" s="26"/>
      <c r="D624" s="2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s="24" customFormat="1" ht="12.75">
      <c r="A625" s="26"/>
      <c r="B625" s="26"/>
      <c r="C625" s="26"/>
      <c r="D625" s="2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24" customFormat="1" ht="12.75">
      <c r="A626" s="26"/>
      <c r="B626" s="26"/>
      <c r="C626" s="26"/>
      <c r="D626" s="2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s="24" customFormat="1" ht="12.75">
      <c r="A627" s="26"/>
      <c r="B627" s="26"/>
      <c r="C627" s="26"/>
      <c r="D627" s="2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s="24" customFormat="1" ht="12.75">
      <c r="A628" s="26"/>
      <c r="B628" s="26"/>
      <c r="C628" s="26"/>
      <c r="D628" s="2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24" customFormat="1" ht="12.75">
      <c r="A629" s="26"/>
      <c r="B629" s="26"/>
      <c r="C629" s="26"/>
      <c r="D629" s="2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24" customFormat="1" ht="12.75">
      <c r="A630" s="26"/>
      <c r="B630" s="26"/>
      <c r="C630" s="26"/>
      <c r="D630" s="2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24" customFormat="1" ht="12.75">
      <c r="A631" s="26"/>
      <c r="B631" s="26"/>
      <c r="C631" s="26"/>
      <c r="D631" s="2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24" customFormat="1" ht="12.75">
      <c r="A632" s="26"/>
      <c r="B632" s="26"/>
      <c r="C632" s="26"/>
      <c r="D632" s="2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24" customFormat="1" ht="12.75">
      <c r="A633" s="26"/>
      <c r="B633" s="26"/>
      <c r="C633" s="26"/>
      <c r="D633" s="2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24" customFormat="1" ht="12.75">
      <c r="A634" s="26"/>
      <c r="B634" s="26"/>
      <c r="C634" s="26"/>
      <c r="D634" s="2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24" customFormat="1" ht="12.75">
      <c r="A635" s="26"/>
      <c r="B635" s="26"/>
      <c r="C635" s="26"/>
      <c r="D635" s="2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24" customFormat="1" ht="12.75">
      <c r="A636" s="26"/>
      <c r="B636" s="26"/>
      <c r="C636" s="26"/>
      <c r="D636" s="2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24" customFormat="1" ht="12.75">
      <c r="A637" s="26"/>
      <c r="B637" s="26"/>
      <c r="C637" s="26"/>
      <c r="D637" s="2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s="24" customFormat="1" ht="12.75">
      <c r="A638" s="26"/>
      <c r="B638" s="26"/>
      <c r="C638" s="26"/>
      <c r="D638" s="2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24" customFormat="1" ht="12.75">
      <c r="A639" s="26"/>
      <c r="B639" s="26"/>
      <c r="C639" s="26"/>
      <c r="D639" s="2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s="24" customFormat="1" ht="12.75">
      <c r="A640" s="26"/>
      <c r="B640" s="26"/>
      <c r="C640" s="26"/>
      <c r="D640" s="2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s="24" customFormat="1" ht="12.75">
      <c r="A641" s="26"/>
      <c r="B641" s="26"/>
      <c r="C641" s="26"/>
      <c r="D641" s="2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s="24" customFormat="1" ht="12.75">
      <c r="A642" s="26"/>
      <c r="B642" s="26"/>
      <c r="C642" s="26"/>
      <c r="D642" s="2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s="24" customFormat="1" ht="12.75">
      <c r="A643" s="26"/>
      <c r="B643" s="26"/>
      <c r="C643" s="26"/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s="24" customFormat="1" ht="12.75">
      <c r="A644" s="26"/>
      <c r="B644" s="26"/>
      <c r="C644" s="26"/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s="24" customFormat="1" ht="12.75">
      <c r="A645" s="26"/>
      <c r="B645" s="26"/>
      <c r="C645" s="26"/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s="24" customFormat="1" ht="12.75">
      <c r="A646" s="26"/>
      <c r="B646" s="26"/>
      <c r="C646" s="26"/>
      <c r="D646" s="2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s="24" customFormat="1" ht="12.75">
      <c r="A647" s="26"/>
      <c r="B647" s="26"/>
      <c r="C647" s="26"/>
      <c r="D647" s="2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s="24" customFormat="1" ht="12.75">
      <c r="A648" s="26"/>
      <c r="B648" s="26"/>
      <c r="C648" s="26"/>
      <c r="D648" s="2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s="24" customFormat="1" ht="12.75">
      <c r="A649" s="26"/>
      <c r="B649" s="26"/>
      <c r="C649" s="26"/>
      <c r="D649" s="2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s="24" customFormat="1" ht="12.75">
      <c r="A650" s="26"/>
      <c r="B650" s="26"/>
      <c r="C650" s="26"/>
      <c r="D650" s="2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</row>
    <row r="651" spans="1:17" s="24" customFormat="1" ht="12.75">
      <c r="A651" s="26"/>
      <c r="B651" s="26"/>
      <c r="C651" s="26"/>
      <c r="D651" s="2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s="24" customFormat="1" ht="12.75">
      <c r="A652" s="26"/>
      <c r="B652" s="26"/>
      <c r="C652" s="26"/>
      <c r="D652" s="2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s="24" customFormat="1" ht="12.75">
      <c r="A653" s="26"/>
      <c r="B653" s="26"/>
      <c r="C653" s="26"/>
      <c r="D653" s="2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s="24" customFormat="1" ht="12.75">
      <c r="A654" s="26"/>
      <c r="B654" s="26"/>
      <c r="C654" s="26"/>
      <c r="D654" s="2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s="24" customFormat="1" ht="12.75">
      <c r="A655" s="26"/>
      <c r="B655" s="26"/>
      <c r="C655" s="26"/>
      <c r="D655" s="2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7" s="24" customFormat="1" ht="12.75">
      <c r="A656" s="26"/>
      <c r="B656" s="26"/>
      <c r="C656" s="26"/>
      <c r="D656" s="2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s="24" customFormat="1" ht="12.75">
      <c r="A657" s="26"/>
      <c r="B657" s="26"/>
      <c r="C657" s="26"/>
      <c r="D657" s="2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s="24" customFormat="1" ht="12.75">
      <c r="A658" s="26"/>
      <c r="B658" s="26"/>
      <c r="C658" s="26"/>
      <c r="D658" s="2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s="24" customFormat="1" ht="12.75">
      <c r="A659" s="26"/>
      <c r="B659" s="26"/>
      <c r="C659" s="26"/>
      <c r="D659" s="2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1:17" s="24" customFormat="1" ht="12.75">
      <c r="A660" s="26"/>
      <c r="B660" s="26"/>
      <c r="C660" s="26"/>
      <c r="D660" s="2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s="24" customFormat="1" ht="12.75">
      <c r="A661" s="26"/>
      <c r="B661" s="26"/>
      <c r="C661" s="26"/>
      <c r="D661" s="2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s="24" customFormat="1" ht="12.75">
      <c r="A662" s="26"/>
      <c r="B662" s="26"/>
      <c r="C662" s="26"/>
      <c r="D662" s="2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1:17" s="24" customFormat="1" ht="12.75">
      <c r="A663" s="26"/>
      <c r="B663" s="26"/>
      <c r="C663" s="26"/>
      <c r="D663" s="2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s="24" customFormat="1" ht="12.75">
      <c r="A664" s="26"/>
      <c r="B664" s="26"/>
      <c r="C664" s="26"/>
      <c r="D664" s="2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s="24" customFormat="1" ht="12.75">
      <c r="A665" s="26"/>
      <c r="B665" s="26"/>
      <c r="C665" s="26"/>
      <c r="D665" s="2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s="24" customFormat="1" ht="12.75">
      <c r="A666" s="26"/>
      <c r="B666" s="26"/>
      <c r="C666" s="26"/>
      <c r="D666" s="2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s="24" customFormat="1" ht="12.75">
      <c r="A667" s="26"/>
      <c r="B667" s="26"/>
      <c r="C667" s="26"/>
      <c r="D667" s="2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s="24" customFormat="1" ht="12.75">
      <c r="A668" s="26"/>
      <c r="B668" s="26"/>
      <c r="C668" s="26"/>
      <c r="D668" s="2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s="24" customFormat="1" ht="12.75">
      <c r="A669" s="26"/>
      <c r="B669" s="26"/>
      <c r="C669" s="26"/>
      <c r="D669" s="2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s="24" customFormat="1" ht="12.75">
      <c r="A670" s="26"/>
      <c r="B670" s="26"/>
      <c r="C670" s="26"/>
      <c r="D670" s="2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s="24" customFormat="1" ht="12.75">
      <c r="A671" s="26"/>
      <c r="B671" s="26"/>
      <c r="C671" s="26"/>
      <c r="D671" s="2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s="24" customFormat="1" ht="12.75">
      <c r="A672" s="26"/>
      <c r="B672" s="26"/>
      <c r="C672" s="26"/>
      <c r="D672" s="2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s="24" customFormat="1" ht="12.75">
      <c r="A673" s="26"/>
      <c r="B673" s="26"/>
      <c r="C673" s="26"/>
      <c r="D673" s="2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s="24" customFormat="1" ht="12.75">
      <c r="A674" s="26"/>
      <c r="B674" s="26"/>
      <c r="C674" s="26"/>
      <c r="D674" s="2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s="24" customFormat="1" ht="12.75">
      <c r="A675" s="26"/>
      <c r="B675" s="26"/>
      <c r="C675" s="26"/>
      <c r="D675" s="2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s="24" customFormat="1" ht="12.75">
      <c r="A676" s="26"/>
      <c r="B676" s="26"/>
      <c r="C676" s="26"/>
      <c r="D676" s="2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s="24" customFormat="1" ht="12.75">
      <c r="A677" s="26"/>
      <c r="B677" s="26"/>
      <c r="C677" s="26"/>
      <c r="D677" s="2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s="24" customFormat="1" ht="12.75">
      <c r="A678" s="26"/>
      <c r="B678" s="26"/>
      <c r="C678" s="26"/>
      <c r="D678" s="2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s="24" customFormat="1" ht="12.75">
      <c r="A679" s="26"/>
      <c r="B679" s="26"/>
      <c r="C679" s="26"/>
      <c r="D679" s="2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s="24" customFormat="1" ht="12.75">
      <c r="A680" s="26"/>
      <c r="B680" s="26"/>
      <c r="C680" s="26"/>
      <c r="D680" s="2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</row>
    <row r="681" spans="1:17" s="24" customFormat="1" ht="12.75">
      <c r="A681" s="26"/>
      <c r="B681" s="26"/>
      <c r="C681" s="26"/>
      <c r="D681" s="2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7" s="24" customFormat="1" ht="12.75">
      <c r="A682" s="26"/>
      <c r="B682" s="26"/>
      <c r="C682" s="26"/>
      <c r="D682" s="2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1:17" s="24" customFormat="1" ht="12.75">
      <c r="A683" s="26"/>
      <c r="B683" s="26"/>
      <c r="C683" s="26"/>
      <c r="D683" s="2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s="24" customFormat="1" ht="12.75">
      <c r="A684" s="26"/>
      <c r="B684" s="26"/>
      <c r="C684" s="26"/>
      <c r="D684" s="2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</row>
    <row r="685" spans="1:17" s="24" customFormat="1" ht="12.75">
      <c r="A685" s="26"/>
      <c r="B685" s="26"/>
      <c r="C685" s="26"/>
      <c r="D685" s="2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s="24" customFormat="1" ht="12.75">
      <c r="A686" s="26"/>
      <c r="B686" s="26"/>
      <c r="C686" s="26"/>
      <c r="D686" s="2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1:17" s="24" customFormat="1" ht="12.75">
      <c r="A687" s="26"/>
      <c r="B687" s="26"/>
      <c r="C687" s="26"/>
      <c r="D687" s="2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s="24" customFormat="1" ht="12.75">
      <c r="A688" s="26"/>
      <c r="B688" s="26"/>
      <c r="C688" s="26"/>
      <c r="D688" s="2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1:17" s="24" customFormat="1" ht="12.75">
      <c r="A689" s="26"/>
      <c r="B689" s="26"/>
      <c r="C689" s="26"/>
      <c r="D689" s="2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s="24" customFormat="1" ht="12.75">
      <c r="A690" s="26"/>
      <c r="B690" s="26"/>
      <c r="C690" s="26"/>
      <c r="D690" s="2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1:17" s="24" customFormat="1" ht="12.75">
      <c r="A691" s="26"/>
      <c r="B691" s="26"/>
      <c r="C691" s="26"/>
      <c r="D691" s="2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</row>
    <row r="692" spans="1:17" s="24" customFormat="1" ht="12.75">
      <c r="A692" s="26"/>
      <c r="B692" s="26"/>
      <c r="C692" s="26"/>
      <c r="D692" s="2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s="24" customFormat="1" ht="12.75">
      <c r="A693" s="26"/>
      <c r="B693" s="26"/>
      <c r="C693" s="26"/>
      <c r="D693" s="2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</row>
    <row r="694" spans="1:17" s="24" customFormat="1" ht="12.75">
      <c r="A694" s="26"/>
      <c r="B694" s="26"/>
      <c r="C694" s="26"/>
      <c r="D694" s="2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s="24" customFormat="1" ht="12.75">
      <c r="A695" s="26"/>
      <c r="B695" s="26"/>
      <c r="C695" s="26"/>
      <c r="D695" s="2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</row>
    <row r="696" spans="1:17" s="24" customFormat="1" ht="12.75">
      <c r="A696" s="26"/>
      <c r="B696" s="26"/>
      <c r="C696" s="26"/>
      <c r="D696" s="2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</row>
  </sheetData>
  <sheetProtection/>
  <mergeCells count="1">
    <mergeCell ref="A5:Q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5.625" style="8" customWidth="1"/>
    <col min="2" max="2" width="7.125" style="8" customWidth="1"/>
    <col min="3" max="3" width="5.75390625" style="8" customWidth="1"/>
    <col min="4" max="4" width="32.875" style="8" customWidth="1"/>
    <col min="5" max="5" width="13.75390625" style="8" hidden="1" customWidth="1"/>
    <col min="6" max="6" width="14.875" style="8" hidden="1" customWidth="1"/>
    <col min="7" max="7" width="0.12890625" style="8" hidden="1" customWidth="1"/>
    <col min="8" max="8" width="14.875" style="8" hidden="1" customWidth="1"/>
    <col min="9" max="9" width="43.375" style="8" hidden="1" customWidth="1"/>
    <col min="10" max="10" width="9.25390625" style="8" hidden="1" customWidth="1"/>
    <col min="11" max="11" width="44.875" style="8" hidden="1" customWidth="1"/>
    <col min="12" max="12" width="10.75390625" style="8" hidden="1" customWidth="1"/>
    <col min="13" max="13" width="14.375" style="8" customWidth="1"/>
    <col min="14" max="14" width="14.875" style="8" customWidth="1"/>
    <col min="15" max="15" width="13.375" style="8" customWidth="1"/>
  </cols>
  <sheetData>
    <row r="1" spans="1:15" ht="12.75">
      <c r="A1" s="60"/>
      <c r="B1" s="60"/>
      <c r="C1" s="60"/>
      <c r="D1" s="60"/>
      <c r="E1" s="61" t="s">
        <v>379</v>
      </c>
      <c r="F1" s="61"/>
      <c r="G1" s="61" t="s">
        <v>392</v>
      </c>
      <c r="H1" s="61"/>
      <c r="I1" s="61" t="s">
        <v>472</v>
      </c>
      <c r="J1" s="61"/>
      <c r="K1" s="61" t="s">
        <v>512</v>
      </c>
      <c r="L1" s="61"/>
      <c r="M1" s="61" t="s">
        <v>523</v>
      </c>
      <c r="N1" s="61"/>
      <c r="O1" s="61"/>
    </row>
    <row r="2" spans="1:15" ht="12.75">
      <c r="A2" s="60"/>
      <c r="B2" s="60"/>
      <c r="C2" s="60"/>
      <c r="D2" s="60"/>
      <c r="E2" s="61" t="s">
        <v>374</v>
      </c>
      <c r="F2" s="61"/>
      <c r="G2" s="61" t="s">
        <v>389</v>
      </c>
      <c r="H2" s="61"/>
      <c r="I2" s="61" t="s">
        <v>469</v>
      </c>
      <c r="J2" s="61"/>
      <c r="K2" s="61" t="s">
        <v>508</v>
      </c>
      <c r="L2" s="61"/>
      <c r="M2" s="61" t="s">
        <v>521</v>
      </c>
      <c r="N2" s="61"/>
      <c r="O2" s="61"/>
    </row>
    <row r="3" spans="1:15" ht="12.75">
      <c r="A3" s="60"/>
      <c r="B3" s="60"/>
      <c r="C3" s="60"/>
      <c r="D3" s="60"/>
      <c r="E3" s="61" t="s">
        <v>380</v>
      </c>
      <c r="F3" s="61"/>
      <c r="G3" s="61" t="s">
        <v>379</v>
      </c>
      <c r="H3" s="61"/>
      <c r="I3" s="61" t="s">
        <v>392</v>
      </c>
      <c r="J3" s="61"/>
      <c r="K3" s="61" t="s">
        <v>472</v>
      </c>
      <c r="L3" s="61"/>
      <c r="M3" s="61" t="s">
        <v>512</v>
      </c>
      <c r="N3" s="61"/>
      <c r="O3" s="61"/>
    </row>
    <row r="4" spans="1:15" ht="12.75">
      <c r="A4" s="60"/>
      <c r="B4" s="60"/>
      <c r="C4" s="60"/>
      <c r="D4" s="60"/>
      <c r="E4" s="61" t="s">
        <v>376</v>
      </c>
      <c r="F4" s="61"/>
      <c r="G4" s="61" t="s">
        <v>382</v>
      </c>
      <c r="H4" s="61"/>
      <c r="I4" s="61" t="s">
        <v>401</v>
      </c>
      <c r="J4" s="61"/>
      <c r="K4" s="61" t="s">
        <v>487</v>
      </c>
      <c r="L4" s="61"/>
      <c r="M4" s="61" t="s">
        <v>513</v>
      </c>
      <c r="N4" s="61"/>
      <c r="O4" s="61"/>
    </row>
    <row r="5" spans="1:15" ht="15.75" customHeight="1">
      <c r="A5" s="337" t="s">
        <v>341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/>
      <c r="O5"/>
    </row>
    <row r="6" spans="1:15" s="8" customFormat="1" ht="28.5" customHeight="1">
      <c r="A6" s="65" t="s">
        <v>0</v>
      </c>
      <c r="B6" s="65" t="s">
        <v>1</v>
      </c>
      <c r="C6" s="100" t="s">
        <v>2</v>
      </c>
      <c r="D6" s="65" t="s">
        <v>3</v>
      </c>
      <c r="E6" s="110" t="s">
        <v>142</v>
      </c>
      <c r="F6" s="110" t="s">
        <v>372</v>
      </c>
      <c r="G6" s="110" t="s">
        <v>393</v>
      </c>
      <c r="H6" s="110" t="s">
        <v>372</v>
      </c>
      <c r="I6" s="110" t="s">
        <v>398</v>
      </c>
      <c r="J6" s="110" t="s">
        <v>372</v>
      </c>
      <c r="K6" s="110" t="s">
        <v>143</v>
      </c>
      <c r="L6" s="110" t="s">
        <v>372</v>
      </c>
      <c r="M6" s="110" t="s">
        <v>143</v>
      </c>
      <c r="N6" s="110" t="s">
        <v>372</v>
      </c>
      <c r="O6" s="110" t="s">
        <v>370</v>
      </c>
    </row>
    <row r="7" spans="1:15" s="8" customFormat="1" ht="24.75" customHeight="1">
      <c r="A7" s="36" t="s">
        <v>15</v>
      </c>
      <c r="B7" s="30"/>
      <c r="C7" s="59"/>
      <c r="D7" s="39" t="s">
        <v>16</v>
      </c>
      <c r="E7" s="67">
        <f aca="true" t="shared" si="0" ref="E7:O7">SUM(E8)</f>
        <v>156600</v>
      </c>
      <c r="F7" s="67">
        <f t="shared" si="0"/>
        <v>0</v>
      </c>
      <c r="G7" s="67">
        <f t="shared" si="0"/>
        <v>156600</v>
      </c>
      <c r="H7" s="67">
        <f t="shared" si="0"/>
        <v>0</v>
      </c>
      <c r="I7" s="67">
        <f t="shared" si="0"/>
        <v>156600</v>
      </c>
      <c r="J7" s="67">
        <f t="shared" si="0"/>
        <v>0</v>
      </c>
      <c r="K7" s="67">
        <f t="shared" si="0"/>
        <v>156600</v>
      </c>
      <c r="L7" s="67">
        <f t="shared" si="0"/>
        <v>0</v>
      </c>
      <c r="M7" s="67">
        <f t="shared" si="0"/>
        <v>156600</v>
      </c>
      <c r="N7" s="67">
        <f t="shared" si="0"/>
        <v>0</v>
      </c>
      <c r="O7" s="67">
        <f t="shared" si="0"/>
        <v>156600</v>
      </c>
    </row>
    <row r="8" spans="1:15" s="27" customFormat="1" ht="26.25" customHeight="1">
      <c r="A8" s="71"/>
      <c r="B8" s="71">
        <v>75011</v>
      </c>
      <c r="C8" s="72"/>
      <c r="D8" s="41" t="s">
        <v>17</v>
      </c>
      <c r="E8" s="97">
        <f aca="true" t="shared" si="1" ref="E8:O8">E9</f>
        <v>156600</v>
      </c>
      <c r="F8" s="97">
        <f t="shared" si="1"/>
        <v>0</v>
      </c>
      <c r="G8" s="97">
        <f t="shared" si="1"/>
        <v>156600</v>
      </c>
      <c r="H8" s="97">
        <f t="shared" si="1"/>
        <v>0</v>
      </c>
      <c r="I8" s="97">
        <f t="shared" si="1"/>
        <v>156600</v>
      </c>
      <c r="J8" s="97">
        <f t="shared" si="1"/>
        <v>0</v>
      </c>
      <c r="K8" s="97">
        <f t="shared" si="1"/>
        <v>156600</v>
      </c>
      <c r="L8" s="97">
        <f t="shared" si="1"/>
        <v>0</v>
      </c>
      <c r="M8" s="97">
        <f t="shared" si="1"/>
        <v>156600</v>
      </c>
      <c r="N8" s="97">
        <f t="shared" si="1"/>
        <v>0</v>
      </c>
      <c r="O8" s="97">
        <f t="shared" si="1"/>
        <v>156600</v>
      </c>
    </row>
    <row r="9" spans="1:15" s="27" customFormat="1" ht="61.5" customHeight="1">
      <c r="A9" s="71"/>
      <c r="B9" s="90"/>
      <c r="C9" s="73" t="s">
        <v>179</v>
      </c>
      <c r="D9" s="41" t="s">
        <v>212</v>
      </c>
      <c r="E9" s="97">
        <v>156600</v>
      </c>
      <c r="F9" s="97"/>
      <c r="G9" s="97">
        <f>SUM(E9:F9)</f>
        <v>156600</v>
      </c>
      <c r="H9" s="97"/>
      <c r="I9" s="97">
        <f>SUM(G9:H9)</f>
        <v>156600</v>
      </c>
      <c r="J9" s="97"/>
      <c r="K9" s="97">
        <f>SUM(I9:J9)</f>
        <v>156600</v>
      </c>
      <c r="L9" s="97"/>
      <c r="M9" s="97">
        <f>SUM(K9:L9)</f>
        <v>156600</v>
      </c>
      <c r="N9" s="97"/>
      <c r="O9" s="97">
        <f>SUM(M9:N9)</f>
        <v>156600</v>
      </c>
    </row>
    <row r="10" spans="1:15" s="8" customFormat="1" ht="40.5" customHeight="1">
      <c r="A10" s="36">
        <v>751</v>
      </c>
      <c r="B10" s="38"/>
      <c r="C10" s="68"/>
      <c r="D10" s="39" t="s">
        <v>20</v>
      </c>
      <c r="E10" s="69">
        <f aca="true" t="shared" si="2" ref="E10:O10">SUM(E11)</f>
        <v>3952</v>
      </c>
      <c r="F10" s="69">
        <f t="shared" si="2"/>
        <v>0</v>
      </c>
      <c r="G10" s="69">
        <f t="shared" si="2"/>
        <v>3952</v>
      </c>
      <c r="H10" s="69">
        <f t="shared" si="2"/>
        <v>0</v>
      </c>
      <c r="I10" s="69">
        <f t="shared" si="2"/>
        <v>3952</v>
      </c>
      <c r="J10" s="69">
        <f t="shared" si="2"/>
        <v>0</v>
      </c>
      <c r="K10" s="69">
        <f t="shared" si="2"/>
        <v>3952</v>
      </c>
      <c r="L10" s="69">
        <f t="shared" si="2"/>
        <v>0</v>
      </c>
      <c r="M10" s="69">
        <f t="shared" si="2"/>
        <v>3952</v>
      </c>
      <c r="N10" s="69">
        <f t="shared" si="2"/>
        <v>0</v>
      </c>
      <c r="O10" s="69">
        <f t="shared" si="2"/>
        <v>3952</v>
      </c>
    </row>
    <row r="11" spans="1:15" s="27" customFormat="1" ht="27" customHeight="1">
      <c r="A11" s="90"/>
      <c r="B11" s="71">
        <v>75101</v>
      </c>
      <c r="C11" s="72"/>
      <c r="D11" s="41" t="s">
        <v>21</v>
      </c>
      <c r="E11" s="98">
        <f aca="true" t="shared" si="3" ref="E11:O11">E12</f>
        <v>3952</v>
      </c>
      <c r="F11" s="98">
        <f t="shared" si="3"/>
        <v>0</v>
      </c>
      <c r="G11" s="98">
        <f t="shared" si="3"/>
        <v>3952</v>
      </c>
      <c r="H11" s="98">
        <f t="shared" si="3"/>
        <v>0</v>
      </c>
      <c r="I11" s="98">
        <f t="shared" si="3"/>
        <v>3952</v>
      </c>
      <c r="J11" s="98">
        <f t="shared" si="3"/>
        <v>0</v>
      </c>
      <c r="K11" s="98">
        <f t="shared" si="3"/>
        <v>3952</v>
      </c>
      <c r="L11" s="98">
        <f t="shared" si="3"/>
        <v>0</v>
      </c>
      <c r="M11" s="98">
        <f t="shared" si="3"/>
        <v>3952</v>
      </c>
      <c r="N11" s="98">
        <f t="shared" si="3"/>
        <v>0</v>
      </c>
      <c r="O11" s="98">
        <f t="shared" si="3"/>
        <v>3952</v>
      </c>
    </row>
    <row r="12" spans="1:15" s="27" customFormat="1" ht="64.5" customHeight="1">
      <c r="A12" s="90"/>
      <c r="B12" s="71"/>
      <c r="C12" s="73" t="s">
        <v>179</v>
      </c>
      <c r="D12" s="41" t="s">
        <v>217</v>
      </c>
      <c r="E12" s="98">
        <v>3952</v>
      </c>
      <c r="F12" s="98"/>
      <c r="G12" s="98">
        <f>SUM(E12:F12)</f>
        <v>3952</v>
      </c>
      <c r="H12" s="98"/>
      <c r="I12" s="98">
        <f>SUM(G12:H12)</f>
        <v>3952</v>
      </c>
      <c r="J12" s="98"/>
      <c r="K12" s="98">
        <f>SUM(I12:J12)</f>
        <v>3952</v>
      </c>
      <c r="L12" s="98"/>
      <c r="M12" s="98">
        <f>SUM(K12:L12)</f>
        <v>3952</v>
      </c>
      <c r="N12" s="98"/>
      <c r="O12" s="98">
        <f>SUM(M12:N12)</f>
        <v>3952</v>
      </c>
    </row>
    <row r="13" spans="1:15" s="263" customFormat="1" ht="23.25" customHeight="1">
      <c r="A13" s="273" t="s">
        <v>109</v>
      </c>
      <c r="B13" s="274"/>
      <c r="C13" s="275"/>
      <c r="D13" s="276" t="s">
        <v>110</v>
      </c>
      <c r="E13" s="277">
        <f aca="true" t="shared" si="4" ref="E13:O13">SUM(E14,)</f>
        <v>4782</v>
      </c>
      <c r="F13" s="277">
        <f t="shared" si="4"/>
        <v>0</v>
      </c>
      <c r="G13" s="277">
        <f t="shared" si="4"/>
        <v>4782</v>
      </c>
      <c r="H13" s="277">
        <f t="shared" si="4"/>
        <v>0</v>
      </c>
      <c r="I13" s="277">
        <f t="shared" si="4"/>
        <v>4782</v>
      </c>
      <c r="J13" s="277">
        <f t="shared" si="4"/>
        <v>2904</v>
      </c>
      <c r="K13" s="277">
        <f t="shared" si="4"/>
        <v>7686</v>
      </c>
      <c r="L13" s="277">
        <f t="shared" si="4"/>
        <v>0</v>
      </c>
      <c r="M13" s="277">
        <f t="shared" si="4"/>
        <v>7686</v>
      </c>
      <c r="N13" s="277">
        <f t="shared" si="4"/>
        <v>75816</v>
      </c>
      <c r="O13" s="277">
        <f t="shared" si="4"/>
        <v>83502</v>
      </c>
    </row>
    <row r="14" spans="1:15" s="227" customFormat="1" ht="23.25" customHeight="1">
      <c r="A14" s="71"/>
      <c r="B14" s="86" t="s">
        <v>111</v>
      </c>
      <c r="C14" s="90"/>
      <c r="D14" s="41" t="s">
        <v>51</v>
      </c>
      <c r="E14" s="97">
        <f aca="true" t="shared" si="5" ref="E14:L14">SUM(E16)</f>
        <v>4782</v>
      </c>
      <c r="F14" s="97">
        <f t="shared" si="5"/>
        <v>0</v>
      </c>
      <c r="G14" s="97">
        <f t="shared" si="5"/>
        <v>4782</v>
      </c>
      <c r="H14" s="97">
        <f t="shared" si="5"/>
        <v>0</v>
      </c>
      <c r="I14" s="97">
        <f t="shared" si="5"/>
        <v>4782</v>
      </c>
      <c r="J14" s="97">
        <f t="shared" si="5"/>
        <v>2904</v>
      </c>
      <c r="K14" s="97">
        <f t="shared" si="5"/>
        <v>7686</v>
      </c>
      <c r="L14" s="97">
        <f t="shared" si="5"/>
        <v>0</v>
      </c>
      <c r="M14" s="97">
        <f>SUM(M15:M17)</f>
        <v>7686</v>
      </c>
      <c r="N14" s="97">
        <f>SUM(N15:N17)</f>
        <v>75816</v>
      </c>
      <c r="O14" s="97">
        <f>SUM(O15:O17)</f>
        <v>83502</v>
      </c>
    </row>
    <row r="15" spans="1:15" s="227" customFormat="1" ht="33.75">
      <c r="A15" s="71"/>
      <c r="B15" s="71"/>
      <c r="C15" s="90">
        <v>2030</v>
      </c>
      <c r="D15" s="81" t="s">
        <v>213</v>
      </c>
      <c r="E15" s="97"/>
      <c r="F15" s="97"/>
      <c r="G15" s="97"/>
      <c r="H15" s="97"/>
      <c r="I15" s="97"/>
      <c r="J15" s="97"/>
      <c r="K15" s="97"/>
      <c r="L15" s="97"/>
      <c r="M15" s="97">
        <v>0</v>
      </c>
      <c r="N15" s="97">
        <v>11966</v>
      </c>
      <c r="O15" s="75">
        <f>SUM(M15:N15)</f>
        <v>11966</v>
      </c>
    </row>
    <row r="16" spans="1:15" s="227" customFormat="1" ht="45">
      <c r="A16" s="90"/>
      <c r="B16" s="71"/>
      <c r="C16" s="126">
        <v>2310</v>
      </c>
      <c r="D16" s="41" t="s">
        <v>227</v>
      </c>
      <c r="E16" s="75">
        <v>4782</v>
      </c>
      <c r="F16" s="75"/>
      <c r="G16" s="75">
        <f>SUM(E16:F16)</f>
        <v>4782</v>
      </c>
      <c r="H16" s="75"/>
      <c r="I16" s="75">
        <f>SUM(G16:H16)</f>
        <v>4782</v>
      </c>
      <c r="J16" s="75">
        <v>2904</v>
      </c>
      <c r="K16" s="75">
        <f>SUM(I16:J16)</f>
        <v>7686</v>
      </c>
      <c r="L16" s="75"/>
      <c r="M16" s="75">
        <f>SUM(K16:L16)</f>
        <v>7686</v>
      </c>
      <c r="N16" s="75"/>
      <c r="O16" s="75">
        <f>SUM(M16:N16)</f>
        <v>7686</v>
      </c>
    </row>
    <row r="17" spans="1:15" s="227" customFormat="1" ht="45">
      <c r="A17" s="90"/>
      <c r="B17" s="71"/>
      <c r="C17" s="126">
        <v>6330</v>
      </c>
      <c r="D17" s="41" t="s">
        <v>515</v>
      </c>
      <c r="E17" s="75"/>
      <c r="F17" s="75"/>
      <c r="G17" s="75"/>
      <c r="H17" s="75"/>
      <c r="I17" s="75"/>
      <c r="J17" s="75"/>
      <c r="K17" s="75"/>
      <c r="L17" s="75"/>
      <c r="M17" s="75">
        <v>0</v>
      </c>
      <c r="N17" s="75">
        <v>63850</v>
      </c>
      <c r="O17" s="75">
        <f>SUM(M17:N17)</f>
        <v>63850</v>
      </c>
    </row>
    <row r="18" spans="1:15" s="44" customFormat="1" ht="20.25" customHeight="1">
      <c r="A18" s="36" t="s">
        <v>154</v>
      </c>
      <c r="B18" s="38"/>
      <c r="C18" s="68"/>
      <c r="D18" s="39" t="s">
        <v>186</v>
      </c>
      <c r="E18" s="67">
        <f aca="true" t="shared" si="6" ref="E18:K18">SUM(E19,E21,E24,E28,E26,E31)</f>
        <v>7964296</v>
      </c>
      <c r="F18" s="67">
        <f t="shared" si="6"/>
        <v>530000</v>
      </c>
      <c r="G18" s="67">
        <f t="shared" si="6"/>
        <v>8494296</v>
      </c>
      <c r="H18" s="67">
        <f t="shared" si="6"/>
        <v>-73</v>
      </c>
      <c r="I18" s="67">
        <f t="shared" si="6"/>
        <v>8494223</v>
      </c>
      <c r="J18" s="67">
        <f t="shared" si="6"/>
        <v>5500</v>
      </c>
      <c r="K18" s="67">
        <f t="shared" si="6"/>
        <v>8499723</v>
      </c>
      <c r="L18" s="67">
        <f>SUM(L19,L21,L24,L28,L26,L31)</f>
        <v>0</v>
      </c>
      <c r="M18" s="67">
        <f>SUM(M19,M21,M24,M28,M26,M31)</f>
        <v>8499723</v>
      </c>
      <c r="N18" s="67">
        <f>SUM(N19,N21,N24,N28,N26,N31)</f>
        <v>82751</v>
      </c>
      <c r="O18" s="67">
        <f>SUM(O19,O21,O24,O28,O26,O31)</f>
        <v>8582474</v>
      </c>
    </row>
    <row r="19" spans="1:15" s="27" customFormat="1" ht="51.75" customHeight="1">
      <c r="A19" s="71"/>
      <c r="B19" s="51">
        <v>85212</v>
      </c>
      <c r="C19" s="83"/>
      <c r="D19" s="81" t="s">
        <v>299</v>
      </c>
      <c r="E19" s="95">
        <f aca="true" t="shared" si="7" ref="E19:O19">SUM(E20)</f>
        <v>6551300</v>
      </c>
      <c r="F19" s="95">
        <f t="shared" si="7"/>
        <v>0</v>
      </c>
      <c r="G19" s="95">
        <f t="shared" si="7"/>
        <v>6551300</v>
      </c>
      <c r="H19" s="95">
        <f t="shared" si="7"/>
        <v>0</v>
      </c>
      <c r="I19" s="95">
        <f t="shared" si="7"/>
        <v>6551300</v>
      </c>
      <c r="J19" s="95">
        <f t="shared" si="7"/>
        <v>0</v>
      </c>
      <c r="K19" s="95">
        <f t="shared" si="7"/>
        <v>6551300</v>
      </c>
      <c r="L19" s="95">
        <f t="shared" si="7"/>
        <v>0</v>
      </c>
      <c r="M19" s="95">
        <f t="shared" si="7"/>
        <v>6551300</v>
      </c>
      <c r="N19" s="95">
        <f t="shared" si="7"/>
        <v>0</v>
      </c>
      <c r="O19" s="95">
        <f t="shared" si="7"/>
        <v>6551300</v>
      </c>
    </row>
    <row r="20" spans="1:15" s="27" customFormat="1" ht="60" customHeight="1">
      <c r="A20" s="71"/>
      <c r="B20" s="51"/>
      <c r="C20" s="83">
        <v>2010</v>
      </c>
      <c r="D20" s="41" t="s">
        <v>212</v>
      </c>
      <c r="E20" s="95">
        <v>6551300</v>
      </c>
      <c r="F20" s="95"/>
      <c r="G20" s="95">
        <f>SUM(E20:F20)</f>
        <v>6551300</v>
      </c>
      <c r="H20" s="95"/>
      <c r="I20" s="95">
        <f>SUM(G20:H20)</f>
        <v>6551300</v>
      </c>
      <c r="J20" s="95"/>
      <c r="K20" s="95">
        <f>SUM(I20:J20)</f>
        <v>6551300</v>
      </c>
      <c r="L20" s="95"/>
      <c r="M20" s="95">
        <f>SUM(K20:L20)</f>
        <v>6551300</v>
      </c>
      <c r="N20" s="95"/>
      <c r="O20" s="95">
        <f>SUM(M20:N20)</f>
        <v>6551300</v>
      </c>
    </row>
    <row r="21" spans="1:15" s="27" customFormat="1" ht="72" customHeight="1">
      <c r="A21" s="71"/>
      <c r="B21" s="90">
        <v>85213</v>
      </c>
      <c r="C21" s="72"/>
      <c r="D21" s="81" t="s">
        <v>289</v>
      </c>
      <c r="E21" s="95">
        <f aca="true" t="shared" si="8" ref="E21:K21">SUM(E22:E23)</f>
        <v>49134</v>
      </c>
      <c r="F21" s="95">
        <f t="shared" si="8"/>
        <v>0</v>
      </c>
      <c r="G21" s="95">
        <f t="shared" si="8"/>
        <v>49134</v>
      </c>
      <c r="H21" s="95">
        <f t="shared" si="8"/>
        <v>-73</v>
      </c>
      <c r="I21" s="95">
        <f t="shared" si="8"/>
        <v>49061</v>
      </c>
      <c r="J21" s="95">
        <f t="shared" si="8"/>
        <v>0</v>
      </c>
      <c r="K21" s="95">
        <f t="shared" si="8"/>
        <v>49061</v>
      </c>
      <c r="L21" s="95">
        <f>SUM(L22:L23)</f>
        <v>0</v>
      </c>
      <c r="M21" s="95">
        <f>SUM(M22:M23)</f>
        <v>49061</v>
      </c>
      <c r="N21" s="95">
        <f>SUM(N22:N23)</f>
        <v>0</v>
      </c>
      <c r="O21" s="95">
        <f>SUM(O22:O23)</f>
        <v>49061</v>
      </c>
    </row>
    <row r="22" spans="1:15" s="27" customFormat="1" ht="60.75" customHeight="1">
      <c r="A22" s="71"/>
      <c r="B22" s="90"/>
      <c r="C22" s="72">
        <v>2010</v>
      </c>
      <c r="D22" s="41" t="s">
        <v>212</v>
      </c>
      <c r="E22" s="95">
        <v>12000</v>
      </c>
      <c r="F22" s="95"/>
      <c r="G22" s="95">
        <f>SUM(E22:F22)</f>
        <v>12000</v>
      </c>
      <c r="H22" s="95">
        <v>-73</v>
      </c>
      <c r="I22" s="95">
        <f>SUM(G22:H22)</f>
        <v>11927</v>
      </c>
      <c r="J22" s="95"/>
      <c r="K22" s="95">
        <f>SUM(I22:J22)</f>
        <v>11927</v>
      </c>
      <c r="L22" s="95"/>
      <c r="M22" s="95">
        <f>SUM(K22:L22)</f>
        <v>11927</v>
      </c>
      <c r="N22" s="95"/>
      <c r="O22" s="95">
        <f>SUM(M22:N22)</f>
        <v>11927</v>
      </c>
    </row>
    <row r="23" spans="1:15" s="27" customFormat="1" ht="39.75" customHeight="1">
      <c r="A23" s="71"/>
      <c r="B23" s="90"/>
      <c r="C23" s="72">
        <v>2030</v>
      </c>
      <c r="D23" s="81" t="s">
        <v>213</v>
      </c>
      <c r="E23" s="95">
        <v>37134</v>
      </c>
      <c r="F23" s="95"/>
      <c r="G23" s="95">
        <f>SUM(E23:F23)</f>
        <v>37134</v>
      </c>
      <c r="H23" s="95"/>
      <c r="I23" s="95">
        <f>SUM(G23:H23)</f>
        <v>37134</v>
      </c>
      <c r="J23" s="95"/>
      <c r="K23" s="95">
        <f>SUM(I23:J23)</f>
        <v>37134</v>
      </c>
      <c r="L23" s="95"/>
      <c r="M23" s="95">
        <f>SUM(K23:L23)</f>
        <v>37134</v>
      </c>
      <c r="N23" s="95"/>
      <c r="O23" s="95">
        <f>SUM(M23:N23)</f>
        <v>37134</v>
      </c>
    </row>
    <row r="24" spans="1:15" s="27" customFormat="1" ht="28.5" customHeight="1">
      <c r="A24" s="71"/>
      <c r="B24" s="71" t="s">
        <v>155</v>
      </c>
      <c r="C24" s="72"/>
      <c r="D24" s="41" t="s">
        <v>220</v>
      </c>
      <c r="E24" s="97">
        <f aca="true" t="shared" si="9" ref="E24:O24">SUM(E25:E25)</f>
        <v>539695</v>
      </c>
      <c r="F24" s="97">
        <f t="shared" si="9"/>
        <v>0</v>
      </c>
      <c r="G24" s="97">
        <f t="shared" si="9"/>
        <v>539695</v>
      </c>
      <c r="H24" s="97">
        <f t="shared" si="9"/>
        <v>0</v>
      </c>
      <c r="I24" s="97">
        <f t="shared" si="9"/>
        <v>539695</v>
      </c>
      <c r="J24" s="97">
        <f t="shared" si="9"/>
        <v>0</v>
      </c>
      <c r="K24" s="97">
        <f t="shared" si="9"/>
        <v>539695</v>
      </c>
      <c r="L24" s="97">
        <f t="shared" si="9"/>
        <v>0</v>
      </c>
      <c r="M24" s="97">
        <f t="shared" si="9"/>
        <v>539695</v>
      </c>
      <c r="N24" s="97">
        <f t="shared" si="9"/>
        <v>0</v>
      </c>
      <c r="O24" s="97">
        <f t="shared" si="9"/>
        <v>539695</v>
      </c>
    </row>
    <row r="25" spans="1:15" s="27" customFormat="1" ht="39" customHeight="1">
      <c r="A25" s="71"/>
      <c r="B25" s="71"/>
      <c r="C25" s="73">
        <v>2030</v>
      </c>
      <c r="D25" s="81" t="s">
        <v>213</v>
      </c>
      <c r="E25" s="97">
        <v>539695</v>
      </c>
      <c r="F25" s="97"/>
      <c r="G25" s="97">
        <f>SUM(E25:F25)</f>
        <v>539695</v>
      </c>
      <c r="H25" s="97"/>
      <c r="I25" s="97">
        <f>SUM(G25:H25)</f>
        <v>539695</v>
      </c>
      <c r="J25" s="97"/>
      <c r="K25" s="97">
        <f>SUM(I25:J25)</f>
        <v>539695</v>
      </c>
      <c r="L25" s="97"/>
      <c r="M25" s="97">
        <f>SUM(K25:L25)</f>
        <v>539695</v>
      </c>
      <c r="N25" s="97"/>
      <c r="O25" s="97">
        <f>SUM(M25:N25)</f>
        <v>539695</v>
      </c>
    </row>
    <row r="26" spans="1:15" s="27" customFormat="1" ht="20.25" customHeight="1">
      <c r="A26" s="71"/>
      <c r="B26" s="71">
        <v>85216</v>
      </c>
      <c r="C26" s="73"/>
      <c r="D26" s="81" t="s">
        <v>307</v>
      </c>
      <c r="E26" s="97">
        <f aca="true" t="shared" si="10" ref="E26:O26">SUM(E27)</f>
        <v>449868</v>
      </c>
      <c r="F26" s="97">
        <f t="shared" si="10"/>
        <v>0</v>
      </c>
      <c r="G26" s="97">
        <f t="shared" si="10"/>
        <v>449868</v>
      </c>
      <c r="H26" s="97">
        <f t="shared" si="10"/>
        <v>0</v>
      </c>
      <c r="I26" s="97">
        <f t="shared" si="10"/>
        <v>449868</v>
      </c>
      <c r="J26" s="97">
        <f t="shared" si="10"/>
        <v>0</v>
      </c>
      <c r="K26" s="97">
        <f t="shared" si="10"/>
        <v>449868</v>
      </c>
      <c r="L26" s="97">
        <f t="shared" si="10"/>
        <v>0</v>
      </c>
      <c r="M26" s="97">
        <f t="shared" si="10"/>
        <v>449868</v>
      </c>
      <c r="N26" s="97">
        <f t="shared" si="10"/>
        <v>0</v>
      </c>
      <c r="O26" s="97">
        <f t="shared" si="10"/>
        <v>449868</v>
      </c>
    </row>
    <row r="27" spans="1:15" s="27" customFormat="1" ht="37.5" customHeight="1">
      <c r="A27" s="71"/>
      <c r="B27" s="71"/>
      <c r="C27" s="73">
        <v>2030</v>
      </c>
      <c r="D27" s="81" t="s">
        <v>213</v>
      </c>
      <c r="E27" s="97">
        <v>449868</v>
      </c>
      <c r="F27" s="97"/>
      <c r="G27" s="97">
        <f>SUM(E27:F27)</f>
        <v>449868</v>
      </c>
      <c r="H27" s="97"/>
      <c r="I27" s="97">
        <f>SUM(G27:H27)</f>
        <v>449868</v>
      </c>
      <c r="J27" s="97"/>
      <c r="K27" s="97">
        <f>SUM(I27:J27)</f>
        <v>449868</v>
      </c>
      <c r="L27" s="97"/>
      <c r="M27" s="97">
        <f>SUM(K27:L27)</f>
        <v>449868</v>
      </c>
      <c r="N27" s="97"/>
      <c r="O27" s="97">
        <f>SUM(M27:N27)</f>
        <v>449868</v>
      </c>
    </row>
    <row r="28" spans="1:15" s="27" customFormat="1" ht="19.5" customHeight="1">
      <c r="A28" s="71"/>
      <c r="B28" s="71" t="s">
        <v>156</v>
      </c>
      <c r="C28" s="72"/>
      <c r="D28" s="41" t="s">
        <v>58</v>
      </c>
      <c r="E28" s="97">
        <f>E30</f>
        <v>374299</v>
      </c>
      <c r="F28" s="97">
        <f>F30</f>
        <v>0</v>
      </c>
      <c r="G28" s="97">
        <f>G30</f>
        <v>374299</v>
      </c>
      <c r="H28" s="97">
        <f>H30</f>
        <v>0</v>
      </c>
      <c r="I28" s="97">
        <f aca="true" t="shared" si="11" ref="I28:O28">SUM(I29:I30)</f>
        <v>374299</v>
      </c>
      <c r="J28" s="97">
        <f t="shared" si="11"/>
        <v>5500</v>
      </c>
      <c r="K28" s="97">
        <f t="shared" si="11"/>
        <v>379799</v>
      </c>
      <c r="L28" s="97">
        <f t="shared" si="11"/>
        <v>0</v>
      </c>
      <c r="M28" s="97">
        <f t="shared" si="11"/>
        <v>379799</v>
      </c>
      <c r="N28" s="97">
        <f t="shared" si="11"/>
        <v>13351</v>
      </c>
      <c r="O28" s="97">
        <f t="shared" si="11"/>
        <v>393150</v>
      </c>
    </row>
    <row r="29" spans="1:15" s="27" customFormat="1" ht="63" customHeight="1">
      <c r="A29" s="71"/>
      <c r="B29" s="71"/>
      <c r="C29" s="72">
        <v>2010</v>
      </c>
      <c r="D29" s="41" t="s">
        <v>212</v>
      </c>
      <c r="E29" s="97"/>
      <c r="F29" s="97"/>
      <c r="G29" s="97"/>
      <c r="H29" s="97"/>
      <c r="I29" s="97">
        <v>0</v>
      </c>
      <c r="J29" s="97">
        <v>5500</v>
      </c>
      <c r="K29" s="97">
        <f>SUM(I29:J29)</f>
        <v>5500</v>
      </c>
      <c r="L29" s="97"/>
      <c r="M29" s="97">
        <f>SUM(K29:L29)</f>
        <v>5500</v>
      </c>
      <c r="N29" s="97"/>
      <c r="O29" s="97">
        <f>SUM(M29:N29)</f>
        <v>5500</v>
      </c>
    </row>
    <row r="30" spans="1:15" s="27" customFormat="1" ht="41.25" customHeight="1">
      <c r="A30" s="71"/>
      <c r="B30" s="71"/>
      <c r="C30" s="73">
        <v>2030</v>
      </c>
      <c r="D30" s="81" t="s">
        <v>213</v>
      </c>
      <c r="E30" s="97">
        <v>374299</v>
      </c>
      <c r="F30" s="97"/>
      <c r="G30" s="97">
        <f>SUM(E30:F30)</f>
        <v>374299</v>
      </c>
      <c r="H30" s="97"/>
      <c r="I30" s="97">
        <f>SUM(G30:H30)</f>
        <v>374299</v>
      </c>
      <c r="J30" s="97"/>
      <c r="K30" s="97">
        <f>SUM(I30:J30)</f>
        <v>374299</v>
      </c>
      <c r="L30" s="97"/>
      <c r="M30" s="97">
        <f>SUM(K30:L30)</f>
        <v>374299</v>
      </c>
      <c r="N30" s="97">
        <v>13351</v>
      </c>
      <c r="O30" s="97">
        <f>SUM(M30:N30)</f>
        <v>387650</v>
      </c>
    </row>
    <row r="31" spans="1:15" s="27" customFormat="1" ht="21.75" customHeight="1">
      <c r="A31" s="71"/>
      <c r="B31" s="71">
        <v>85295</v>
      </c>
      <c r="C31" s="73"/>
      <c r="D31" s="81" t="s">
        <v>6</v>
      </c>
      <c r="E31" s="97">
        <f aca="true" t="shared" si="12" ref="E31:O31">SUM(E32)</f>
        <v>0</v>
      </c>
      <c r="F31" s="97">
        <f t="shared" si="12"/>
        <v>530000</v>
      </c>
      <c r="G31" s="97">
        <f t="shared" si="12"/>
        <v>530000</v>
      </c>
      <c r="H31" s="97">
        <f t="shared" si="12"/>
        <v>0</v>
      </c>
      <c r="I31" s="97">
        <f t="shared" si="12"/>
        <v>530000</v>
      </c>
      <c r="J31" s="97">
        <f t="shared" si="12"/>
        <v>0</v>
      </c>
      <c r="K31" s="97">
        <f t="shared" si="12"/>
        <v>530000</v>
      </c>
      <c r="L31" s="97">
        <f t="shared" si="12"/>
        <v>0</v>
      </c>
      <c r="M31" s="97">
        <f t="shared" si="12"/>
        <v>530000</v>
      </c>
      <c r="N31" s="97">
        <f t="shared" si="12"/>
        <v>69400</v>
      </c>
      <c r="O31" s="97">
        <f t="shared" si="12"/>
        <v>599400</v>
      </c>
    </row>
    <row r="32" spans="1:15" s="27" customFormat="1" ht="39.75" customHeight="1">
      <c r="A32" s="71"/>
      <c r="B32" s="71"/>
      <c r="C32" s="73">
        <v>2030</v>
      </c>
      <c r="D32" s="81" t="s">
        <v>213</v>
      </c>
      <c r="E32" s="97">
        <v>0</v>
      </c>
      <c r="F32" s="97">
        <v>530000</v>
      </c>
      <c r="G32" s="97">
        <f>SUM(E32:F32)</f>
        <v>530000</v>
      </c>
      <c r="H32" s="97"/>
      <c r="I32" s="97">
        <f>SUM(G32:H32)</f>
        <v>530000</v>
      </c>
      <c r="J32" s="97"/>
      <c r="K32" s="97">
        <f>SUM(I32:J32)</f>
        <v>530000</v>
      </c>
      <c r="L32" s="97"/>
      <c r="M32" s="97">
        <f>SUM(K32:L32)</f>
        <v>530000</v>
      </c>
      <c r="N32" s="97">
        <v>69400</v>
      </c>
      <c r="O32" s="97">
        <f>SUM(M32:N32)</f>
        <v>599400</v>
      </c>
    </row>
    <row r="33" spans="1:15" s="201" customFormat="1" ht="27" customHeight="1">
      <c r="A33" s="299">
        <v>854</v>
      </c>
      <c r="B33" s="300"/>
      <c r="C33" s="301"/>
      <c r="D33" s="302" t="s">
        <v>59</v>
      </c>
      <c r="E33" s="304"/>
      <c r="F33" s="304"/>
      <c r="G33" s="304"/>
      <c r="H33" s="304"/>
      <c r="I33" s="304"/>
      <c r="J33" s="304"/>
      <c r="K33" s="304">
        <f aca="true" t="shared" si="13" ref="K33:O34">SUM(K34)</f>
        <v>0</v>
      </c>
      <c r="L33" s="304">
        <f t="shared" si="13"/>
        <v>279792</v>
      </c>
      <c r="M33" s="304">
        <f t="shared" si="13"/>
        <v>279792</v>
      </c>
      <c r="N33" s="304">
        <f t="shared" si="13"/>
        <v>0</v>
      </c>
      <c r="O33" s="304">
        <f t="shared" si="13"/>
        <v>279792</v>
      </c>
    </row>
    <row r="34" spans="1:15" s="27" customFormat="1" ht="23.25" customHeight="1">
      <c r="A34" s="76"/>
      <c r="B34" s="77">
        <v>85415</v>
      </c>
      <c r="C34" s="83"/>
      <c r="D34" s="81" t="s">
        <v>497</v>
      </c>
      <c r="E34" s="97"/>
      <c r="F34" s="97"/>
      <c r="G34" s="97"/>
      <c r="H34" s="97"/>
      <c r="I34" s="97"/>
      <c r="J34" s="97"/>
      <c r="K34" s="97">
        <f t="shared" si="13"/>
        <v>0</v>
      </c>
      <c r="L34" s="97">
        <f t="shared" si="13"/>
        <v>279792</v>
      </c>
      <c r="M34" s="97">
        <f t="shared" si="13"/>
        <v>279792</v>
      </c>
      <c r="N34" s="97">
        <f t="shared" si="13"/>
        <v>0</v>
      </c>
      <c r="O34" s="97">
        <f t="shared" si="13"/>
        <v>279792</v>
      </c>
    </row>
    <row r="35" spans="1:15" s="27" customFormat="1" ht="33.75">
      <c r="A35" s="76"/>
      <c r="B35" s="77"/>
      <c r="C35" s="83">
        <v>2030</v>
      </c>
      <c r="D35" s="81" t="s">
        <v>213</v>
      </c>
      <c r="E35" s="97"/>
      <c r="F35" s="97"/>
      <c r="G35" s="97"/>
      <c r="H35" s="97"/>
      <c r="I35" s="97"/>
      <c r="J35" s="97"/>
      <c r="K35" s="97">
        <v>0</v>
      </c>
      <c r="L35" s="97">
        <v>279792</v>
      </c>
      <c r="M35" s="97">
        <f>SUM(K35:L35)</f>
        <v>279792</v>
      </c>
      <c r="N35" s="97"/>
      <c r="O35" s="97">
        <f>SUM(M35:N35)</f>
        <v>279792</v>
      </c>
    </row>
    <row r="36" spans="1:15" s="8" customFormat="1" ht="24">
      <c r="A36" s="36" t="s">
        <v>63</v>
      </c>
      <c r="B36" s="30"/>
      <c r="C36" s="59"/>
      <c r="D36" s="39" t="s">
        <v>69</v>
      </c>
      <c r="E36" s="67">
        <f>SUM(E39)</f>
        <v>60000</v>
      </c>
      <c r="F36" s="67">
        <f>SUM(F39)</f>
        <v>0</v>
      </c>
      <c r="G36" s="67">
        <f>SUM(G39)</f>
        <v>60000</v>
      </c>
      <c r="H36" s="67">
        <f>SUM(H39)</f>
        <v>0</v>
      </c>
      <c r="I36" s="67">
        <f aca="true" t="shared" si="14" ref="I36:O36">SUM(I39,I37)</f>
        <v>60000</v>
      </c>
      <c r="J36" s="67">
        <f t="shared" si="14"/>
        <v>11400</v>
      </c>
      <c r="K36" s="67">
        <f t="shared" si="14"/>
        <v>71400</v>
      </c>
      <c r="L36" s="67">
        <f t="shared" si="14"/>
        <v>0</v>
      </c>
      <c r="M36" s="67">
        <f t="shared" si="14"/>
        <v>71400</v>
      </c>
      <c r="N36" s="67">
        <f t="shared" si="14"/>
        <v>0</v>
      </c>
      <c r="O36" s="67">
        <f t="shared" si="14"/>
        <v>71400</v>
      </c>
    </row>
    <row r="37" spans="1:15" s="8" customFormat="1" ht="23.25" customHeight="1">
      <c r="A37" s="36"/>
      <c r="B37" s="155">
        <v>92105</v>
      </c>
      <c r="C37" s="165"/>
      <c r="D37" s="249" t="s">
        <v>406</v>
      </c>
      <c r="E37" s="67"/>
      <c r="F37" s="67"/>
      <c r="G37" s="67"/>
      <c r="H37" s="67"/>
      <c r="I37" s="250">
        <f aca="true" t="shared" si="15" ref="I37:O37">SUM(I38)</f>
        <v>0</v>
      </c>
      <c r="J37" s="250">
        <f t="shared" si="15"/>
        <v>11400</v>
      </c>
      <c r="K37" s="250">
        <f t="shared" si="15"/>
        <v>11400</v>
      </c>
      <c r="L37" s="250">
        <f t="shared" si="15"/>
        <v>0</v>
      </c>
      <c r="M37" s="250">
        <f t="shared" si="15"/>
        <v>11400</v>
      </c>
      <c r="N37" s="250">
        <f t="shared" si="15"/>
        <v>0</v>
      </c>
      <c r="O37" s="250">
        <f t="shared" si="15"/>
        <v>11400</v>
      </c>
    </row>
    <row r="38" spans="1:15" s="8" customFormat="1" ht="45">
      <c r="A38" s="36"/>
      <c r="B38" s="3"/>
      <c r="C38" s="78">
        <v>2320</v>
      </c>
      <c r="D38" s="81" t="s">
        <v>214</v>
      </c>
      <c r="E38" s="67"/>
      <c r="F38" s="67"/>
      <c r="G38" s="67"/>
      <c r="H38" s="67"/>
      <c r="I38" s="250">
        <v>0</v>
      </c>
      <c r="J38" s="250">
        <v>11400</v>
      </c>
      <c r="K38" s="250">
        <f>SUM(I38:J38)</f>
        <v>11400</v>
      </c>
      <c r="L38" s="250"/>
      <c r="M38" s="250">
        <f>SUM(K38:L38)</f>
        <v>11400</v>
      </c>
      <c r="N38" s="250"/>
      <c r="O38" s="250">
        <f>SUM(M38:N38)</f>
        <v>11400</v>
      </c>
    </row>
    <row r="39" spans="1:15" s="27" customFormat="1" ht="18" customHeight="1">
      <c r="A39" s="71"/>
      <c r="B39" s="71" t="s">
        <v>64</v>
      </c>
      <c r="C39" s="72"/>
      <c r="D39" s="41" t="s">
        <v>65</v>
      </c>
      <c r="E39" s="97">
        <f aca="true" t="shared" si="16" ref="E39:O39">E40</f>
        <v>60000</v>
      </c>
      <c r="F39" s="97">
        <f t="shared" si="16"/>
        <v>0</v>
      </c>
      <c r="G39" s="97">
        <f t="shared" si="16"/>
        <v>60000</v>
      </c>
      <c r="H39" s="97">
        <f t="shared" si="16"/>
        <v>0</v>
      </c>
      <c r="I39" s="97">
        <f t="shared" si="16"/>
        <v>60000</v>
      </c>
      <c r="J39" s="97">
        <f t="shared" si="16"/>
        <v>0</v>
      </c>
      <c r="K39" s="97">
        <f t="shared" si="16"/>
        <v>60000</v>
      </c>
      <c r="L39" s="97">
        <f t="shared" si="16"/>
        <v>0</v>
      </c>
      <c r="M39" s="97">
        <f t="shared" si="16"/>
        <v>60000</v>
      </c>
      <c r="N39" s="97">
        <f t="shared" si="16"/>
        <v>0</v>
      </c>
      <c r="O39" s="97">
        <f t="shared" si="16"/>
        <v>60000</v>
      </c>
    </row>
    <row r="40" spans="1:15" s="27" customFormat="1" ht="48.75" customHeight="1">
      <c r="A40" s="71"/>
      <c r="B40" s="71"/>
      <c r="C40" s="73">
        <v>2320</v>
      </c>
      <c r="D40" s="41" t="s">
        <v>214</v>
      </c>
      <c r="E40" s="97">
        <v>60000</v>
      </c>
      <c r="F40" s="97"/>
      <c r="G40" s="97">
        <f>SUM(E40:F40)</f>
        <v>60000</v>
      </c>
      <c r="H40" s="97"/>
      <c r="I40" s="97">
        <f>SUM(G40:H40)</f>
        <v>60000</v>
      </c>
      <c r="J40" s="97"/>
      <c r="K40" s="97">
        <f>SUM(I40:J40)</f>
        <v>60000</v>
      </c>
      <c r="L40" s="97"/>
      <c r="M40" s="97">
        <f>SUM(K40:L40)</f>
        <v>60000</v>
      </c>
      <c r="N40" s="97"/>
      <c r="O40" s="97">
        <f>SUM(M40:N40)</f>
        <v>60000</v>
      </c>
    </row>
    <row r="41" spans="1:15" s="27" customFormat="1" ht="24" customHeight="1">
      <c r="A41" s="246">
        <v>926</v>
      </c>
      <c r="B41" s="246"/>
      <c r="C41" s="246"/>
      <c r="D41" s="206" t="s">
        <v>66</v>
      </c>
      <c r="E41" s="97"/>
      <c r="F41" s="97"/>
      <c r="G41" s="97"/>
      <c r="H41" s="97"/>
      <c r="I41" s="251">
        <f aca="true" t="shared" si="17" ref="I41:O42">SUM(I42)</f>
        <v>0</v>
      </c>
      <c r="J41" s="251">
        <f t="shared" si="17"/>
        <v>2200</v>
      </c>
      <c r="K41" s="251">
        <f t="shared" si="17"/>
        <v>2200</v>
      </c>
      <c r="L41" s="251">
        <f t="shared" si="17"/>
        <v>0</v>
      </c>
      <c r="M41" s="251">
        <f t="shared" si="17"/>
        <v>2200</v>
      </c>
      <c r="N41" s="251">
        <f t="shared" si="17"/>
        <v>0</v>
      </c>
      <c r="O41" s="251">
        <f t="shared" si="17"/>
        <v>2200</v>
      </c>
    </row>
    <row r="42" spans="1:15" s="27" customFormat="1" ht="21.75" customHeight="1">
      <c r="A42" s="77"/>
      <c r="B42" s="77">
        <v>92605</v>
      </c>
      <c r="C42" s="77"/>
      <c r="D42" s="14" t="s">
        <v>67</v>
      </c>
      <c r="E42" s="97"/>
      <c r="F42" s="97"/>
      <c r="G42" s="97"/>
      <c r="H42" s="97"/>
      <c r="I42" s="97">
        <f t="shared" si="17"/>
        <v>0</v>
      </c>
      <c r="J42" s="97">
        <f t="shared" si="17"/>
        <v>2200</v>
      </c>
      <c r="K42" s="97">
        <f t="shared" si="17"/>
        <v>2200</v>
      </c>
      <c r="L42" s="97">
        <f t="shared" si="17"/>
        <v>0</v>
      </c>
      <c r="M42" s="97">
        <f t="shared" si="17"/>
        <v>2200</v>
      </c>
      <c r="N42" s="97">
        <f t="shared" si="17"/>
        <v>0</v>
      </c>
      <c r="O42" s="97">
        <f t="shared" si="17"/>
        <v>2200</v>
      </c>
    </row>
    <row r="43" spans="1:15" s="27" customFormat="1" ht="53.25" customHeight="1">
      <c r="A43" s="77"/>
      <c r="B43" s="77"/>
      <c r="C43" s="77">
        <v>2320</v>
      </c>
      <c r="D43" s="14" t="s">
        <v>214</v>
      </c>
      <c r="E43" s="97"/>
      <c r="F43" s="97"/>
      <c r="G43" s="97"/>
      <c r="H43" s="97"/>
      <c r="I43" s="97">
        <v>0</v>
      </c>
      <c r="J43" s="97">
        <v>2200</v>
      </c>
      <c r="K43" s="97">
        <f>SUM(I43:J43)</f>
        <v>2200</v>
      </c>
      <c r="L43" s="97"/>
      <c r="M43" s="97">
        <f>SUM(K43:L43)</f>
        <v>2200</v>
      </c>
      <c r="N43" s="97"/>
      <c r="O43" s="97">
        <f>SUM(M43:N43)</f>
        <v>2200</v>
      </c>
    </row>
    <row r="44" spans="1:15" s="27" customFormat="1" ht="19.5" customHeight="1">
      <c r="A44" s="114"/>
      <c r="B44" s="115"/>
      <c r="C44" s="116"/>
      <c r="D44" s="102" t="s">
        <v>68</v>
      </c>
      <c r="E44" s="104">
        <f>SUM(E36,E18,E10,E7,E13,)</f>
        <v>8189630</v>
      </c>
      <c r="F44" s="104">
        <f>SUM(F36,F18,F10,F7,F13,)</f>
        <v>530000</v>
      </c>
      <c r="G44" s="104">
        <f>SUM(G36,G18,G10,G7,G13,)</f>
        <v>8719630</v>
      </c>
      <c r="H44" s="104">
        <f>SUM(H36,H18,H10,H7,H13,)</f>
        <v>-73</v>
      </c>
      <c r="I44" s="104">
        <f>SUM(I36,I18,I10,I7,I13,I41)</f>
        <v>8719557</v>
      </c>
      <c r="J44" s="104">
        <f>SUM(J36,J18,J10,J7,J13,J41)</f>
        <v>22004</v>
      </c>
      <c r="K44" s="104">
        <f>SUM(K36,K18,K10,K7,K13,K41,K33)</f>
        <v>8741561</v>
      </c>
      <c r="L44" s="104">
        <f>SUM(L36,L18,L10,L7,L13,L41,L33)</f>
        <v>279792</v>
      </c>
      <c r="M44" s="104">
        <f>SUM(M36,M18,M10,M7,M13,M41,M33)</f>
        <v>9021353</v>
      </c>
      <c r="N44" s="104">
        <f>SUM(N36,N18,N10,N7,N13,N41,N33)</f>
        <v>158567</v>
      </c>
      <c r="O44" s="104">
        <f>SUM(O36,O18,O10,O7,O13,O41,O33)</f>
        <v>9179920</v>
      </c>
    </row>
    <row r="45" spans="1:3" ht="12.75">
      <c r="A45" s="60"/>
      <c r="B45" s="60"/>
      <c r="C45" s="60"/>
    </row>
    <row r="48" spans="5:15" ht="12.75">
      <c r="E48" s="106"/>
      <c r="F48" s="106"/>
      <c r="G48" s="106"/>
      <c r="H48" s="106"/>
      <c r="I48" s="106"/>
      <c r="J48" s="28"/>
      <c r="K48" s="106"/>
      <c r="L48" s="28"/>
      <c r="M48" s="106"/>
      <c r="N48" s="28"/>
      <c r="O48" s="106"/>
    </row>
    <row r="49" spans="10:14" ht="12.75">
      <c r="J49" s="28"/>
      <c r="L49" s="28"/>
      <c r="N49" s="28"/>
    </row>
    <row r="50" spans="10:14" ht="12.75">
      <c r="J50" s="28"/>
      <c r="L50" s="28"/>
      <c r="N50" s="28"/>
    </row>
    <row r="51" spans="10:14" ht="12.75">
      <c r="J51" s="272"/>
      <c r="L51" s="272"/>
      <c r="N51" s="272"/>
    </row>
    <row r="52" spans="10:14" ht="12.75">
      <c r="J52" s="28"/>
      <c r="L52" s="28"/>
      <c r="N52" s="28"/>
    </row>
    <row r="53" spans="10:14" ht="12.75">
      <c r="J53" s="28"/>
      <c r="L53" s="28"/>
      <c r="N53" s="28"/>
    </row>
  </sheetData>
  <sheetProtection/>
  <mergeCells count="1">
    <mergeCell ref="A5:M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6.00390625" style="8" customWidth="1"/>
    <col min="2" max="2" width="7.25390625" style="8" bestFit="1" customWidth="1"/>
    <col min="3" max="3" width="5.00390625" style="8" bestFit="1" customWidth="1"/>
    <col min="4" max="4" width="27.125" style="8" customWidth="1"/>
    <col min="5" max="5" width="46.375" style="8" customWidth="1"/>
    <col min="6" max="6" width="14.00390625" style="8" customWidth="1"/>
    <col min="7" max="7" width="13.125" style="8" hidden="1" customWidth="1"/>
    <col min="8" max="8" width="13.125" style="0" hidden="1" customWidth="1"/>
    <col min="9" max="9" width="11.75390625" style="0" hidden="1" customWidth="1"/>
    <col min="10" max="10" width="13.125" style="0" hidden="1" customWidth="1"/>
    <col min="11" max="11" width="11.75390625" style="0" bestFit="1" customWidth="1"/>
    <col min="12" max="12" width="13.125" style="0" customWidth="1"/>
    <col min="13" max="13" width="11.75390625" style="0" bestFit="1" customWidth="1"/>
  </cols>
  <sheetData>
    <row r="1" spans="6:12" ht="12.75">
      <c r="F1" s="61" t="s">
        <v>511</v>
      </c>
      <c r="G1" s="61" t="s">
        <v>395</v>
      </c>
      <c r="H1" s="61"/>
      <c r="I1" s="61"/>
      <c r="J1" s="61"/>
      <c r="K1" s="61"/>
      <c r="L1" s="61"/>
    </row>
    <row r="2" spans="6:12" ht="12.75">
      <c r="F2" s="61" t="s">
        <v>508</v>
      </c>
      <c r="G2" s="61" t="s">
        <v>389</v>
      </c>
      <c r="H2" s="61"/>
      <c r="I2" s="61"/>
      <c r="J2" s="61"/>
      <c r="K2" s="61"/>
      <c r="L2" s="61"/>
    </row>
    <row r="3" spans="6:12" ht="12.75">
      <c r="F3" s="61" t="s">
        <v>471</v>
      </c>
      <c r="G3" s="61" t="s">
        <v>386</v>
      </c>
      <c r="H3" s="61"/>
      <c r="I3" s="61"/>
      <c r="J3" s="61"/>
      <c r="K3" s="61"/>
      <c r="L3" s="61"/>
    </row>
    <row r="4" spans="6:12" ht="12.75">
      <c r="F4" s="61" t="s">
        <v>486</v>
      </c>
      <c r="G4" s="61" t="s">
        <v>387</v>
      </c>
      <c r="H4" s="61"/>
      <c r="I4" s="61"/>
      <c r="J4" s="61"/>
      <c r="K4" s="61"/>
      <c r="L4" s="61"/>
    </row>
    <row r="5" spans="1:7" ht="21" customHeight="1">
      <c r="A5" s="338" t="s">
        <v>388</v>
      </c>
      <c r="B5" s="338"/>
      <c r="C5" s="338"/>
      <c r="D5" s="338"/>
      <c r="E5" s="338"/>
      <c r="F5" s="338"/>
      <c r="G5" s="338"/>
    </row>
    <row r="6" spans="1:7" ht="22.5" customHeight="1">
      <c r="A6" s="342" t="s">
        <v>300</v>
      </c>
      <c r="B6" s="342"/>
      <c r="C6" s="342"/>
      <c r="D6" s="342"/>
      <c r="E6" s="342"/>
      <c r="F6" s="342"/>
      <c r="G6" s="342"/>
    </row>
    <row r="7" spans="1:13" s="121" customFormat="1" ht="29.25" customHeight="1">
      <c r="A7" s="5" t="s">
        <v>0</v>
      </c>
      <c r="B7" s="5" t="s">
        <v>1</v>
      </c>
      <c r="C7" s="5" t="s">
        <v>2</v>
      </c>
      <c r="D7" s="5" t="s">
        <v>238</v>
      </c>
      <c r="E7" s="5" t="s">
        <v>239</v>
      </c>
      <c r="F7" s="5" t="s">
        <v>304</v>
      </c>
      <c r="G7" s="9" t="s">
        <v>142</v>
      </c>
      <c r="H7" s="9" t="s">
        <v>349</v>
      </c>
      <c r="I7" s="130" t="s">
        <v>400</v>
      </c>
      <c r="J7" s="9" t="s">
        <v>349</v>
      </c>
      <c r="K7" s="130" t="s">
        <v>143</v>
      </c>
      <c r="L7" s="9" t="s">
        <v>349</v>
      </c>
      <c r="M7" s="130" t="s">
        <v>385</v>
      </c>
    </row>
    <row r="8" spans="1:11" s="121" customFormat="1" ht="30" customHeight="1">
      <c r="A8" s="350" t="s">
        <v>437</v>
      </c>
      <c r="B8" s="351"/>
      <c r="C8" s="351"/>
      <c r="D8" s="351"/>
      <c r="E8" s="351"/>
      <c r="F8" s="351"/>
      <c r="G8" s="351"/>
      <c r="H8" s="351"/>
      <c r="I8" s="351"/>
      <c r="J8" s="351"/>
      <c r="K8" s="352"/>
    </row>
    <row r="9" spans="1:13" s="256" customFormat="1" ht="66" customHeight="1">
      <c r="A9" s="3">
        <v>600</v>
      </c>
      <c r="B9" s="3">
        <v>60014</v>
      </c>
      <c r="C9" s="4">
        <v>6300</v>
      </c>
      <c r="D9" s="182" t="s">
        <v>249</v>
      </c>
      <c r="E9" s="245" t="s">
        <v>436</v>
      </c>
      <c r="F9" s="182" t="s">
        <v>306</v>
      </c>
      <c r="G9" s="279"/>
      <c r="H9" s="255"/>
      <c r="I9" s="257">
        <v>0</v>
      </c>
      <c r="J9" s="213">
        <v>100000</v>
      </c>
      <c r="K9" s="257">
        <f>SUM(I9:J9)</f>
        <v>100000</v>
      </c>
      <c r="L9" s="213"/>
      <c r="M9" s="257">
        <f>SUM(K9:L9)</f>
        <v>100000</v>
      </c>
    </row>
    <row r="10" spans="1:13" s="256" customFormat="1" ht="68.25" customHeight="1">
      <c r="A10" s="3">
        <v>600</v>
      </c>
      <c r="B10" s="3">
        <v>60014</v>
      </c>
      <c r="C10" s="3">
        <v>6300</v>
      </c>
      <c r="D10" s="182" t="s">
        <v>249</v>
      </c>
      <c r="E10" s="311" t="s">
        <v>504</v>
      </c>
      <c r="F10" s="182" t="s">
        <v>306</v>
      </c>
      <c r="G10" s="279"/>
      <c r="H10" s="255"/>
      <c r="I10" s="257"/>
      <c r="J10" s="213"/>
      <c r="K10" s="257">
        <v>0</v>
      </c>
      <c r="L10" s="213">
        <v>127220</v>
      </c>
      <c r="M10" s="257">
        <f>SUM(K10:L10)</f>
        <v>127220</v>
      </c>
    </row>
    <row r="11" spans="1:13" s="256" customFormat="1" ht="25.5" customHeight="1">
      <c r="A11" s="131"/>
      <c r="B11" s="281"/>
      <c r="C11" s="281"/>
      <c r="D11" s="184"/>
      <c r="E11" s="286" t="s">
        <v>439</v>
      </c>
      <c r="F11" s="182"/>
      <c r="G11" s="279"/>
      <c r="H11" s="255"/>
      <c r="I11" s="235">
        <f>SUM(I9)</f>
        <v>0</v>
      </c>
      <c r="J11" s="235">
        <f>SUM(J9)</f>
        <v>100000</v>
      </c>
      <c r="K11" s="235">
        <f>SUM(K9:K10)</f>
        <v>100000</v>
      </c>
      <c r="L11" s="235">
        <f>SUM(L9:L10)</f>
        <v>127220</v>
      </c>
      <c r="M11" s="235">
        <f>SUM(M9:M10)</f>
        <v>227220</v>
      </c>
    </row>
    <row r="12" spans="1:11" s="256" customFormat="1" ht="30.75" customHeight="1">
      <c r="A12" s="353" t="s">
        <v>438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5"/>
    </row>
    <row r="13" spans="1:13" s="256" customFormat="1" ht="24.75" customHeight="1">
      <c r="A13" s="3">
        <v>750</v>
      </c>
      <c r="B13" s="3">
        <v>75075</v>
      </c>
      <c r="C13" s="4">
        <v>2320</v>
      </c>
      <c r="D13" s="182" t="s">
        <v>249</v>
      </c>
      <c r="E13" s="185" t="s">
        <v>428</v>
      </c>
      <c r="F13" s="182" t="s">
        <v>306</v>
      </c>
      <c r="G13" s="279"/>
      <c r="H13" s="255"/>
      <c r="I13" s="257">
        <v>0</v>
      </c>
      <c r="J13" s="213">
        <v>5000</v>
      </c>
      <c r="K13" s="129">
        <f>SUM(I13:J13)</f>
        <v>5000</v>
      </c>
      <c r="L13" s="213"/>
      <c r="M13" s="129">
        <f>SUM(K13:L13)</f>
        <v>5000</v>
      </c>
    </row>
    <row r="14" spans="1:13" s="256" customFormat="1" ht="42.75" customHeight="1">
      <c r="A14" s="3">
        <v>801</v>
      </c>
      <c r="B14" s="3">
        <v>80104</v>
      </c>
      <c r="C14" s="4">
        <v>2310</v>
      </c>
      <c r="D14" s="182" t="s">
        <v>429</v>
      </c>
      <c r="E14" s="185" t="s">
        <v>430</v>
      </c>
      <c r="F14" s="182" t="s">
        <v>306</v>
      </c>
      <c r="G14" s="279"/>
      <c r="H14" s="262"/>
      <c r="I14" s="257">
        <v>0</v>
      </c>
      <c r="J14" s="213">
        <v>7860</v>
      </c>
      <c r="K14" s="213">
        <f>SUM(I14:J14)</f>
        <v>7860</v>
      </c>
      <c r="L14" s="213"/>
      <c r="M14" s="213">
        <f>SUM(K14:L14)</f>
        <v>7860</v>
      </c>
    </row>
    <row r="15" spans="1:13" s="141" customFormat="1" ht="25.5" customHeight="1">
      <c r="A15" s="134">
        <v>801</v>
      </c>
      <c r="B15" s="3">
        <v>80104</v>
      </c>
      <c r="C15" s="4">
        <v>2510</v>
      </c>
      <c r="D15" s="182" t="s">
        <v>240</v>
      </c>
      <c r="E15" s="185" t="s">
        <v>241</v>
      </c>
      <c r="F15" s="182" t="s">
        <v>305</v>
      </c>
      <c r="G15" s="129">
        <v>3632917</v>
      </c>
      <c r="H15" s="129"/>
      <c r="I15" s="129">
        <f>SUM(G15:H15)</f>
        <v>3632917</v>
      </c>
      <c r="J15" s="129"/>
      <c r="K15" s="129">
        <f>SUM(I15:J15)</f>
        <v>3632917</v>
      </c>
      <c r="L15" s="129"/>
      <c r="M15" s="129">
        <f>SUM(K15:L15)</f>
        <v>3632917</v>
      </c>
    </row>
    <row r="16" spans="1:13" s="141" customFormat="1" ht="24.75" customHeight="1">
      <c r="A16" s="134">
        <v>801</v>
      </c>
      <c r="B16" s="134">
        <v>80146</v>
      </c>
      <c r="C16" s="3">
        <v>2510</v>
      </c>
      <c r="D16" s="183" t="s">
        <v>240</v>
      </c>
      <c r="E16" s="207" t="s">
        <v>242</v>
      </c>
      <c r="F16" s="183" t="s">
        <v>305</v>
      </c>
      <c r="G16" s="191">
        <v>15642</v>
      </c>
      <c r="H16" s="191"/>
      <c r="I16" s="129">
        <f aca="true" t="shared" si="0" ref="I16:I25">SUM(G16:H16)</f>
        <v>15642</v>
      </c>
      <c r="J16" s="191"/>
      <c r="K16" s="129">
        <f aca="true" t="shared" si="1" ref="K16:K26">SUM(I16:J16)</f>
        <v>15642</v>
      </c>
      <c r="L16" s="191"/>
      <c r="M16" s="129">
        <f aca="true" t="shared" si="2" ref="M16:M26">SUM(K16:L16)</f>
        <v>15642</v>
      </c>
    </row>
    <row r="17" spans="1:13" s="141" customFormat="1" ht="24">
      <c r="A17" s="3">
        <v>853</v>
      </c>
      <c r="B17" s="3">
        <v>85311</v>
      </c>
      <c r="C17" s="3">
        <v>2710</v>
      </c>
      <c r="D17" s="182" t="s">
        <v>250</v>
      </c>
      <c r="E17" s="214" t="s">
        <v>286</v>
      </c>
      <c r="F17" s="218" t="s">
        <v>306</v>
      </c>
      <c r="G17" s="129">
        <v>10704</v>
      </c>
      <c r="H17" s="213"/>
      <c r="I17" s="129">
        <f t="shared" si="0"/>
        <v>10704</v>
      </c>
      <c r="J17" s="213">
        <v>1133</v>
      </c>
      <c r="K17" s="129">
        <f t="shared" si="1"/>
        <v>11837</v>
      </c>
      <c r="L17" s="213"/>
      <c r="M17" s="129">
        <f t="shared" si="2"/>
        <v>11837</v>
      </c>
    </row>
    <row r="18" spans="1:13" s="141" customFormat="1" ht="24">
      <c r="A18" s="3">
        <v>854</v>
      </c>
      <c r="B18" s="3">
        <v>85495</v>
      </c>
      <c r="C18" s="3">
        <v>2320</v>
      </c>
      <c r="D18" s="182" t="s">
        <v>249</v>
      </c>
      <c r="E18" s="215" t="s">
        <v>347</v>
      </c>
      <c r="F18" s="216" t="s">
        <v>306</v>
      </c>
      <c r="G18" s="280">
        <v>199150</v>
      </c>
      <c r="H18" s="217"/>
      <c r="I18" s="129">
        <f t="shared" si="0"/>
        <v>199150</v>
      </c>
      <c r="J18" s="217"/>
      <c r="K18" s="129">
        <f t="shared" si="1"/>
        <v>199150</v>
      </c>
      <c r="L18" s="217"/>
      <c r="M18" s="129">
        <f t="shared" si="2"/>
        <v>199150</v>
      </c>
    </row>
    <row r="19" spans="1:13" s="141" customFormat="1" ht="24.75" customHeight="1">
      <c r="A19" s="3">
        <v>854</v>
      </c>
      <c r="B19" s="3">
        <v>85495</v>
      </c>
      <c r="C19" s="3">
        <v>2320</v>
      </c>
      <c r="D19" s="182" t="s">
        <v>250</v>
      </c>
      <c r="E19" s="185" t="s">
        <v>251</v>
      </c>
      <c r="F19" s="182" t="s">
        <v>306</v>
      </c>
      <c r="G19" s="129">
        <v>37095</v>
      </c>
      <c r="H19" s="213"/>
      <c r="I19" s="129">
        <f t="shared" si="0"/>
        <v>37095</v>
      </c>
      <c r="J19" s="213"/>
      <c r="K19" s="129">
        <f t="shared" si="1"/>
        <v>37095</v>
      </c>
      <c r="L19" s="213"/>
      <c r="M19" s="129">
        <f t="shared" si="2"/>
        <v>37095</v>
      </c>
    </row>
    <row r="20" spans="1:13" s="141" customFormat="1" ht="29.25" customHeight="1">
      <c r="A20" s="134" t="s">
        <v>63</v>
      </c>
      <c r="B20" s="3">
        <v>92109</v>
      </c>
      <c r="C20" s="4">
        <v>2480</v>
      </c>
      <c r="D20" s="182" t="s">
        <v>245</v>
      </c>
      <c r="E20" s="185" t="s">
        <v>246</v>
      </c>
      <c r="F20" s="182" t="s">
        <v>305</v>
      </c>
      <c r="G20" s="129">
        <v>753300</v>
      </c>
      <c r="H20" s="129"/>
      <c r="I20" s="129">
        <f t="shared" si="0"/>
        <v>753300</v>
      </c>
      <c r="J20" s="129"/>
      <c r="K20" s="129">
        <f t="shared" si="1"/>
        <v>753300</v>
      </c>
      <c r="L20" s="129"/>
      <c r="M20" s="129">
        <f t="shared" si="2"/>
        <v>753300</v>
      </c>
    </row>
    <row r="21" spans="1:13" s="141" customFormat="1" ht="29.25" customHeight="1">
      <c r="A21" s="134">
        <v>921</v>
      </c>
      <c r="B21" s="3">
        <v>92109</v>
      </c>
      <c r="C21" s="4">
        <v>2480</v>
      </c>
      <c r="D21" s="182" t="s">
        <v>245</v>
      </c>
      <c r="E21" s="185" t="s">
        <v>331</v>
      </c>
      <c r="F21" s="182" t="s">
        <v>305</v>
      </c>
      <c r="G21" s="129"/>
      <c r="H21" s="129"/>
      <c r="I21" s="129">
        <v>0</v>
      </c>
      <c r="J21" s="129">
        <f>1000+3500</f>
        <v>4500</v>
      </c>
      <c r="K21" s="129">
        <f t="shared" si="1"/>
        <v>4500</v>
      </c>
      <c r="L21" s="129"/>
      <c r="M21" s="129">
        <f t="shared" si="2"/>
        <v>4500</v>
      </c>
    </row>
    <row r="22" spans="1:13" s="141" customFormat="1" ht="36">
      <c r="A22" s="134">
        <v>921</v>
      </c>
      <c r="B22" s="134" t="s">
        <v>64</v>
      </c>
      <c r="C22" s="4">
        <v>2480</v>
      </c>
      <c r="D22" s="185" t="s">
        <v>247</v>
      </c>
      <c r="E22" s="185" t="s">
        <v>331</v>
      </c>
      <c r="F22" s="182" t="s">
        <v>305</v>
      </c>
      <c r="G22" s="129">
        <f>60000</f>
        <v>60000</v>
      </c>
      <c r="H22" s="129"/>
      <c r="I22" s="129">
        <f t="shared" si="0"/>
        <v>60000</v>
      </c>
      <c r="J22" s="129"/>
      <c r="K22" s="129">
        <f t="shared" si="1"/>
        <v>60000</v>
      </c>
      <c r="L22" s="129"/>
      <c r="M22" s="129">
        <f t="shared" si="2"/>
        <v>60000</v>
      </c>
    </row>
    <row r="23" spans="1:13" s="141" customFormat="1" ht="36">
      <c r="A23" s="134">
        <v>921</v>
      </c>
      <c r="B23" s="134">
        <v>92116</v>
      </c>
      <c r="C23" s="4">
        <v>2480</v>
      </c>
      <c r="D23" s="185" t="s">
        <v>247</v>
      </c>
      <c r="E23" s="185" t="s">
        <v>331</v>
      </c>
      <c r="F23" s="182" t="s">
        <v>305</v>
      </c>
      <c r="G23" s="129"/>
      <c r="H23" s="129"/>
      <c r="I23" s="129">
        <v>0</v>
      </c>
      <c r="J23" s="129">
        <v>1000</v>
      </c>
      <c r="K23" s="129">
        <f t="shared" si="1"/>
        <v>1000</v>
      </c>
      <c r="L23" s="129"/>
      <c r="M23" s="129">
        <f t="shared" si="2"/>
        <v>1000</v>
      </c>
    </row>
    <row r="24" spans="1:13" s="141" customFormat="1" ht="24" customHeight="1">
      <c r="A24" s="134">
        <v>921</v>
      </c>
      <c r="B24" s="134">
        <v>92116</v>
      </c>
      <c r="C24" s="4">
        <v>2480</v>
      </c>
      <c r="D24" s="185" t="s">
        <v>247</v>
      </c>
      <c r="E24" s="185" t="s">
        <v>246</v>
      </c>
      <c r="F24" s="182" t="s">
        <v>305</v>
      </c>
      <c r="G24" s="129">
        <v>1120352</v>
      </c>
      <c r="H24" s="129"/>
      <c r="I24" s="129">
        <f t="shared" si="0"/>
        <v>1120352</v>
      </c>
      <c r="J24" s="129"/>
      <c r="K24" s="129">
        <f t="shared" si="1"/>
        <v>1120352</v>
      </c>
      <c r="L24" s="129"/>
      <c r="M24" s="129">
        <f t="shared" si="2"/>
        <v>1120352</v>
      </c>
    </row>
    <row r="25" spans="1:13" s="141" customFormat="1" ht="24">
      <c r="A25" s="134">
        <v>921</v>
      </c>
      <c r="B25" s="134" t="s">
        <v>139</v>
      </c>
      <c r="C25" s="3">
        <v>2480</v>
      </c>
      <c r="D25" s="245" t="s">
        <v>248</v>
      </c>
      <c r="E25" s="185" t="s">
        <v>246</v>
      </c>
      <c r="F25" s="182" t="s">
        <v>305</v>
      </c>
      <c r="G25" s="129">
        <v>650000</v>
      </c>
      <c r="H25" s="129"/>
      <c r="I25" s="129">
        <f t="shared" si="0"/>
        <v>650000</v>
      </c>
      <c r="J25" s="129"/>
      <c r="K25" s="129">
        <f t="shared" si="1"/>
        <v>650000</v>
      </c>
      <c r="L25" s="129"/>
      <c r="M25" s="129">
        <f t="shared" si="2"/>
        <v>650000</v>
      </c>
    </row>
    <row r="26" spans="1:13" s="141" customFormat="1" ht="24">
      <c r="A26" s="134">
        <v>921</v>
      </c>
      <c r="B26" s="134" t="s">
        <v>139</v>
      </c>
      <c r="C26" s="3">
        <v>2480</v>
      </c>
      <c r="D26" s="245" t="s">
        <v>248</v>
      </c>
      <c r="E26" s="185" t="s">
        <v>331</v>
      </c>
      <c r="F26" s="182" t="s">
        <v>305</v>
      </c>
      <c r="G26" s="129"/>
      <c r="H26" s="129"/>
      <c r="I26" s="129">
        <v>0</v>
      </c>
      <c r="J26" s="129">
        <f>1000+2000+1000</f>
        <v>4000</v>
      </c>
      <c r="K26" s="129">
        <f t="shared" si="1"/>
        <v>4000</v>
      </c>
      <c r="L26" s="129"/>
      <c r="M26" s="129">
        <f t="shared" si="2"/>
        <v>4000</v>
      </c>
    </row>
    <row r="27" spans="1:13" s="146" customFormat="1" ht="22.5" customHeight="1">
      <c r="A27" s="282"/>
      <c r="B27" s="283"/>
      <c r="C27" s="284"/>
      <c r="D27" s="285"/>
      <c r="E27" s="287" t="s">
        <v>440</v>
      </c>
      <c r="F27" s="209"/>
      <c r="G27" s="210"/>
      <c r="H27" s="210"/>
      <c r="I27" s="210">
        <f>SUM(I13:I26)</f>
        <v>6479160</v>
      </c>
      <c r="J27" s="210">
        <f>SUM(J13:J26)</f>
        <v>23493</v>
      </c>
      <c r="K27" s="210">
        <f>SUM(K13:K26)</f>
        <v>6502653</v>
      </c>
      <c r="L27" s="210">
        <f>SUM(L13:L26)</f>
        <v>0</v>
      </c>
      <c r="M27" s="210">
        <f>SUM(M13:M26)</f>
        <v>6502653</v>
      </c>
    </row>
    <row r="28" spans="1:13" s="141" customFormat="1" ht="22.5" customHeight="1">
      <c r="A28" s="347"/>
      <c r="B28" s="348"/>
      <c r="C28" s="348"/>
      <c r="D28" s="348"/>
      <c r="E28" s="349"/>
      <c r="F28" s="209" t="s">
        <v>441</v>
      </c>
      <c r="G28" s="210">
        <f>SUM(G15:G25)</f>
        <v>6479160</v>
      </c>
      <c r="H28" s="210">
        <f>SUM(H15:H25)</f>
        <v>0</v>
      </c>
      <c r="I28" s="210">
        <f>SUM(I27,I11)</f>
        <v>6479160</v>
      </c>
      <c r="J28" s="210">
        <f>SUM(J27,J11)</f>
        <v>123493</v>
      </c>
      <c r="K28" s="210">
        <f>SUM(K27,K11)</f>
        <v>6602653</v>
      </c>
      <c r="L28" s="210">
        <f>SUM(L27,L11)</f>
        <v>127220</v>
      </c>
      <c r="M28" s="210">
        <f>SUM(M27,M11)</f>
        <v>6729873</v>
      </c>
    </row>
    <row r="29" spans="1:7" s="141" customFormat="1" ht="21" customHeight="1" thickBot="1">
      <c r="A29" s="339" t="s">
        <v>301</v>
      </c>
      <c r="B29" s="340"/>
      <c r="C29" s="340"/>
      <c r="D29" s="340"/>
      <c r="E29" s="340"/>
      <c r="F29" s="340"/>
      <c r="G29" s="341"/>
    </row>
    <row r="30" spans="1:11" s="141" customFormat="1" ht="21.75" customHeight="1" thickBot="1">
      <c r="A30" s="356" t="s">
        <v>442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8"/>
    </row>
    <row r="31" spans="1:13" s="164" customFormat="1" ht="27" customHeight="1">
      <c r="A31" s="289" t="s">
        <v>4</v>
      </c>
      <c r="B31" s="289" t="s">
        <v>308</v>
      </c>
      <c r="C31" s="290">
        <v>2830</v>
      </c>
      <c r="D31" s="291" t="s">
        <v>310</v>
      </c>
      <c r="E31" s="291" t="s">
        <v>311</v>
      </c>
      <c r="F31" s="292" t="s">
        <v>306</v>
      </c>
      <c r="G31" s="293">
        <v>45000</v>
      </c>
      <c r="H31" s="293"/>
      <c r="I31" s="293">
        <f aca="true" t="shared" si="3" ref="I31:I36">SUM(G31:H31)</f>
        <v>45000</v>
      </c>
      <c r="J31" s="293"/>
      <c r="K31" s="293">
        <f aca="true" t="shared" si="4" ref="K31:K55">SUM(I31:J31)</f>
        <v>45000</v>
      </c>
      <c r="L31" s="293"/>
      <c r="M31" s="293">
        <f aca="true" t="shared" si="5" ref="M31:M55">SUM(K31:L31)</f>
        <v>45000</v>
      </c>
    </row>
    <row r="32" spans="1:13" s="141" customFormat="1" ht="36">
      <c r="A32" s="134">
        <v>801</v>
      </c>
      <c r="B32" s="3">
        <v>80101</v>
      </c>
      <c r="C32" s="4">
        <v>2590</v>
      </c>
      <c r="D32" s="185" t="s">
        <v>243</v>
      </c>
      <c r="E32" s="185" t="s">
        <v>302</v>
      </c>
      <c r="F32" s="182" t="s">
        <v>305</v>
      </c>
      <c r="G32" s="213">
        <v>746055</v>
      </c>
      <c r="H32" s="213"/>
      <c r="I32" s="213">
        <f t="shared" si="3"/>
        <v>746055</v>
      </c>
      <c r="J32" s="213"/>
      <c r="K32" s="213">
        <f t="shared" si="4"/>
        <v>746055</v>
      </c>
      <c r="L32" s="213"/>
      <c r="M32" s="213">
        <f t="shared" si="5"/>
        <v>746055</v>
      </c>
    </row>
    <row r="33" spans="1:13" s="141" customFormat="1" ht="36">
      <c r="A33" s="134">
        <v>801</v>
      </c>
      <c r="B33" s="208">
        <v>80103</v>
      </c>
      <c r="C33" s="3">
        <v>2590</v>
      </c>
      <c r="D33" s="214" t="s">
        <v>244</v>
      </c>
      <c r="E33" s="185" t="s">
        <v>303</v>
      </c>
      <c r="F33" s="182" t="s">
        <v>305</v>
      </c>
      <c r="G33" s="213">
        <v>41492</v>
      </c>
      <c r="H33" s="213"/>
      <c r="I33" s="213">
        <f t="shared" si="3"/>
        <v>41492</v>
      </c>
      <c r="J33" s="213"/>
      <c r="K33" s="213">
        <f t="shared" si="4"/>
        <v>41492</v>
      </c>
      <c r="L33" s="213"/>
      <c r="M33" s="213">
        <f t="shared" si="5"/>
        <v>41492</v>
      </c>
    </row>
    <row r="34" spans="1:13" s="141" customFormat="1" ht="36">
      <c r="A34" s="134">
        <v>801</v>
      </c>
      <c r="B34" s="208">
        <v>80110</v>
      </c>
      <c r="C34" s="3">
        <v>2590</v>
      </c>
      <c r="D34" s="214" t="s">
        <v>343</v>
      </c>
      <c r="E34" s="185" t="s">
        <v>267</v>
      </c>
      <c r="F34" s="184" t="s">
        <v>305</v>
      </c>
      <c r="G34" s="213">
        <v>263533</v>
      </c>
      <c r="H34" s="213"/>
      <c r="I34" s="213">
        <f t="shared" si="3"/>
        <v>263533</v>
      </c>
      <c r="J34" s="213"/>
      <c r="K34" s="213">
        <f t="shared" si="4"/>
        <v>263533</v>
      </c>
      <c r="L34" s="213"/>
      <c r="M34" s="213">
        <f t="shared" si="5"/>
        <v>263533</v>
      </c>
    </row>
    <row r="35" spans="1:13" ht="28.5" customHeight="1">
      <c r="A35" s="219">
        <v>921</v>
      </c>
      <c r="B35" s="219">
        <v>92120</v>
      </c>
      <c r="C35" s="219">
        <v>2720</v>
      </c>
      <c r="D35" s="220" t="s">
        <v>315</v>
      </c>
      <c r="E35" s="220" t="s">
        <v>316</v>
      </c>
      <c r="F35" s="221" t="s">
        <v>306</v>
      </c>
      <c r="G35" s="222">
        <v>7500</v>
      </c>
      <c r="H35" s="222"/>
      <c r="I35" s="213">
        <f t="shared" si="3"/>
        <v>7500</v>
      </c>
      <c r="J35" s="222"/>
      <c r="K35" s="213">
        <f t="shared" si="4"/>
        <v>7500</v>
      </c>
      <c r="L35" s="222"/>
      <c r="M35" s="213">
        <f t="shared" si="5"/>
        <v>7500</v>
      </c>
    </row>
    <row r="36" spans="1:13" ht="28.5" customHeight="1">
      <c r="A36" s="219">
        <v>851</v>
      </c>
      <c r="B36" s="219">
        <v>85154</v>
      </c>
      <c r="C36" s="219">
        <v>2830</v>
      </c>
      <c r="D36" s="220" t="s">
        <v>383</v>
      </c>
      <c r="E36" s="220" t="s">
        <v>384</v>
      </c>
      <c r="F36" s="221" t="s">
        <v>306</v>
      </c>
      <c r="G36" s="222">
        <v>0</v>
      </c>
      <c r="H36" s="222">
        <v>47545</v>
      </c>
      <c r="I36" s="213">
        <f t="shared" si="3"/>
        <v>47545</v>
      </c>
      <c r="J36" s="222"/>
      <c r="K36" s="213">
        <f t="shared" si="4"/>
        <v>47545</v>
      </c>
      <c r="L36" s="222"/>
      <c r="M36" s="213">
        <f t="shared" si="5"/>
        <v>47545</v>
      </c>
    </row>
    <row r="37" spans="1:13" ht="28.5" customHeight="1">
      <c r="A37" s="219">
        <v>926</v>
      </c>
      <c r="B37" s="219">
        <v>92605</v>
      </c>
      <c r="C37" s="219">
        <v>2820</v>
      </c>
      <c r="D37" s="220" t="s">
        <v>447</v>
      </c>
      <c r="E37" s="220" t="s">
        <v>446</v>
      </c>
      <c r="F37" s="221" t="s">
        <v>306</v>
      </c>
      <c r="G37" s="222"/>
      <c r="H37" s="222"/>
      <c r="I37" s="213">
        <v>0</v>
      </c>
      <c r="J37" s="222">
        <v>209000</v>
      </c>
      <c r="K37" s="213">
        <f t="shared" si="4"/>
        <v>209000</v>
      </c>
      <c r="L37" s="222"/>
      <c r="M37" s="213">
        <f t="shared" si="5"/>
        <v>209000</v>
      </c>
    </row>
    <row r="38" spans="1:13" ht="28.5" customHeight="1">
      <c r="A38" s="219">
        <v>926</v>
      </c>
      <c r="B38" s="219">
        <v>92605</v>
      </c>
      <c r="C38" s="219">
        <v>2820</v>
      </c>
      <c r="D38" s="220" t="s">
        <v>448</v>
      </c>
      <c r="E38" s="220" t="s">
        <v>446</v>
      </c>
      <c r="F38" s="221" t="s">
        <v>306</v>
      </c>
      <c r="G38" s="222"/>
      <c r="H38" s="222"/>
      <c r="I38" s="213">
        <v>0</v>
      </c>
      <c r="J38" s="222">
        <v>118000</v>
      </c>
      <c r="K38" s="213">
        <f t="shared" si="4"/>
        <v>118000</v>
      </c>
      <c r="L38" s="222"/>
      <c r="M38" s="213">
        <f t="shared" si="5"/>
        <v>118000</v>
      </c>
    </row>
    <row r="39" spans="1:13" ht="28.5" customHeight="1">
      <c r="A39" s="219">
        <v>926</v>
      </c>
      <c r="B39" s="219">
        <v>92605</v>
      </c>
      <c r="C39" s="219">
        <v>2820</v>
      </c>
      <c r="D39" s="220" t="s">
        <v>449</v>
      </c>
      <c r="E39" s="220" t="s">
        <v>450</v>
      </c>
      <c r="F39" s="221" t="s">
        <v>306</v>
      </c>
      <c r="G39" s="222"/>
      <c r="H39" s="222"/>
      <c r="I39" s="213">
        <v>0</v>
      </c>
      <c r="J39" s="222">
        <v>7000</v>
      </c>
      <c r="K39" s="213">
        <f t="shared" si="4"/>
        <v>7000</v>
      </c>
      <c r="L39" s="222"/>
      <c r="M39" s="213">
        <f t="shared" si="5"/>
        <v>7000</v>
      </c>
    </row>
    <row r="40" spans="1:13" ht="28.5" customHeight="1">
      <c r="A40" s="219">
        <v>926</v>
      </c>
      <c r="B40" s="219">
        <v>92605</v>
      </c>
      <c r="C40" s="219">
        <v>2820</v>
      </c>
      <c r="D40" s="220" t="s">
        <v>451</v>
      </c>
      <c r="E40" s="220" t="s">
        <v>450</v>
      </c>
      <c r="F40" s="221" t="s">
        <v>306</v>
      </c>
      <c r="G40" s="222"/>
      <c r="H40" s="222"/>
      <c r="I40" s="213">
        <v>0</v>
      </c>
      <c r="J40" s="222">
        <v>6000</v>
      </c>
      <c r="K40" s="213">
        <f t="shared" si="4"/>
        <v>6000</v>
      </c>
      <c r="L40" s="222"/>
      <c r="M40" s="213">
        <f t="shared" si="5"/>
        <v>6000</v>
      </c>
    </row>
    <row r="41" spans="1:13" ht="28.5" customHeight="1">
      <c r="A41" s="219">
        <v>926</v>
      </c>
      <c r="B41" s="219">
        <v>92605</v>
      </c>
      <c r="C41" s="219">
        <v>2820</v>
      </c>
      <c r="D41" s="220" t="s">
        <v>452</v>
      </c>
      <c r="E41" s="220" t="s">
        <v>450</v>
      </c>
      <c r="F41" s="221" t="s">
        <v>306</v>
      </c>
      <c r="G41" s="222"/>
      <c r="H41" s="222"/>
      <c r="I41" s="213">
        <v>0</v>
      </c>
      <c r="J41" s="222">
        <v>15000</v>
      </c>
      <c r="K41" s="213">
        <f t="shared" si="4"/>
        <v>15000</v>
      </c>
      <c r="L41" s="222"/>
      <c r="M41" s="213">
        <f t="shared" si="5"/>
        <v>15000</v>
      </c>
    </row>
    <row r="42" spans="1:13" ht="28.5" customHeight="1">
      <c r="A42" s="219">
        <v>926</v>
      </c>
      <c r="B42" s="219">
        <v>92605</v>
      </c>
      <c r="C42" s="219">
        <v>2820</v>
      </c>
      <c r="D42" s="220" t="s">
        <v>453</v>
      </c>
      <c r="E42" s="220" t="s">
        <v>450</v>
      </c>
      <c r="F42" s="221" t="s">
        <v>306</v>
      </c>
      <c r="G42" s="222"/>
      <c r="H42" s="222"/>
      <c r="I42" s="213">
        <v>0</v>
      </c>
      <c r="J42" s="222">
        <v>4000</v>
      </c>
      <c r="K42" s="213">
        <f t="shared" si="4"/>
        <v>4000</v>
      </c>
      <c r="L42" s="222"/>
      <c r="M42" s="213">
        <f t="shared" si="5"/>
        <v>4000</v>
      </c>
    </row>
    <row r="43" spans="1:13" ht="28.5" customHeight="1">
      <c r="A43" s="219">
        <v>926</v>
      </c>
      <c r="B43" s="219">
        <v>92605</v>
      </c>
      <c r="C43" s="219">
        <v>2820</v>
      </c>
      <c r="D43" s="220" t="s">
        <v>454</v>
      </c>
      <c r="E43" s="220" t="s">
        <v>450</v>
      </c>
      <c r="F43" s="221" t="s">
        <v>306</v>
      </c>
      <c r="G43" s="222"/>
      <c r="H43" s="222"/>
      <c r="I43" s="213">
        <v>0</v>
      </c>
      <c r="J43" s="222">
        <v>4000</v>
      </c>
      <c r="K43" s="213">
        <f t="shared" si="4"/>
        <v>4000</v>
      </c>
      <c r="L43" s="222"/>
      <c r="M43" s="213">
        <f t="shared" si="5"/>
        <v>4000</v>
      </c>
    </row>
    <row r="44" spans="1:13" ht="57" customHeight="1">
      <c r="A44" s="219">
        <v>926</v>
      </c>
      <c r="B44" s="219">
        <v>92605</v>
      </c>
      <c r="C44" s="219">
        <v>2820</v>
      </c>
      <c r="D44" s="220" t="s">
        <v>455</v>
      </c>
      <c r="E44" s="220" t="s">
        <v>456</v>
      </c>
      <c r="F44" s="221" t="s">
        <v>306</v>
      </c>
      <c r="G44" s="222"/>
      <c r="H44" s="222"/>
      <c r="I44" s="213">
        <v>0</v>
      </c>
      <c r="J44" s="222">
        <v>7000</v>
      </c>
      <c r="K44" s="213">
        <f t="shared" si="4"/>
        <v>7000</v>
      </c>
      <c r="L44" s="222"/>
      <c r="M44" s="213">
        <f t="shared" si="5"/>
        <v>7000</v>
      </c>
    </row>
    <row r="45" spans="1:13" ht="28.5" customHeight="1">
      <c r="A45" s="219">
        <v>926</v>
      </c>
      <c r="B45" s="219">
        <v>92605</v>
      </c>
      <c r="C45" s="219">
        <v>2820</v>
      </c>
      <c r="D45" s="220" t="s">
        <v>455</v>
      </c>
      <c r="E45" s="220" t="s">
        <v>457</v>
      </c>
      <c r="F45" s="221" t="s">
        <v>306</v>
      </c>
      <c r="G45" s="222"/>
      <c r="H45" s="222"/>
      <c r="I45" s="213">
        <v>0</v>
      </c>
      <c r="J45" s="222">
        <v>3100</v>
      </c>
      <c r="K45" s="213">
        <f t="shared" si="4"/>
        <v>3100</v>
      </c>
      <c r="L45" s="222"/>
      <c r="M45" s="213">
        <f t="shared" si="5"/>
        <v>3100</v>
      </c>
    </row>
    <row r="46" spans="1:13" ht="46.5" customHeight="1">
      <c r="A46" s="219">
        <v>926</v>
      </c>
      <c r="B46" s="219">
        <v>92605</v>
      </c>
      <c r="C46" s="219">
        <v>2820</v>
      </c>
      <c r="D46" s="220" t="s">
        <v>458</v>
      </c>
      <c r="E46" s="220" t="s">
        <v>459</v>
      </c>
      <c r="F46" s="221" t="s">
        <v>306</v>
      </c>
      <c r="G46" s="222"/>
      <c r="H46" s="222"/>
      <c r="I46" s="213">
        <v>0</v>
      </c>
      <c r="J46" s="222">
        <v>2500</v>
      </c>
      <c r="K46" s="213">
        <f t="shared" si="4"/>
        <v>2500</v>
      </c>
      <c r="L46" s="222"/>
      <c r="M46" s="213">
        <f t="shared" si="5"/>
        <v>2500</v>
      </c>
    </row>
    <row r="47" spans="1:13" ht="45" customHeight="1">
      <c r="A47" s="219">
        <v>926</v>
      </c>
      <c r="B47" s="219">
        <v>92605</v>
      </c>
      <c r="C47" s="219">
        <v>2820</v>
      </c>
      <c r="D47" s="220" t="s">
        <v>460</v>
      </c>
      <c r="E47" s="220" t="s">
        <v>459</v>
      </c>
      <c r="F47" s="221" t="s">
        <v>306</v>
      </c>
      <c r="G47" s="222"/>
      <c r="H47" s="222"/>
      <c r="I47" s="213">
        <v>0</v>
      </c>
      <c r="J47" s="222">
        <v>9000</v>
      </c>
      <c r="K47" s="213">
        <f t="shared" si="4"/>
        <v>9000</v>
      </c>
      <c r="L47" s="222"/>
      <c r="M47" s="213">
        <f t="shared" si="5"/>
        <v>9000</v>
      </c>
    </row>
    <row r="48" spans="1:13" ht="28.5" customHeight="1">
      <c r="A48" s="219">
        <v>926</v>
      </c>
      <c r="B48" s="219">
        <v>92605</v>
      </c>
      <c r="C48" s="219">
        <v>2820</v>
      </c>
      <c r="D48" s="220" t="s">
        <v>460</v>
      </c>
      <c r="E48" s="220" t="s">
        <v>457</v>
      </c>
      <c r="F48" s="221" t="s">
        <v>306</v>
      </c>
      <c r="G48" s="222"/>
      <c r="H48" s="222"/>
      <c r="I48" s="213">
        <v>0</v>
      </c>
      <c r="J48" s="222">
        <v>2000</v>
      </c>
      <c r="K48" s="213">
        <f t="shared" si="4"/>
        <v>2000</v>
      </c>
      <c r="L48" s="222"/>
      <c r="M48" s="213">
        <f t="shared" si="5"/>
        <v>2000</v>
      </c>
    </row>
    <row r="49" spans="1:13" ht="28.5" customHeight="1">
      <c r="A49" s="219">
        <v>926</v>
      </c>
      <c r="B49" s="219">
        <v>92605</v>
      </c>
      <c r="C49" s="219">
        <v>2820</v>
      </c>
      <c r="D49" s="220" t="s">
        <v>461</v>
      </c>
      <c r="E49" s="220" t="s">
        <v>457</v>
      </c>
      <c r="F49" s="221" t="s">
        <v>306</v>
      </c>
      <c r="G49" s="222"/>
      <c r="H49" s="222"/>
      <c r="I49" s="213">
        <v>0</v>
      </c>
      <c r="J49" s="222">
        <v>1520</v>
      </c>
      <c r="K49" s="213">
        <f t="shared" si="4"/>
        <v>1520</v>
      </c>
      <c r="L49" s="222"/>
      <c r="M49" s="213">
        <f t="shared" si="5"/>
        <v>1520</v>
      </c>
    </row>
    <row r="50" spans="1:13" ht="28.5" customHeight="1">
      <c r="A50" s="219">
        <v>926</v>
      </c>
      <c r="B50" s="219">
        <v>92605</v>
      </c>
      <c r="C50" s="219">
        <v>2820</v>
      </c>
      <c r="D50" s="220" t="s">
        <v>461</v>
      </c>
      <c r="E50" s="220" t="s">
        <v>462</v>
      </c>
      <c r="F50" s="221" t="s">
        <v>306</v>
      </c>
      <c r="G50" s="222"/>
      <c r="H50" s="222"/>
      <c r="I50" s="213">
        <v>0</v>
      </c>
      <c r="J50" s="222">
        <v>1000</v>
      </c>
      <c r="K50" s="213">
        <f t="shared" si="4"/>
        <v>1000</v>
      </c>
      <c r="L50" s="222"/>
      <c r="M50" s="213">
        <f t="shared" si="5"/>
        <v>1000</v>
      </c>
    </row>
    <row r="51" spans="1:13" ht="28.5" customHeight="1">
      <c r="A51" s="219">
        <v>926</v>
      </c>
      <c r="B51" s="219">
        <v>92605</v>
      </c>
      <c r="C51" s="219">
        <v>2820</v>
      </c>
      <c r="D51" s="220" t="s">
        <v>463</v>
      </c>
      <c r="E51" s="220" t="s">
        <v>457</v>
      </c>
      <c r="F51" s="221" t="s">
        <v>306</v>
      </c>
      <c r="G51" s="222"/>
      <c r="H51" s="222"/>
      <c r="I51" s="213">
        <v>0</v>
      </c>
      <c r="J51" s="222">
        <v>880</v>
      </c>
      <c r="K51" s="213">
        <f t="shared" si="4"/>
        <v>880</v>
      </c>
      <c r="L51" s="222"/>
      <c r="M51" s="213">
        <f t="shared" si="5"/>
        <v>880</v>
      </c>
    </row>
    <row r="52" spans="1:13" ht="36" customHeight="1">
      <c r="A52" s="219">
        <v>926</v>
      </c>
      <c r="B52" s="219">
        <v>92605</v>
      </c>
      <c r="C52" s="219">
        <v>2820</v>
      </c>
      <c r="D52" s="220" t="s">
        <v>464</v>
      </c>
      <c r="E52" s="220" t="s">
        <v>457</v>
      </c>
      <c r="F52" s="221" t="s">
        <v>306</v>
      </c>
      <c r="G52" s="222"/>
      <c r="H52" s="222"/>
      <c r="I52" s="213">
        <v>0</v>
      </c>
      <c r="J52" s="222">
        <v>5000</v>
      </c>
      <c r="K52" s="213">
        <f t="shared" si="4"/>
        <v>5000</v>
      </c>
      <c r="L52" s="222"/>
      <c r="M52" s="213">
        <f t="shared" si="5"/>
        <v>5000</v>
      </c>
    </row>
    <row r="53" spans="1:13" ht="28.5" customHeight="1">
      <c r="A53" s="219">
        <v>926</v>
      </c>
      <c r="B53" s="219">
        <v>92605</v>
      </c>
      <c r="C53" s="219">
        <v>2820</v>
      </c>
      <c r="D53" s="220" t="s">
        <v>465</v>
      </c>
      <c r="E53" s="220" t="s">
        <v>457</v>
      </c>
      <c r="F53" s="221" t="s">
        <v>306</v>
      </c>
      <c r="G53" s="222"/>
      <c r="H53" s="222"/>
      <c r="I53" s="213">
        <v>0</v>
      </c>
      <c r="J53" s="222">
        <v>1500</v>
      </c>
      <c r="K53" s="213">
        <f t="shared" si="4"/>
        <v>1500</v>
      </c>
      <c r="L53" s="222"/>
      <c r="M53" s="213">
        <f t="shared" si="5"/>
        <v>1500</v>
      </c>
    </row>
    <row r="54" spans="1:13" ht="28.5" customHeight="1">
      <c r="A54" s="219">
        <v>926</v>
      </c>
      <c r="B54" s="219">
        <v>92605</v>
      </c>
      <c r="C54" s="219">
        <v>2820</v>
      </c>
      <c r="D54" s="220" t="s">
        <v>466</v>
      </c>
      <c r="E54" s="220" t="s">
        <v>457</v>
      </c>
      <c r="F54" s="221" t="s">
        <v>306</v>
      </c>
      <c r="G54" s="222"/>
      <c r="H54" s="222"/>
      <c r="I54" s="213">
        <v>0</v>
      </c>
      <c r="J54" s="222">
        <v>1500</v>
      </c>
      <c r="K54" s="213">
        <f t="shared" si="4"/>
        <v>1500</v>
      </c>
      <c r="L54" s="222"/>
      <c r="M54" s="213">
        <f t="shared" si="5"/>
        <v>1500</v>
      </c>
    </row>
    <row r="55" spans="1:13" ht="37.5" customHeight="1">
      <c r="A55" s="219">
        <v>926</v>
      </c>
      <c r="B55" s="219">
        <v>92605</v>
      </c>
      <c r="C55" s="219">
        <v>2820</v>
      </c>
      <c r="D55" s="220" t="s">
        <v>467</v>
      </c>
      <c r="E55" s="220" t="s">
        <v>462</v>
      </c>
      <c r="F55" s="221" t="s">
        <v>306</v>
      </c>
      <c r="G55" s="222"/>
      <c r="H55" s="222"/>
      <c r="I55" s="213">
        <v>0</v>
      </c>
      <c r="J55" s="222">
        <v>2000</v>
      </c>
      <c r="K55" s="213">
        <f t="shared" si="4"/>
        <v>2000</v>
      </c>
      <c r="L55" s="222"/>
      <c r="M55" s="213">
        <f t="shared" si="5"/>
        <v>2000</v>
      </c>
    </row>
    <row r="56" spans="1:13" ht="21.75" customHeight="1">
      <c r="A56" s="344"/>
      <c r="B56" s="345"/>
      <c r="C56" s="345"/>
      <c r="D56" s="345"/>
      <c r="E56" s="346"/>
      <c r="F56" s="228" t="s">
        <v>68</v>
      </c>
      <c r="G56" s="223">
        <f>SUM(G31:G36)</f>
        <v>1103580</v>
      </c>
      <c r="H56" s="223">
        <f>SUM(H31:H36)</f>
        <v>47545</v>
      </c>
      <c r="I56" s="223">
        <f>SUM(I31:I55)</f>
        <v>1151125</v>
      </c>
      <c r="J56" s="223">
        <f>SUM(J31:J55)</f>
        <v>400000</v>
      </c>
      <c r="K56" s="223">
        <f>SUM(K31:K55)</f>
        <v>1551125</v>
      </c>
      <c r="L56" s="223">
        <f>SUM(L31:L55)</f>
        <v>0</v>
      </c>
      <c r="M56" s="223">
        <f>SUM(M31:M55)</f>
        <v>1551125</v>
      </c>
    </row>
    <row r="57" spans="1:13" ht="31.5" customHeight="1">
      <c r="A57" s="141"/>
      <c r="B57" s="141"/>
      <c r="C57" s="141"/>
      <c r="D57" s="141"/>
      <c r="E57" s="343" t="s">
        <v>336</v>
      </c>
      <c r="F57" s="343"/>
      <c r="G57" s="278">
        <f aca="true" t="shared" si="6" ref="G57:M57">SUM(G28,G56)</f>
        <v>7582740</v>
      </c>
      <c r="H57" s="278">
        <f t="shared" si="6"/>
        <v>47545</v>
      </c>
      <c r="I57" s="278">
        <f t="shared" si="6"/>
        <v>7630285</v>
      </c>
      <c r="J57" s="278">
        <f t="shared" si="6"/>
        <v>523493</v>
      </c>
      <c r="K57" s="278">
        <f t="shared" si="6"/>
        <v>8153778</v>
      </c>
      <c r="L57" s="278">
        <f t="shared" si="6"/>
        <v>127220</v>
      </c>
      <c r="M57" s="278">
        <f t="shared" si="6"/>
        <v>8280998</v>
      </c>
    </row>
    <row r="58" ht="12.75">
      <c r="E58" s="288"/>
    </row>
    <row r="59" ht="12.75">
      <c r="E59" s="288"/>
    </row>
  </sheetData>
  <sheetProtection/>
  <mergeCells count="9">
    <mergeCell ref="A5:G5"/>
    <mergeCell ref="A29:G29"/>
    <mergeCell ref="A6:G6"/>
    <mergeCell ref="E57:F57"/>
    <mergeCell ref="A56:E56"/>
    <mergeCell ref="A28:E28"/>
    <mergeCell ref="A8:K8"/>
    <mergeCell ref="A12:K12"/>
    <mergeCell ref="A30:K30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E48"/>
  <sheetViews>
    <sheetView zoomScalePageLayoutView="0" workbookViewId="0" topLeftCell="A16">
      <selection activeCell="L10" sqref="L10"/>
    </sheetView>
  </sheetViews>
  <sheetFormatPr defaultColWidth="9.00390625" defaultRowHeight="12.75"/>
  <cols>
    <col min="1" max="1" width="6.25390625" style="8" customWidth="1"/>
    <col min="2" max="2" width="7.25390625" style="8" bestFit="1" customWidth="1"/>
    <col min="3" max="3" width="5.75390625" style="8" customWidth="1"/>
    <col min="4" max="4" width="30.375" style="8" customWidth="1"/>
    <col min="5" max="5" width="40.25390625" style="0" hidden="1" customWidth="1"/>
    <col min="6" max="6" width="6.75390625" style="0" hidden="1" customWidth="1"/>
    <col min="7" max="7" width="13.125" style="0" hidden="1" customWidth="1"/>
    <col min="8" max="8" width="7.875" style="0" hidden="1" customWidth="1"/>
    <col min="9" max="9" width="13.125" style="0" customWidth="1"/>
    <col min="10" max="10" width="12.625" style="0" customWidth="1"/>
    <col min="11" max="11" width="13.125" style="0" customWidth="1"/>
  </cols>
  <sheetData>
    <row r="1" spans="5:11" ht="12.75">
      <c r="E1" s="61" t="s">
        <v>396</v>
      </c>
      <c r="F1" s="61"/>
      <c r="G1" s="61" t="s">
        <v>468</v>
      </c>
      <c r="H1" s="61"/>
      <c r="I1" s="61" t="s">
        <v>525</v>
      </c>
      <c r="J1" s="61"/>
      <c r="K1" s="61"/>
    </row>
    <row r="2" spans="4:11" ht="12.75">
      <c r="D2" s="8" t="s">
        <v>209</v>
      </c>
      <c r="E2" s="61" t="s">
        <v>389</v>
      </c>
      <c r="F2" s="61"/>
      <c r="G2" s="61" t="s">
        <v>469</v>
      </c>
      <c r="H2" s="61"/>
      <c r="I2" s="61" t="s">
        <v>521</v>
      </c>
      <c r="J2" s="61"/>
      <c r="K2" s="61"/>
    </row>
    <row r="3" spans="4:11" ht="12.75">
      <c r="D3" s="8" t="s">
        <v>207</v>
      </c>
      <c r="E3" s="61" t="s">
        <v>397</v>
      </c>
      <c r="F3" s="61"/>
      <c r="G3" s="61" t="s">
        <v>396</v>
      </c>
      <c r="H3" s="61"/>
      <c r="I3" s="61" t="s">
        <v>468</v>
      </c>
      <c r="J3" s="61"/>
      <c r="K3" s="61"/>
    </row>
    <row r="4" spans="5:11" ht="12.75">
      <c r="E4" s="61" t="s">
        <v>387</v>
      </c>
      <c r="F4" s="61"/>
      <c r="G4" s="61" t="s">
        <v>401</v>
      </c>
      <c r="H4" s="61"/>
      <c r="I4" s="61" t="s">
        <v>486</v>
      </c>
      <c r="J4" s="61"/>
      <c r="K4" s="61"/>
    </row>
    <row r="5" spans="1:9" ht="32.25" customHeight="1">
      <c r="A5" s="359" t="s">
        <v>342</v>
      </c>
      <c r="B5" s="359"/>
      <c r="C5" s="359"/>
      <c r="D5" s="359"/>
      <c r="E5" s="359"/>
      <c r="F5" s="359"/>
      <c r="G5" s="359"/>
      <c r="H5" s="359"/>
      <c r="I5" s="359"/>
    </row>
    <row r="6" spans="1:11" s="8" customFormat="1" ht="24.75" customHeight="1">
      <c r="A6" s="12" t="s">
        <v>0</v>
      </c>
      <c r="B6" s="12" t="s">
        <v>1</v>
      </c>
      <c r="C6" s="12" t="s">
        <v>2</v>
      </c>
      <c r="D6" s="18" t="s">
        <v>3</v>
      </c>
      <c r="E6" s="109" t="s">
        <v>398</v>
      </c>
      <c r="F6" s="109" t="s">
        <v>372</v>
      </c>
      <c r="G6" s="109" t="s">
        <v>400</v>
      </c>
      <c r="H6" s="109" t="s">
        <v>372</v>
      </c>
      <c r="I6" s="109" t="s">
        <v>143</v>
      </c>
      <c r="J6" s="109" t="s">
        <v>372</v>
      </c>
      <c r="K6" s="109" t="s">
        <v>385</v>
      </c>
    </row>
    <row r="7" spans="1:11" s="27" customFormat="1" ht="21" customHeight="1">
      <c r="A7" s="34" t="s">
        <v>15</v>
      </c>
      <c r="B7" s="5"/>
      <c r="C7" s="23"/>
      <c r="D7" s="33" t="s">
        <v>16</v>
      </c>
      <c r="E7" s="45">
        <f aca="true" t="shared" si="0" ref="E7:K7">SUM(E8)</f>
        <v>156600</v>
      </c>
      <c r="F7" s="45">
        <f t="shared" si="0"/>
        <v>0</v>
      </c>
      <c r="G7" s="45">
        <f t="shared" si="0"/>
        <v>156600</v>
      </c>
      <c r="H7" s="45">
        <f t="shared" si="0"/>
        <v>0</v>
      </c>
      <c r="I7" s="45">
        <f t="shared" si="0"/>
        <v>156600</v>
      </c>
      <c r="J7" s="45">
        <f t="shared" si="0"/>
        <v>0</v>
      </c>
      <c r="K7" s="45">
        <f t="shared" si="0"/>
        <v>156600</v>
      </c>
    </row>
    <row r="8" spans="1:11" s="27" customFormat="1" ht="21" customHeight="1">
      <c r="A8" s="77"/>
      <c r="B8" s="77">
        <v>75011</v>
      </c>
      <c r="C8" s="84"/>
      <c r="D8" s="81" t="s">
        <v>17</v>
      </c>
      <c r="E8" s="96">
        <f aca="true" t="shared" si="1" ref="E8:K8">SUM(E9:E13)</f>
        <v>156600</v>
      </c>
      <c r="F8" s="96">
        <f t="shared" si="1"/>
        <v>0</v>
      </c>
      <c r="G8" s="96">
        <f t="shared" si="1"/>
        <v>156600</v>
      </c>
      <c r="H8" s="96">
        <f t="shared" si="1"/>
        <v>0</v>
      </c>
      <c r="I8" s="96">
        <f t="shared" si="1"/>
        <v>156600</v>
      </c>
      <c r="J8" s="96">
        <f t="shared" si="1"/>
        <v>0</v>
      </c>
      <c r="K8" s="96">
        <f t="shared" si="1"/>
        <v>156600</v>
      </c>
    </row>
    <row r="9" spans="1:11" s="27" customFormat="1" ht="21" customHeight="1">
      <c r="A9" s="77"/>
      <c r="B9" s="51"/>
      <c r="C9" s="78">
        <v>4010</v>
      </c>
      <c r="D9" s="81" t="s">
        <v>84</v>
      </c>
      <c r="E9" s="96">
        <v>105300</v>
      </c>
      <c r="F9" s="96"/>
      <c r="G9" s="96">
        <f>SUM(E9:F9)</f>
        <v>105300</v>
      </c>
      <c r="H9" s="96">
        <v>1657</v>
      </c>
      <c r="I9" s="96">
        <f>SUM(G9:H9)</f>
        <v>106957</v>
      </c>
      <c r="J9" s="96"/>
      <c r="K9" s="96">
        <f>SUM(I9:J9)</f>
        <v>106957</v>
      </c>
    </row>
    <row r="10" spans="1:11" s="27" customFormat="1" ht="21" customHeight="1">
      <c r="A10" s="77"/>
      <c r="B10" s="51"/>
      <c r="C10" s="78">
        <v>4040</v>
      </c>
      <c r="D10" s="81" t="s">
        <v>85</v>
      </c>
      <c r="E10" s="96">
        <v>22400</v>
      </c>
      <c r="F10" s="96"/>
      <c r="G10" s="96">
        <f>SUM(E10:F10)</f>
        <v>22400</v>
      </c>
      <c r="H10" s="96">
        <v>-2312</v>
      </c>
      <c r="I10" s="96">
        <f>SUM(G10:H10)</f>
        <v>20088</v>
      </c>
      <c r="J10" s="96"/>
      <c r="K10" s="96">
        <f>SUM(I10:J10)</f>
        <v>20088</v>
      </c>
    </row>
    <row r="11" spans="1:11" s="27" customFormat="1" ht="21" customHeight="1">
      <c r="A11" s="77"/>
      <c r="B11" s="51"/>
      <c r="C11" s="78">
        <v>4110</v>
      </c>
      <c r="D11" s="81" t="s">
        <v>86</v>
      </c>
      <c r="E11" s="96">
        <v>16500</v>
      </c>
      <c r="F11" s="96"/>
      <c r="G11" s="96">
        <f>SUM(E11:F11)</f>
        <v>16500</v>
      </c>
      <c r="H11" s="96"/>
      <c r="I11" s="96">
        <f>SUM(G11:H11)</f>
        <v>16500</v>
      </c>
      <c r="J11" s="96"/>
      <c r="K11" s="96">
        <f>SUM(I11:J11)</f>
        <v>16500</v>
      </c>
    </row>
    <row r="12" spans="1:11" s="27" customFormat="1" ht="21" customHeight="1">
      <c r="A12" s="77"/>
      <c r="B12" s="51"/>
      <c r="C12" s="78">
        <v>4120</v>
      </c>
      <c r="D12" s="81" t="s">
        <v>87</v>
      </c>
      <c r="E12" s="96">
        <v>3100</v>
      </c>
      <c r="F12" s="96"/>
      <c r="G12" s="96">
        <f>SUM(E12:F12)</f>
        <v>3100</v>
      </c>
      <c r="H12" s="96"/>
      <c r="I12" s="96">
        <f>SUM(G12:H12)</f>
        <v>3100</v>
      </c>
      <c r="J12" s="96"/>
      <c r="K12" s="96">
        <f>SUM(I12:J12)</f>
        <v>3100</v>
      </c>
    </row>
    <row r="13" spans="1:11" s="27" customFormat="1" ht="22.5">
      <c r="A13" s="77"/>
      <c r="B13" s="51"/>
      <c r="C13" s="79">
        <v>4440</v>
      </c>
      <c r="D13" s="81" t="s">
        <v>88</v>
      </c>
      <c r="E13" s="96">
        <v>9300</v>
      </c>
      <c r="F13" s="96"/>
      <c r="G13" s="96">
        <f>SUM(E13:F13)</f>
        <v>9300</v>
      </c>
      <c r="H13" s="96">
        <v>655</v>
      </c>
      <c r="I13" s="96">
        <f>SUM(G13:H13)</f>
        <v>9955</v>
      </c>
      <c r="J13" s="96"/>
      <c r="K13" s="96">
        <f>SUM(I13:J13)</f>
        <v>9955</v>
      </c>
    </row>
    <row r="14" spans="1:11" s="27" customFormat="1" ht="48">
      <c r="A14" s="34">
        <v>751</v>
      </c>
      <c r="B14" s="5"/>
      <c r="C14" s="23"/>
      <c r="D14" s="33" t="s">
        <v>20</v>
      </c>
      <c r="E14" s="45">
        <f aca="true" t="shared" si="2" ref="E14:K14">E15</f>
        <v>3952</v>
      </c>
      <c r="F14" s="45">
        <f t="shared" si="2"/>
        <v>0</v>
      </c>
      <c r="G14" s="45">
        <f t="shared" si="2"/>
        <v>3952</v>
      </c>
      <c r="H14" s="45">
        <f t="shared" si="2"/>
        <v>0</v>
      </c>
      <c r="I14" s="45">
        <f t="shared" si="2"/>
        <v>3952</v>
      </c>
      <c r="J14" s="45">
        <f t="shared" si="2"/>
        <v>0</v>
      </c>
      <c r="K14" s="45">
        <f t="shared" si="2"/>
        <v>3952</v>
      </c>
    </row>
    <row r="15" spans="1:11" s="27" customFormat="1" ht="22.5">
      <c r="A15" s="51"/>
      <c r="B15" s="77">
        <v>75101</v>
      </c>
      <c r="C15" s="84"/>
      <c r="D15" s="81" t="s">
        <v>21</v>
      </c>
      <c r="E15" s="96">
        <f aca="true" t="shared" si="3" ref="E15:K15">SUM(E16:E18)</f>
        <v>3952</v>
      </c>
      <c r="F15" s="96">
        <f t="shared" si="3"/>
        <v>0</v>
      </c>
      <c r="G15" s="96">
        <f t="shared" si="3"/>
        <v>3952</v>
      </c>
      <c r="H15" s="96">
        <f t="shared" si="3"/>
        <v>0</v>
      </c>
      <c r="I15" s="96">
        <f t="shared" si="3"/>
        <v>3952</v>
      </c>
      <c r="J15" s="96">
        <f t="shared" si="3"/>
        <v>0</v>
      </c>
      <c r="K15" s="96">
        <f t="shared" si="3"/>
        <v>3952</v>
      </c>
    </row>
    <row r="16" spans="1:11" s="27" customFormat="1" ht="21" customHeight="1">
      <c r="A16" s="51"/>
      <c r="B16" s="77"/>
      <c r="C16" s="78">
        <v>4010</v>
      </c>
      <c r="D16" s="14" t="s">
        <v>84</v>
      </c>
      <c r="E16" s="96">
        <v>3360</v>
      </c>
      <c r="F16" s="96"/>
      <c r="G16" s="96">
        <f>SUM(E16:F16)</f>
        <v>3360</v>
      </c>
      <c r="H16" s="96"/>
      <c r="I16" s="96">
        <f>SUM(G16:H16)</f>
        <v>3360</v>
      </c>
      <c r="J16" s="96"/>
      <c r="K16" s="96">
        <f>SUM(I16:J16)</f>
        <v>3360</v>
      </c>
    </row>
    <row r="17" spans="1:11" s="27" customFormat="1" ht="21.75" customHeight="1">
      <c r="A17" s="51"/>
      <c r="B17" s="77"/>
      <c r="C17" s="78">
        <v>4110</v>
      </c>
      <c r="D17" s="14" t="s">
        <v>86</v>
      </c>
      <c r="E17" s="96">
        <v>510</v>
      </c>
      <c r="F17" s="96"/>
      <c r="G17" s="96">
        <f>SUM(E17:F17)</f>
        <v>510</v>
      </c>
      <c r="H17" s="96"/>
      <c r="I17" s="96">
        <f>SUM(G17:H17)</f>
        <v>510</v>
      </c>
      <c r="J17" s="96"/>
      <c r="K17" s="96">
        <f>SUM(I17:J17)</f>
        <v>510</v>
      </c>
    </row>
    <row r="18" spans="1:11" s="27" customFormat="1" ht="24" customHeight="1">
      <c r="A18" s="51"/>
      <c r="B18" s="77"/>
      <c r="C18" s="78">
        <v>4120</v>
      </c>
      <c r="D18" s="14" t="s">
        <v>87</v>
      </c>
      <c r="E18" s="96">
        <v>82</v>
      </c>
      <c r="F18" s="96"/>
      <c r="G18" s="96">
        <f>SUM(E18:F18)</f>
        <v>82</v>
      </c>
      <c r="H18" s="96"/>
      <c r="I18" s="96">
        <f>SUM(G18:H18)</f>
        <v>82</v>
      </c>
      <c r="J18" s="96"/>
      <c r="K18" s="96">
        <f>SUM(I18:J18)</f>
        <v>82</v>
      </c>
    </row>
    <row r="19" spans="1:213" s="27" customFormat="1" ht="21" customHeight="1">
      <c r="A19" s="34">
        <v>852</v>
      </c>
      <c r="B19" s="5"/>
      <c r="C19" s="23"/>
      <c r="D19" s="33" t="s">
        <v>186</v>
      </c>
      <c r="E19" s="45">
        <f>SUM(E20,E27,)</f>
        <v>6563300</v>
      </c>
      <c r="F19" s="45">
        <f>SUM(F20,F27,)</f>
        <v>-73</v>
      </c>
      <c r="G19" s="45">
        <f>SUM(G20,G27,G29)</f>
        <v>6563227</v>
      </c>
      <c r="H19" s="45">
        <f>SUM(H20,H27,H29)</f>
        <v>5500</v>
      </c>
      <c r="I19" s="45">
        <f>SUM(I20,I27,I29)</f>
        <v>6568727</v>
      </c>
      <c r="J19" s="45">
        <f>SUM(J20,J27,J29)</f>
        <v>0</v>
      </c>
      <c r="K19" s="45">
        <f>SUM(K20,K27,K29)</f>
        <v>6568727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</row>
    <row r="20" spans="1:213" s="27" customFormat="1" ht="45">
      <c r="A20" s="101"/>
      <c r="B20" s="51">
        <v>85212</v>
      </c>
      <c r="C20" s="83"/>
      <c r="D20" s="81" t="s">
        <v>299</v>
      </c>
      <c r="E20" s="96">
        <f aca="true" t="shared" si="4" ref="E20:K20">SUM(E21:E26)</f>
        <v>6551300</v>
      </c>
      <c r="F20" s="96">
        <f t="shared" si="4"/>
        <v>0</v>
      </c>
      <c r="G20" s="96">
        <f t="shared" si="4"/>
        <v>6551300</v>
      </c>
      <c r="H20" s="96">
        <f t="shared" si="4"/>
        <v>0</v>
      </c>
      <c r="I20" s="96">
        <f t="shared" si="4"/>
        <v>6551300</v>
      </c>
      <c r="J20" s="96">
        <f t="shared" si="4"/>
        <v>0</v>
      </c>
      <c r="K20" s="96">
        <f t="shared" si="4"/>
        <v>6551300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</row>
    <row r="21" spans="1:213" s="27" customFormat="1" ht="21" customHeight="1">
      <c r="A21" s="101"/>
      <c r="B21" s="51"/>
      <c r="C21" s="83">
        <v>3110</v>
      </c>
      <c r="D21" s="81" t="s">
        <v>112</v>
      </c>
      <c r="E21" s="75">
        <f>6354761-50000</f>
        <v>6304761</v>
      </c>
      <c r="F21" s="75"/>
      <c r="G21" s="75">
        <f aca="true" t="shared" si="5" ref="G21:G26">SUM(E21:F21)</f>
        <v>6304761</v>
      </c>
      <c r="H21" s="75"/>
      <c r="I21" s="75">
        <f aca="true" t="shared" si="6" ref="I21:I26">SUM(G21:H21)</f>
        <v>6304761</v>
      </c>
      <c r="J21" s="75"/>
      <c r="K21" s="75">
        <f aca="true" t="shared" si="7" ref="K21:K26">SUM(I21:J21)</f>
        <v>6304761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</row>
    <row r="22" spans="1:213" s="27" customFormat="1" ht="21" customHeight="1">
      <c r="A22" s="101"/>
      <c r="B22" s="51"/>
      <c r="C22" s="51">
        <v>4010</v>
      </c>
      <c r="D22" s="14" t="s">
        <v>84</v>
      </c>
      <c r="E22" s="75">
        <v>147564</v>
      </c>
      <c r="F22" s="75"/>
      <c r="G22" s="75">
        <f t="shared" si="5"/>
        <v>147564</v>
      </c>
      <c r="H22" s="75"/>
      <c r="I22" s="75">
        <f t="shared" si="6"/>
        <v>147564</v>
      </c>
      <c r="J22" s="75">
        <v>-471</v>
      </c>
      <c r="K22" s="75">
        <f t="shared" si="7"/>
        <v>147093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</row>
    <row r="23" spans="1:213" s="27" customFormat="1" ht="21" customHeight="1">
      <c r="A23" s="101"/>
      <c r="B23" s="51"/>
      <c r="C23" s="51">
        <v>4040</v>
      </c>
      <c r="D23" s="14" t="s">
        <v>85</v>
      </c>
      <c r="E23" s="75">
        <v>15400</v>
      </c>
      <c r="F23" s="75"/>
      <c r="G23" s="75">
        <f t="shared" si="5"/>
        <v>15400</v>
      </c>
      <c r="H23" s="75"/>
      <c r="I23" s="75">
        <f t="shared" si="6"/>
        <v>15400</v>
      </c>
      <c r="J23" s="75">
        <v>-2094</v>
      </c>
      <c r="K23" s="75">
        <f t="shared" si="7"/>
        <v>13306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</row>
    <row r="24" spans="1:213" s="27" customFormat="1" ht="21" customHeight="1">
      <c r="A24" s="101"/>
      <c r="B24" s="51"/>
      <c r="C24" s="51">
        <v>4110</v>
      </c>
      <c r="D24" s="14" t="s">
        <v>86</v>
      </c>
      <c r="E24" s="75">
        <f>24700+50000</f>
        <v>74700</v>
      </c>
      <c r="F24" s="75"/>
      <c r="G24" s="75">
        <f t="shared" si="5"/>
        <v>74700</v>
      </c>
      <c r="H24" s="75"/>
      <c r="I24" s="75">
        <f t="shared" si="6"/>
        <v>74700</v>
      </c>
      <c r="J24" s="75">
        <v>2865</v>
      </c>
      <c r="K24" s="75">
        <f t="shared" si="7"/>
        <v>77565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</row>
    <row r="25" spans="1:213" s="27" customFormat="1" ht="21" customHeight="1">
      <c r="A25" s="101"/>
      <c r="B25" s="51"/>
      <c r="C25" s="51">
        <v>4120</v>
      </c>
      <c r="D25" s="14" t="s">
        <v>87</v>
      </c>
      <c r="E25" s="75">
        <v>4000</v>
      </c>
      <c r="F25" s="75"/>
      <c r="G25" s="75">
        <f t="shared" si="5"/>
        <v>4000</v>
      </c>
      <c r="H25" s="75"/>
      <c r="I25" s="75">
        <f t="shared" si="6"/>
        <v>4000</v>
      </c>
      <c r="J25" s="75">
        <v>-300</v>
      </c>
      <c r="K25" s="75">
        <f t="shared" si="7"/>
        <v>3700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</row>
    <row r="26" spans="1:213" s="27" customFormat="1" ht="22.5">
      <c r="A26" s="101"/>
      <c r="B26" s="51"/>
      <c r="C26" s="51">
        <v>4440</v>
      </c>
      <c r="D26" s="14" t="s">
        <v>88</v>
      </c>
      <c r="E26" s="75">
        <v>4875</v>
      </c>
      <c r="F26" s="75"/>
      <c r="G26" s="75">
        <f t="shared" si="5"/>
        <v>4875</v>
      </c>
      <c r="H26" s="75"/>
      <c r="I26" s="75">
        <f t="shared" si="6"/>
        <v>4875</v>
      </c>
      <c r="J26" s="75"/>
      <c r="K26" s="75">
        <f t="shared" si="7"/>
        <v>4875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</row>
    <row r="27" spans="1:213" s="27" customFormat="1" ht="70.5" customHeight="1">
      <c r="A27" s="77"/>
      <c r="B27" s="51">
        <v>85213</v>
      </c>
      <c r="C27" s="84"/>
      <c r="D27" s="81" t="s">
        <v>399</v>
      </c>
      <c r="E27" s="96">
        <f aca="true" t="shared" si="8" ref="E27:K27">SUM(E28)</f>
        <v>12000</v>
      </c>
      <c r="F27" s="96">
        <f t="shared" si="8"/>
        <v>-73</v>
      </c>
      <c r="G27" s="96">
        <f t="shared" si="8"/>
        <v>11927</v>
      </c>
      <c r="H27" s="96">
        <f t="shared" si="8"/>
        <v>0</v>
      </c>
      <c r="I27" s="96">
        <f t="shared" si="8"/>
        <v>11927</v>
      </c>
      <c r="J27" s="96">
        <f t="shared" si="8"/>
        <v>0</v>
      </c>
      <c r="K27" s="96">
        <f t="shared" si="8"/>
        <v>11927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</row>
    <row r="28" spans="1:213" s="27" customFormat="1" ht="21" customHeight="1">
      <c r="A28" s="77"/>
      <c r="B28" s="51"/>
      <c r="C28" s="84">
        <v>4130</v>
      </c>
      <c r="D28" s="81" t="s">
        <v>120</v>
      </c>
      <c r="E28" s="96">
        <v>12000</v>
      </c>
      <c r="F28" s="96">
        <v>-73</v>
      </c>
      <c r="G28" s="96">
        <f>SUM(E28:F28)</f>
        <v>11927</v>
      </c>
      <c r="H28" s="96"/>
      <c r="I28" s="96">
        <f>SUM(G28:H28)</f>
        <v>11927</v>
      </c>
      <c r="J28" s="96"/>
      <c r="K28" s="96">
        <f>SUM(I28:J28)</f>
        <v>11927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</row>
    <row r="29" spans="1:213" s="27" customFormat="1" ht="21" customHeight="1">
      <c r="A29" s="77"/>
      <c r="B29" s="51">
        <v>85219</v>
      </c>
      <c r="C29" s="51"/>
      <c r="D29" s="41" t="s">
        <v>58</v>
      </c>
      <c r="E29" s="96"/>
      <c r="F29" s="96"/>
      <c r="G29" s="96">
        <f>SUM(G30)</f>
        <v>0</v>
      </c>
      <c r="H29" s="96">
        <f>SUM(H30)</f>
        <v>5500</v>
      </c>
      <c r="I29" s="96">
        <f>SUM(I30)</f>
        <v>5500</v>
      </c>
      <c r="J29" s="96">
        <f>SUM(J30)</f>
        <v>0</v>
      </c>
      <c r="K29" s="96">
        <f>SUM(K30)</f>
        <v>5500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</row>
    <row r="30" spans="1:213" s="27" customFormat="1" ht="21" customHeight="1">
      <c r="A30" s="77"/>
      <c r="B30" s="264"/>
      <c r="C30" s="51">
        <v>3110</v>
      </c>
      <c r="D30" s="81" t="s">
        <v>112</v>
      </c>
      <c r="E30" s="96"/>
      <c r="F30" s="96"/>
      <c r="G30" s="96">
        <v>0</v>
      </c>
      <c r="H30" s="96">
        <v>5500</v>
      </c>
      <c r="I30" s="96">
        <f>SUM(G30:H30)</f>
        <v>5500</v>
      </c>
      <c r="J30" s="96"/>
      <c r="K30" s="96">
        <f>SUM(I30:J30)</f>
        <v>5500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</row>
    <row r="31" spans="1:213" ht="21" customHeight="1">
      <c r="A31" s="10"/>
      <c r="B31" s="10"/>
      <c r="C31" s="10"/>
      <c r="D31" s="18" t="s">
        <v>68</v>
      </c>
      <c r="E31" s="45">
        <f aca="true" t="shared" si="9" ref="E31:K31">SUM(E19,E14,E7,)</f>
        <v>6723852</v>
      </c>
      <c r="F31" s="45">
        <f t="shared" si="9"/>
        <v>-73</v>
      </c>
      <c r="G31" s="45">
        <f t="shared" si="9"/>
        <v>6723779</v>
      </c>
      <c r="H31" s="45">
        <f t="shared" si="9"/>
        <v>5500</v>
      </c>
      <c r="I31" s="45">
        <f t="shared" si="9"/>
        <v>6729279</v>
      </c>
      <c r="J31" s="45">
        <f t="shared" si="9"/>
        <v>0</v>
      </c>
      <c r="K31" s="45">
        <f t="shared" si="9"/>
        <v>6729279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</row>
    <row r="33" spans="5:11" ht="12.75">
      <c r="E33" s="27"/>
      <c r="F33" s="27"/>
      <c r="G33" s="27"/>
      <c r="H33" s="27"/>
      <c r="I33" s="27"/>
      <c r="J33" s="27"/>
      <c r="K33" s="27"/>
    </row>
    <row r="34" spans="5:11" ht="12.75">
      <c r="E34" s="123"/>
      <c r="F34" s="123"/>
      <c r="G34" s="123"/>
      <c r="H34" s="123"/>
      <c r="I34" s="123"/>
      <c r="J34" s="123"/>
      <c r="K34" s="123"/>
    </row>
    <row r="35" spans="5:11" ht="12.75">
      <c r="E35" s="27"/>
      <c r="F35" s="27"/>
      <c r="G35" s="27"/>
      <c r="H35" s="27"/>
      <c r="I35" s="27"/>
      <c r="J35" s="27"/>
      <c r="K35" s="27"/>
    </row>
    <row r="36" spans="5:11" ht="12.75">
      <c r="E36" s="123"/>
      <c r="F36" s="123"/>
      <c r="G36" s="123"/>
      <c r="H36" s="123"/>
      <c r="I36" s="123"/>
      <c r="J36" s="123"/>
      <c r="K36" s="123"/>
    </row>
    <row r="37" spans="5:11" ht="12.75">
      <c r="E37" s="27"/>
      <c r="F37" s="27"/>
      <c r="G37" s="27"/>
      <c r="H37" s="27"/>
      <c r="I37" s="27"/>
      <c r="J37" s="27"/>
      <c r="K37" s="27"/>
    </row>
    <row r="38" spans="5:11" ht="12.75">
      <c r="E38" s="27"/>
      <c r="F38" s="27"/>
      <c r="G38" s="27"/>
      <c r="H38" s="27"/>
      <c r="I38" s="27"/>
      <c r="J38" s="27"/>
      <c r="K38" s="27"/>
    </row>
    <row r="39" spans="5:11" ht="12.75">
      <c r="E39" s="123"/>
      <c r="F39" s="123"/>
      <c r="G39" s="123"/>
      <c r="H39" s="123"/>
      <c r="I39" s="123"/>
      <c r="J39" s="123"/>
      <c r="K39" s="123"/>
    </row>
    <row r="40" spans="5:11" ht="12.75">
      <c r="E40" s="123"/>
      <c r="F40" s="123"/>
      <c r="G40" s="123"/>
      <c r="H40" s="123"/>
      <c r="I40" s="123"/>
      <c r="J40" s="123"/>
      <c r="K40" s="123"/>
    </row>
    <row r="41" spans="5:11" ht="12.75">
      <c r="E41" s="27"/>
      <c r="F41" s="27"/>
      <c r="G41" s="27"/>
      <c r="H41" s="27"/>
      <c r="I41" s="27"/>
      <c r="J41" s="27"/>
      <c r="K41" s="27"/>
    </row>
    <row r="42" spans="5:11" ht="12.75">
      <c r="E42" s="27"/>
      <c r="F42" s="27"/>
      <c r="G42" s="27"/>
      <c r="H42" s="27"/>
      <c r="I42" s="27"/>
      <c r="J42" s="27"/>
      <c r="K42" s="27"/>
    </row>
    <row r="43" spans="5:11" ht="12.75">
      <c r="E43" s="123"/>
      <c r="F43" s="123"/>
      <c r="G43" s="123"/>
      <c r="H43" s="123"/>
      <c r="I43" s="123"/>
      <c r="J43" s="123"/>
      <c r="K43" s="123"/>
    </row>
    <row r="44" spans="5:11" ht="12.75">
      <c r="E44" s="27"/>
      <c r="F44" s="27"/>
      <c r="G44" s="27"/>
      <c r="H44" s="27"/>
      <c r="I44" s="27"/>
      <c r="J44" s="27"/>
      <c r="K44" s="27"/>
    </row>
    <row r="45" spans="5:11" ht="12.75">
      <c r="E45" s="27"/>
      <c r="F45" s="27"/>
      <c r="G45" s="27"/>
      <c r="H45" s="27"/>
      <c r="I45" s="27"/>
      <c r="J45" s="27"/>
      <c r="K45" s="27"/>
    </row>
    <row r="46" spans="5:11" ht="12.75">
      <c r="E46" s="27"/>
      <c r="F46" s="27"/>
      <c r="G46" s="27"/>
      <c r="H46" s="27"/>
      <c r="I46" s="27"/>
      <c r="J46" s="27"/>
      <c r="K46" s="27"/>
    </row>
    <row r="47" spans="5:11" ht="12.75">
      <c r="E47" s="27"/>
      <c r="F47" s="27"/>
      <c r="G47" s="27"/>
      <c r="H47" s="27"/>
      <c r="I47" s="27"/>
      <c r="J47" s="27"/>
      <c r="K47" s="27"/>
    </row>
    <row r="48" spans="5:11" ht="12.75">
      <c r="E48" s="27"/>
      <c r="F48" s="27"/>
      <c r="G48" s="27"/>
      <c r="H48" s="27"/>
      <c r="I48" s="27"/>
      <c r="J48" s="27"/>
      <c r="K48" s="27"/>
    </row>
  </sheetData>
  <sheetProtection/>
  <mergeCells count="1">
    <mergeCell ref="A5:I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86">
      <selection activeCell="L11" sqref="L11"/>
    </sheetView>
  </sheetViews>
  <sheetFormatPr defaultColWidth="9.00390625" defaultRowHeight="12.75"/>
  <cols>
    <col min="1" max="1" width="5.00390625" style="8" customWidth="1"/>
    <col min="2" max="2" width="7.25390625" style="8" bestFit="1" customWidth="1"/>
    <col min="3" max="3" width="4.375" style="8" bestFit="1" customWidth="1"/>
    <col min="4" max="4" width="37.875" style="8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14.2539062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13.00390625" style="0" customWidth="1"/>
    <col min="13" max="13" width="14.625" style="0" customWidth="1"/>
    <col min="14" max="14" width="13.00390625" style="0" customWidth="1"/>
  </cols>
  <sheetData>
    <row r="1" spans="5:14" ht="12.75">
      <c r="E1" s="61"/>
      <c r="F1" s="61"/>
      <c r="G1" s="61"/>
      <c r="H1" s="61" t="s">
        <v>470</v>
      </c>
      <c r="I1" s="61"/>
      <c r="J1" s="61" t="s">
        <v>509</v>
      </c>
      <c r="K1" s="61"/>
      <c r="L1" s="61" t="s">
        <v>524</v>
      </c>
      <c r="M1" s="61"/>
      <c r="N1" s="61"/>
    </row>
    <row r="2" spans="5:14" ht="12.75">
      <c r="E2" s="61"/>
      <c r="F2" s="61"/>
      <c r="G2" s="61"/>
      <c r="H2" s="61" t="s">
        <v>469</v>
      </c>
      <c r="I2" s="61"/>
      <c r="J2" s="61" t="s">
        <v>508</v>
      </c>
      <c r="K2" s="61"/>
      <c r="L2" s="61" t="s">
        <v>521</v>
      </c>
      <c r="M2" s="61"/>
      <c r="N2" s="61"/>
    </row>
    <row r="3" spans="5:14" ht="12.75">
      <c r="E3" s="61"/>
      <c r="F3" s="61"/>
      <c r="G3" s="61"/>
      <c r="H3" s="61" t="s">
        <v>410</v>
      </c>
      <c r="I3" s="61"/>
      <c r="J3" s="61" t="s">
        <v>470</v>
      </c>
      <c r="K3" s="61"/>
      <c r="L3" s="61" t="s">
        <v>509</v>
      </c>
      <c r="M3" s="61"/>
      <c r="N3" s="61"/>
    </row>
    <row r="4" spans="5:14" ht="12.75">
      <c r="E4" s="61"/>
      <c r="F4" s="61"/>
      <c r="G4" s="61"/>
      <c r="H4" s="61" t="s">
        <v>409</v>
      </c>
      <c r="I4" s="61"/>
      <c r="J4" s="61" t="s">
        <v>486</v>
      </c>
      <c r="K4" s="61"/>
      <c r="L4" s="61" t="s">
        <v>513</v>
      </c>
      <c r="M4" s="61"/>
      <c r="N4" s="61"/>
    </row>
    <row r="5" spans="1:4" ht="17.25" customHeight="1">
      <c r="A5" s="360" t="s">
        <v>338</v>
      </c>
      <c r="B5" s="360"/>
      <c r="C5" s="360"/>
      <c r="D5" s="360"/>
    </row>
    <row r="6" spans="1:14" s="8" customFormat="1" ht="24" customHeight="1">
      <c r="A6" s="6" t="s">
        <v>0</v>
      </c>
      <c r="B6" s="5" t="s">
        <v>1</v>
      </c>
      <c r="C6" s="23" t="s">
        <v>2</v>
      </c>
      <c r="D6" s="5" t="s">
        <v>3</v>
      </c>
      <c r="E6" s="109" t="s">
        <v>142</v>
      </c>
      <c r="F6" s="109" t="s">
        <v>196</v>
      </c>
      <c r="G6" s="109" t="s">
        <v>195</v>
      </c>
      <c r="H6" s="109" t="s">
        <v>142</v>
      </c>
      <c r="I6" s="109" t="s">
        <v>372</v>
      </c>
      <c r="J6" s="109" t="s">
        <v>143</v>
      </c>
      <c r="K6" s="109" t="s">
        <v>372</v>
      </c>
      <c r="L6" s="109" t="s">
        <v>143</v>
      </c>
      <c r="M6" s="109" t="s">
        <v>372</v>
      </c>
      <c r="N6" s="109" t="s">
        <v>385</v>
      </c>
    </row>
    <row r="7" spans="1:14" s="8" customFormat="1" ht="24" customHeight="1" hidden="1">
      <c r="A7" s="105" t="s">
        <v>4</v>
      </c>
      <c r="B7" s="5"/>
      <c r="C7" s="23"/>
      <c r="D7" s="39" t="s">
        <v>5</v>
      </c>
      <c r="E7" s="109"/>
      <c r="F7" s="109"/>
      <c r="G7" s="109"/>
      <c r="H7" s="109"/>
      <c r="I7" s="109"/>
      <c r="J7" s="308">
        <f>SUM(J8)</f>
        <v>0</v>
      </c>
      <c r="K7" s="308">
        <f aca="true" t="shared" si="0" ref="K7:N9">SUM(K8)</f>
        <v>0</v>
      </c>
      <c r="L7" s="308">
        <f t="shared" si="0"/>
        <v>0</v>
      </c>
      <c r="M7" s="308">
        <f t="shared" si="0"/>
        <v>0</v>
      </c>
      <c r="N7" s="308">
        <f t="shared" si="0"/>
        <v>0</v>
      </c>
    </row>
    <row r="8" spans="1:14" s="147" customFormat="1" ht="24" customHeight="1" hidden="1">
      <c r="A8" s="305"/>
      <c r="B8" s="306" t="s">
        <v>317</v>
      </c>
      <c r="C8" s="165"/>
      <c r="D8" s="41" t="s">
        <v>334</v>
      </c>
      <c r="E8" s="180"/>
      <c r="F8" s="180"/>
      <c r="G8" s="180"/>
      <c r="H8" s="180"/>
      <c r="I8" s="180"/>
      <c r="J8" s="307">
        <f>SUM(J9)</f>
        <v>0</v>
      </c>
      <c r="K8" s="307">
        <f t="shared" si="0"/>
        <v>0</v>
      </c>
      <c r="L8" s="307">
        <f t="shared" si="0"/>
        <v>0</v>
      </c>
      <c r="M8" s="307">
        <f t="shared" si="0"/>
        <v>0</v>
      </c>
      <c r="N8" s="307">
        <f t="shared" si="0"/>
        <v>0</v>
      </c>
    </row>
    <row r="9" spans="1:14" s="147" customFormat="1" ht="24" customHeight="1" hidden="1">
      <c r="A9" s="305"/>
      <c r="B9" s="155"/>
      <c r="C9" s="165">
        <v>6050</v>
      </c>
      <c r="D9" s="14" t="s">
        <v>73</v>
      </c>
      <c r="E9" s="180"/>
      <c r="F9" s="180"/>
      <c r="G9" s="180"/>
      <c r="H9" s="180"/>
      <c r="I9" s="180"/>
      <c r="J9" s="307">
        <f>SUM(J10)</f>
        <v>0</v>
      </c>
      <c r="K9" s="307">
        <f t="shared" si="0"/>
        <v>0</v>
      </c>
      <c r="L9" s="307">
        <f t="shared" si="0"/>
        <v>0</v>
      </c>
      <c r="M9" s="307">
        <f t="shared" si="0"/>
        <v>0</v>
      </c>
      <c r="N9" s="307">
        <f t="shared" si="0"/>
        <v>0</v>
      </c>
    </row>
    <row r="10" spans="1:14" s="169" customFormat="1" ht="24" customHeight="1" hidden="1">
      <c r="A10" s="230"/>
      <c r="B10" s="167"/>
      <c r="C10" s="168"/>
      <c r="D10" s="153" t="s">
        <v>505</v>
      </c>
      <c r="E10" s="309"/>
      <c r="F10" s="309"/>
      <c r="G10" s="309"/>
      <c r="H10" s="309"/>
      <c r="I10" s="309"/>
      <c r="J10" s="310">
        <v>0</v>
      </c>
      <c r="K10" s="310"/>
      <c r="L10" s="310">
        <f>SUM(J10:K10)</f>
        <v>0</v>
      </c>
      <c r="M10" s="310"/>
      <c r="N10" s="310">
        <f>SUM(L10:M10)</f>
        <v>0</v>
      </c>
    </row>
    <row r="11" spans="1:14" s="7" customFormat="1" ht="21" customHeight="1">
      <c r="A11" s="32" t="s">
        <v>74</v>
      </c>
      <c r="B11" s="5"/>
      <c r="C11" s="23"/>
      <c r="D11" s="21" t="s">
        <v>75</v>
      </c>
      <c r="E11" s="43">
        <f>E17</f>
        <v>469300</v>
      </c>
      <c r="F11" s="43">
        <f>F17</f>
        <v>-100000</v>
      </c>
      <c r="G11" s="43">
        <f>G17</f>
        <v>1540000</v>
      </c>
      <c r="H11" s="43">
        <f>SUM(E11:G11)</f>
        <v>1909300</v>
      </c>
      <c r="I11" s="43">
        <f>SUM(I17,I12)</f>
        <v>100000</v>
      </c>
      <c r="J11" s="43">
        <f>SUM(H11:I11)</f>
        <v>2009300</v>
      </c>
      <c r="K11" s="43">
        <f>SUM(K17,K12)</f>
        <v>127220</v>
      </c>
      <c r="L11" s="43">
        <f>SUM(J11:K11)</f>
        <v>2136520</v>
      </c>
      <c r="M11" s="43">
        <f>SUM(M17,M12)</f>
        <v>0</v>
      </c>
      <c r="N11" s="43">
        <f>SUM(L11:M11)</f>
        <v>2136520</v>
      </c>
    </row>
    <row r="12" spans="1:14" s="147" customFormat="1" ht="21" customHeight="1">
      <c r="A12" s="148"/>
      <c r="B12" s="155">
        <v>60014</v>
      </c>
      <c r="C12" s="165"/>
      <c r="D12" s="157" t="s">
        <v>418</v>
      </c>
      <c r="E12" s="229"/>
      <c r="F12" s="229"/>
      <c r="G12" s="229"/>
      <c r="H12" s="229">
        <f aca="true" t="shared" si="1" ref="H12:N12">SUM(H13)</f>
        <v>0</v>
      </c>
      <c r="I12" s="229">
        <f t="shared" si="1"/>
        <v>100000</v>
      </c>
      <c r="J12" s="229">
        <f t="shared" si="1"/>
        <v>100000</v>
      </c>
      <c r="K12" s="229">
        <f t="shared" si="1"/>
        <v>127220</v>
      </c>
      <c r="L12" s="229">
        <f t="shared" si="1"/>
        <v>227220</v>
      </c>
      <c r="M12" s="229">
        <f t="shared" si="1"/>
        <v>0</v>
      </c>
      <c r="N12" s="229">
        <f t="shared" si="1"/>
        <v>227220</v>
      </c>
    </row>
    <row r="13" spans="1:14" s="147" customFormat="1" ht="45">
      <c r="A13" s="148"/>
      <c r="B13" s="155"/>
      <c r="C13" s="165">
        <v>6300</v>
      </c>
      <c r="D13" s="157" t="s">
        <v>416</v>
      </c>
      <c r="E13" s="229"/>
      <c r="F13" s="229"/>
      <c r="G13" s="229"/>
      <c r="H13" s="229">
        <f>SUM(H15:H16)</f>
        <v>0</v>
      </c>
      <c r="I13" s="229">
        <f>SUM(I15:I16)</f>
        <v>100000</v>
      </c>
      <c r="J13" s="229">
        <f>SUM(J14:J16)</f>
        <v>100000</v>
      </c>
      <c r="K13" s="229">
        <f>SUM(K14:K16)</f>
        <v>127220</v>
      </c>
      <c r="L13" s="229">
        <f>SUM(L14:L16)</f>
        <v>227220</v>
      </c>
      <c r="M13" s="229">
        <f>SUM(M14:M16)</f>
        <v>0</v>
      </c>
      <c r="N13" s="229">
        <f>SUM(N14:N16)</f>
        <v>227220</v>
      </c>
    </row>
    <row r="14" spans="1:14" s="147" customFormat="1" ht="56.25">
      <c r="A14" s="148"/>
      <c r="B14" s="155"/>
      <c r="C14" s="165"/>
      <c r="D14" s="157" t="s">
        <v>504</v>
      </c>
      <c r="E14" s="229"/>
      <c r="F14" s="229"/>
      <c r="G14" s="229"/>
      <c r="H14" s="229"/>
      <c r="I14" s="229"/>
      <c r="J14" s="229">
        <v>0</v>
      </c>
      <c r="K14" s="229">
        <v>127220</v>
      </c>
      <c r="L14" s="231">
        <f aca="true" t="shared" si="2" ref="L14:L19">SUM(J14:K14)</f>
        <v>127220</v>
      </c>
      <c r="M14" s="229"/>
      <c r="N14" s="231">
        <f aca="true" t="shared" si="3" ref="N14:N19">SUM(L14:M14)</f>
        <v>127220</v>
      </c>
    </row>
    <row r="15" spans="1:14" s="169" customFormat="1" ht="56.25">
      <c r="A15" s="166"/>
      <c r="B15" s="167"/>
      <c r="C15" s="168"/>
      <c r="D15" s="153" t="s">
        <v>417</v>
      </c>
      <c r="E15" s="231"/>
      <c r="F15" s="231"/>
      <c r="G15" s="231"/>
      <c r="H15" s="231">
        <v>0</v>
      </c>
      <c r="I15" s="231">
        <v>75000</v>
      </c>
      <c r="J15" s="231">
        <f>SUM(H15:I15)</f>
        <v>75000</v>
      </c>
      <c r="K15" s="231"/>
      <c r="L15" s="231">
        <f t="shared" si="2"/>
        <v>75000</v>
      </c>
      <c r="M15" s="231"/>
      <c r="N15" s="231">
        <f t="shared" si="3"/>
        <v>75000</v>
      </c>
    </row>
    <row r="16" spans="1:14" s="169" customFormat="1" ht="56.25">
      <c r="A16" s="166"/>
      <c r="B16" s="167"/>
      <c r="C16" s="168"/>
      <c r="D16" s="153" t="s">
        <v>421</v>
      </c>
      <c r="E16" s="231"/>
      <c r="F16" s="231"/>
      <c r="G16" s="231"/>
      <c r="H16" s="231">
        <v>0</v>
      </c>
      <c r="I16" s="231">
        <v>25000</v>
      </c>
      <c r="J16" s="231">
        <f>SUM(H16:I16)</f>
        <v>25000</v>
      </c>
      <c r="K16" s="231"/>
      <c r="L16" s="231">
        <f t="shared" si="2"/>
        <v>25000</v>
      </c>
      <c r="M16" s="231"/>
      <c r="N16" s="231">
        <f t="shared" si="3"/>
        <v>25000</v>
      </c>
    </row>
    <row r="17" spans="1:14" s="27" customFormat="1" ht="21" customHeight="1">
      <c r="A17" s="76"/>
      <c r="B17" s="77" t="s">
        <v>76</v>
      </c>
      <c r="C17" s="84"/>
      <c r="D17" s="14" t="s">
        <v>77</v>
      </c>
      <c r="E17" s="58">
        <f>SUM(E18,)</f>
        <v>469300</v>
      </c>
      <c r="F17" s="58">
        <f>SUM(F18,)</f>
        <v>-100000</v>
      </c>
      <c r="G17" s="58">
        <f>SUM(G18,)</f>
        <v>1540000</v>
      </c>
      <c r="H17" s="229">
        <f aca="true" t="shared" si="4" ref="H17:H100">SUM(E17:G17)</f>
        <v>1909300</v>
      </c>
      <c r="I17" s="229">
        <f>SUM(I18)</f>
        <v>0</v>
      </c>
      <c r="J17" s="229">
        <f aca="true" t="shared" si="5" ref="J17:J81">SUM(H17:I17)</f>
        <v>1909300</v>
      </c>
      <c r="K17" s="229">
        <f>SUM(K18)</f>
        <v>0</v>
      </c>
      <c r="L17" s="229">
        <f t="shared" si="2"/>
        <v>1909300</v>
      </c>
      <c r="M17" s="229">
        <f>SUM(M18)</f>
        <v>0</v>
      </c>
      <c r="N17" s="229">
        <f t="shared" si="3"/>
        <v>1909300</v>
      </c>
    </row>
    <row r="18" spans="1:14" s="27" customFormat="1" ht="21" customHeight="1">
      <c r="A18" s="82"/>
      <c r="B18" s="51"/>
      <c r="C18" s="84">
        <v>6050</v>
      </c>
      <c r="D18" s="14" t="s">
        <v>73</v>
      </c>
      <c r="E18" s="58">
        <f>SUM(E19:E28)</f>
        <v>469300</v>
      </c>
      <c r="F18" s="58">
        <f>SUM(F19:F28)</f>
        <v>-100000</v>
      </c>
      <c r="G18" s="58">
        <f>SUM(G19:G28)</f>
        <v>1540000</v>
      </c>
      <c r="H18" s="229">
        <f t="shared" si="4"/>
        <v>1909300</v>
      </c>
      <c r="I18" s="229">
        <f>SUM(I19:I28)</f>
        <v>0</v>
      </c>
      <c r="J18" s="229">
        <f t="shared" si="5"/>
        <v>1909300</v>
      </c>
      <c r="K18" s="229">
        <f>SUM(K19:K28)</f>
        <v>0</v>
      </c>
      <c r="L18" s="229">
        <f t="shared" si="2"/>
        <v>1909300</v>
      </c>
      <c r="M18" s="229">
        <f>SUM(M19:M28)</f>
        <v>0</v>
      </c>
      <c r="N18" s="229">
        <f t="shared" si="3"/>
        <v>1909300</v>
      </c>
    </row>
    <row r="19" spans="1:14" s="169" customFormat="1" ht="29.25" customHeight="1">
      <c r="A19" s="230"/>
      <c r="B19" s="167"/>
      <c r="C19" s="168"/>
      <c r="D19" s="153" t="s">
        <v>403</v>
      </c>
      <c r="E19" s="170">
        <v>6300</v>
      </c>
      <c r="F19" s="170"/>
      <c r="G19" s="170"/>
      <c r="H19" s="231">
        <f t="shared" si="4"/>
        <v>6300</v>
      </c>
      <c r="I19" s="231"/>
      <c r="J19" s="231">
        <f>SUM(H19:I19)</f>
        <v>6300</v>
      </c>
      <c r="K19" s="231"/>
      <c r="L19" s="231">
        <f t="shared" si="2"/>
        <v>6300</v>
      </c>
      <c r="M19" s="231"/>
      <c r="N19" s="231">
        <f t="shared" si="3"/>
        <v>6300</v>
      </c>
    </row>
    <row r="20" spans="1:14" s="169" customFormat="1" ht="21" customHeight="1">
      <c r="A20" s="230"/>
      <c r="B20" s="167"/>
      <c r="C20" s="168"/>
      <c r="D20" s="153" t="s">
        <v>320</v>
      </c>
      <c r="E20" s="170">
        <v>13000</v>
      </c>
      <c r="F20" s="170"/>
      <c r="G20" s="170"/>
      <c r="H20" s="231">
        <f t="shared" si="4"/>
        <v>13000</v>
      </c>
      <c r="I20" s="231"/>
      <c r="J20" s="231">
        <f aca="true" t="shared" si="6" ref="J20:J28">SUM(H20:I20)</f>
        <v>13000</v>
      </c>
      <c r="K20" s="231"/>
      <c r="L20" s="231">
        <f aca="true" t="shared" si="7" ref="L20:L31">SUM(J20:K20)</f>
        <v>13000</v>
      </c>
      <c r="M20" s="231"/>
      <c r="N20" s="231">
        <f aca="true" t="shared" si="8" ref="N20:N31">SUM(L20:M20)</f>
        <v>13000</v>
      </c>
    </row>
    <row r="21" spans="1:14" s="169" customFormat="1" ht="21" customHeight="1">
      <c r="A21" s="230"/>
      <c r="B21" s="167"/>
      <c r="C21" s="168"/>
      <c r="D21" s="153" t="s">
        <v>360</v>
      </c>
      <c r="E21" s="170">
        <v>0</v>
      </c>
      <c r="F21" s="170"/>
      <c r="G21" s="234">
        <v>10000</v>
      </c>
      <c r="H21" s="231">
        <f t="shared" si="4"/>
        <v>10000</v>
      </c>
      <c r="I21" s="231"/>
      <c r="J21" s="231">
        <f t="shared" si="6"/>
        <v>10000</v>
      </c>
      <c r="K21" s="231"/>
      <c r="L21" s="231">
        <f t="shared" si="7"/>
        <v>10000</v>
      </c>
      <c r="M21" s="231"/>
      <c r="N21" s="231">
        <f t="shared" si="8"/>
        <v>10000</v>
      </c>
    </row>
    <row r="22" spans="1:14" s="169" customFormat="1" ht="25.5" customHeight="1">
      <c r="A22" s="230"/>
      <c r="B22" s="167"/>
      <c r="C22" s="168"/>
      <c r="D22" s="153" t="s">
        <v>321</v>
      </c>
      <c r="E22" s="170">
        <v>250000</v>
      </c>
      <c r="F22" s="170"/>
      <c r="G22" s="170"/>
      <c r="H22" s="231">
        <f t="shared" si="4"/>
        <v>250000</v>
      </c>
      <c r="I22" s="231"/>
      <c r="J22" s="231">
        <f t="shared" si="6"/>
        <v>250000</v>
      </c>
      <c r="K22" s="231"/>
      <c r="L22" s="231">
        <f t="shared" si="7"/>
        <v>250000</v>
      </c>
      <c r="M22" s="231"/>
      <c r="N22" s="231">
        <f t="shared" si="8"/>
        <v>250000</v>
      </c>
    </row>
    <row r="23" spans="1:14" s="169" customFormat="1" ht="45">
      <c r="A23" s="230"/>
      <c r="B23" s="167"/>
      <c r="C23" s="168"/>
      <c r="D23" s="153" t="s">
        <v>402</v>
      </c>
      <c r="E23" s="170">
        <v>0</v>
      </c>
      <c r="F23" s="170"/>
      <c r="G23" s="234">
        <v>500000</v>
      </c>
      <c r="H23" s="231">
        <f t="shared" si="4"/>
        <v>500000</v>
      </c>
      <c r="I23" s="231"/>
      <c r="J23" s="231">
        <f t="shared" si="6"/>
        <v>500000</v>
      </c>
      <c r="K23" s="231"/>
      <c r="L23" s="231">
        <f t="shared" si="7"/>
        <v>500000</v>
      </c>
      <c r="M23" s="231"/>
      <c r="N23" s="231">
        <f t="shared" si="8"/>
        <v>500000</v>
      </c>
    </row>
    <row r="24" spans="1:14" s="169" customFormat="1" ht="22.5">
      <c r="A24" s="230"/>
      <c r="B24" s="167"/>
      <c r="C24" s="168"/>
      <c r="D24" s="153" t="s">
        <v>362</v>
      </c>
      <c r="E24" s="170">
        <v>0</v>
      </c>
      <c r="F24" s="170"/>
      <c r="G24" s="234">
        <v>30000</v>
      </c>
      <c r="H24" s="231">
        <f t="shared" si="4"/>
        <v>30000</v>
      </c>
      <c r="I24" s="231"/>
      <c r="J24" s="231">
        <f t="shared" si="6"/>
        <v>30000</v>
      </c>
      <c r="K24" s="231"/>
      <c r="L24" s="231">
        <f t="shared" si="7"/>
        <v>30000</v>
      </c>
      <c r="M24" s="231"/>
      <c r="N24" s="231">
        <f t="shared" si="8"/>
        <v>30000</v>
      </c>
    </row>
    <row r="25" spans="1:14" s="169" customFormat="1" ht="45">
      <c r="A25" s="230"/>
      <c r="B25" s="167"/>
      <c r="C25" s="168"/>
      <c r="D25" s="153" t="s">
        <v>355</v>
      </c>
      <c r="E25" s="170">
        <v>0</v>
      </c>
      <c r="F25" s="170"/>
      <c r="G25" s="234">
        <v>500000</v>
      </c>
      <c r="H25" s="231">
        <f t="shared" si="4"/>
        <v>500000</v>
      </c>
      <c r="I25" s="231"/>
      <c r="J25" s="231">
        <f t="shared" si="6"/>
        <v>500000</v>
      </c>
      <c r="K25" s="231"/>
      <c r="L25" s="231">
        <f t="shared" si="7"/>
        <v>500000</v>
      </c>
      <c r="M25" s="231"/>
      <c r="N25" s="231">
        <f t="shared" si="8"/>
        <v>500000</v>
      </c>
    </row>
    <row r="26" spans="1:14" s="169" customFormat="1" ht="21" customHeight="1">
      <c r="A26" s="230"/>
      <c r="B26" s="167"/>
      <c r="C26" s="168"/>
      <c r="D26" s="153" t="s">
        <v>356</v>
      </c>
      <c r="E26" s="170">
        <v>0</v>
      </c>
      <c r="F26" s="170"/>
      <c r="G26" s="234">
        <v>500000</v>
      </c>
      <c r="H26" s="231">
        <f t="shared" si="4"/>
        <v>500000</v>
      </c>
      <c r="I26" s="231"/>
      <c r="J26" s="231">
        <f t="shared" si="6"/>
        <v>500000</v>
      </c>
      <c r="K26" s="231"/>
      <c r="L26" s="231">
        <f t="shared" si="7"/>
        <v>500000</v>
      </c>
      <c r="M26" s="231"/>
      <c r="N26" s="231">
        <f t="shared" si="8"/>
        <v>500000</v>
      </c>
    </row>
    <row r="27" spans="1:14" s="169" customFormat="1" ht="22.5">
      <c r="A27" s="230"/>
      <c r="B27" s="167"/>
      <c r="C27" s="168"/>
      <c r="D27" s="153" t="s">
        <v>322</v>
      </c>
      <c r="E27" s="170">
        <v>100000</v>
      </c>
      <c r="F27" s="170"/>
      <c r="G27" s="170"/>
      <c r="H27" s="231">
        <f t="shared" si="4"/>
        <v>100000</v>
      </c>
      <c r="I27" s="231"/>
      <c r="J27" s="231">
        <f t="shared" si="6"/>
        <v>100000</v>
      </c>
      <c r="K27" s="231"/>
      <c r="L27" s="231">
        <f t="shared" si="7"/>
        <v>100000</v>
      </c>
      <c r="M27" s="231"/>
      <c r="N27" s="231">
        <f t="shared" si="8"/>
        <v>100000</v>
      </c>
    </row>
    <row r="28" spans="1:14" s="169" customFormat="1" ht="24" customHeight="1">
      <c r="A28" s="230"/>
      <c r="B28" s="167"/>
      <c r="C28" s="168"/>
      <c r="D28" s="153" t="s">
        <v>323</v>
      </c>
      <c r="E28" s="170">
        <v>100000</v>
      </c>
      <c r="F28" s="234">
        <v>-100000</v>
      </c>
      <c r="G28" s="170"/>
      <c r="H28" s="231">
        <f t="shared" si="4"/>
        <v>0</v>
      </c>
      <c r="I28" s="231"/>
      <c r="J28" s="231">
        <f t="shared" si="6"/>
        <v>0</v>
      </c>
      <c r="K28" s="231"/>
      <c r="L28" s="231">
        <f t="shared" si="7"/>
        <v>0</v>
      </c>
      <c r="M28" s="231"/>
      <c r="N28" s="231">
        <f t="shared" si="8"/>
        <v>0</v>
      </c>
    </row>
    <row r="29" spans="1:14" s="11" customFormat="1" ht="21" customHeight="1">
      <c r="A29" s="32" t="s">
        <v>8</v>
      </c>
      <c r="B29" s="5"/>
      <c r="C29" s="23"/>
      <c r="D29" s="21" t="s">
        <v>9</v>
      </c>
      <c r="E29" s="19">
        <f aca="true" t="shared" si="9" ref="E29:G30">SUM(E30)</f>
        <v>500000</v>
      </c>
      <c r="F29" s="19">
        <f t="shared" si="9"/>
        <v>-200000</v>
      </c>
      <c r="G29" s="19">
        <f t="shared" si="9"/>
        <v>0</v>
      </c>
      <c r="H29" s="43">
        <f t="shared" si="4"/>
        <v>300000</v>
      </c>
      <c r="I29" s="43">
        <f>SUM(I30)</f>
        <v>0</v>
      </c>
      <c r="J29" s="43">
        <f t="shared" si="5"/>
        <v>300000</v>
      </c>
      <c r="K29" s="43">
        <f>SUM(K30)</f>
        <v>0</v>
      </c>
      <c r="L29" s="43">
        <f t="shared" si="7"/>
        <v>300000</v>
      </c>
      <c r="M29" s="43">
        <f>SUM(M30)</f>
        <v>0</v>
      </c>
      <c r="N29" s="43">
        <f t="shared" si="8"/>
        <v>300000</v>
      </c>
    </row>
    <row r="30" spans="1:14" s="27" customFormat="1" ht="21" customHeight="1">
      <c r="A30" s="76"/>
      <c r="B30" s="77">
        <v>70095</v>
      </c>
      <c r="C30" s="84"/>
      <c r="D30" s="14" t="s">
        <v>6</v>
      </c>
      <c r="E30" s="89">
        <f t="shared" si="9"/>
        <v>500000</v>
      </c>
      <c r="F30" s="89">
        <f t="shared" si="9"/>
        <v>-200000</v>
      </c>
      <c r="G30" s="89">
        <f t="shared" si="9"/>
        <v>0</v>
      </c>
      <c r="H30" s="229">
        <f t="shared" si="4"/>
        <v>300000</v>
      </c>
      <c r="I30" s="229">
        <f>SUM(I31)</f>
        <v>0</v>
      </c>
      <c r="J30" s="229">
        <f t="shared" si="5"/>
        <v>300000</v>
      </c>
      <c r="K30" s="229">
        <f>SUM(K31)</f>
        <v>0</v>
      </c>
      <c r="L30" s="229">
        <f t="shared" si="7"/>
        <v>300000</v>
      </c>
      <c r="M30" s="229">
        <f>SUM(M31)</f>
        <v>0</v>
      </c>
      <c r="N30" s="229">
        <f t="shared" si="8"/>
        <v>300000</v>
      </c>
    </row>
    <row r="31" spans="1:14" s="27" customFormat="1" ht="21" customHeight="1">
      <c r="A31" s="76"/>
      <c r="B31" s="77"/>
      <c r="C31" s="78">
        <v>6050</v>
      </c>
      <c r="D31" s="14" t="s">
        <v>73</v>
      </c>
      <c r="E31" s="89">
        <f>SUM(E32:E32)</f>
        <v>500000</v>
      </c>
      <c r="F31" s="89">
        <f>SUM(F32:F32)</f>
        <v>-200000</v>
      </c>
      <c r="G31" s="89">
        <f>SUM(G32:G32)</f>
        <v>0</v>
      </c>
      <c r="H31" s="229">
        <f t="shared" si="4"/>
        <v>300000</v>
      </c>
      <c r="I31" s="229">
        <f>SUM(I32)</f>
        <v>0</v>
      </c>
      <c r="J31" s="229">
        <f t="shared" si="5"/>
        <v>300000</v>
      </c>
      <c r="K31" s="229">
        <f>SUM(K32)</f>
        <v>0</v>
      </c>
      <c r="L31" s="229">
        <f t="shared" si="7"/>
        <v>300000</v>
      </c>
      <c r="M31" s="229">
        <f>SUM(M32)</f>
        <v>0</v>
      </c>
      <c r="N31" s="229">
        <f t="shared" si="8"/>
        <v>300000</v>
      </c>
    </row>
    <row r="32" spans="1:14" s="27" customFormat="1" ht="21" customHeight="1">
      <c r="A32" s="47"/>
      <c r="B32" s="46"/>
      <c r="C32" s="48"/>
      <c r="D32" s="49" t="s">
        <v>324</v>
      </c>
      <c r="E32" s="99">
        <v>500000</v>
      </c>
      <c r="F32" s="239">
        <v>-200000</v>
      </c>
      <c r="G32" s="99"/>
      <c r="H32" s="231">
        <f t="shared" si="4"/>
        <v>300000</v>
      </c>
      <c r="I32" s="229"/>
      <c r="J32" s="231">
        <f>SUM(H32:I32)</f>
        <v>300000</v>
      </c>
      <c r="K32" s="229"/>
      <c r="L32" s="231">
        <f>SUM(J32:K32)</f>
        <v>300000</v>
      </c>
      <c r="M32" s="229"/>
      <c r="N32" s="231">
        <f aca="true" t="shared" si="10" ref="N32:N48">SUM(L32:M32)</f>
        <v>300000</v>
      </c>
    </row>
    <row r="33" spans="1:14" s="194" customFormat="1" ht="21" customHeight="1">
      <c r="A33" s="203">
        <v>710</v>
      </c>
      <c r="B33" s="204"/>
      <c r="C33" s="205"/>
      <c r="D33" s="39" t="s">
        <v>80</v>
      </c>
      <c r="E33" s="193">
        <f aca="true" t="shared" si="11" ref="E33:G35">SUM(E34)</f>
        <v>0</v>
      </c>
      <c r="F33" s="193">
        <f t="shared" si="11"/>
        <v>0</v>
      </c>
      <c r="G33" s="193">
        <f t="shared" si="11"/>
        <v>20000</v>
      </c>
      <c r="H33" s="235">
        <f t="shared" si="4"/>
        <v>20000</v>
      </c>
      <c r="I33" s="235">
        <f>SUM(I34)</f>
        <v>0</v>
      </c>
      <c r="J33" s="43">
        <f t="shared" si="5"/>
        <v>20000</v>
      </c>
      <c r="K33" s="235">
        <f>SUM(K34)</f>
        <v>0</v>
      </c>
      <c r="L33" s="43">
        <f aca="true" t="shared" si="12" ref="L33:L97">SUM(J33:K33)</f>
        <v>20000</v>
      </c>
      <c r="M33" s="235">
        <f>SUM(M34)</f>
        <v>0</v>
      </c>
      <c r="N33" s="43">
        <f t="shared" si="10"/>
        <v>20000</v>
      </c>
    </row>
    <row r="34" spans="1:14" s="147" customFormat="1" ht="21" customHeight="1">
      <c r="A34" s="148"/>
      <c r="B34" s="155">
        <v>71035</v>
      </c>
      <c r="C34" s="156"/>
      <c r="D34" s="41" t="s">
        <v>14</v>
      </c>
      <c r="E34" s="192">
        <f t="shared" si="11"/>
        <v>0</v>
      </c>
      <c r="F34" s="192">
        <f t="shared" si="11"/>
        <v>0</v>
      </c>
      <c r="G34" s="192">
        <f t="shared" si="11"/>
        <v>20000</v>
      </c>
      <c r="H34" s="229">
        <f t="shared" si="4"/>
        <v>20000</v>
      </c>
      <c r="I34" s="229">
        <f>SUM(I35)</f>
        <v>0</v>
      </c>
      <c r="J34" s="229">
        <f t="shared" si="5"/>
        <v>20000</v>
      </c>
      <c r="K34" s="229">
        <f>SUM(K35)</f>
        <v>0</v>
      </c>
      <c r="L34" s="229">
        <f t="shared" si="12"/>
        <v>20000</v>
      </c>
      <c r="M34" s="229">
        <f>SUM(M35)</f>
        <v>0</v>
      </c>
      <c r="N34" s="229">
        <f t="shared" si="10"/>
        <v>20000</v>
      </c>
    </row>
    <row r="35" spans="1:14" s="147" customFormat="1" ht="21" customHeight="1">
      <c r="A35" s="148"/>
      <c r="B35" s="155"/>
      <c r="C35" s="156">
        <v>6050</v>
      </c>
      <c r="D35" s="14" t="s">
        <v>73</v>
      </c>
      <c r="E35" s="192">
        <f t="shared" si="11"/>
        <v>0</v>
      </c>
      <c r="F35" s="192">
        <f t="shared" si="11"/>
        <v>0</v>
      </c>
      <c r="G35" s="192">
        <f t="shared" si="11"/>
        <v>20000</v>
      </c>
      <c r="H35" s="229">
        <f t="shared" si="4"/>
        <v>20000</v>
      </c>
      <c r="I35" s="229">
        <f>SUM(I36)</f>
        <v>0</v>
      </c>
      <c r="J35" s="229">
        <f t="shared" si="5"/>
        <v>20000</v>
      </c>
      <c r="K35" s="229">
        <f>SUM(K36)</f>
        <v>0</v>
      </c>
      <c r="L35" s="229">
        <f t="shared" si="12"/>
        <v>20000</v>
      </c>
      <c r="M35" s="229">
        <f>SUM(M36)</f>
        <v>0</v>
      </c>
      <c r="N35" s="229">
        <f t="shared" si="10"/>
        <v>20000</v>
      </c>
    </row>
    <row r="36" spans="1:14" s="27" customFormat="1" ht="22.5" customHeight="1">
      <c r="A36" s="47"/>
      <c r="B36" s="46"/>
      <c r="C36" s="48"/>
      <c r="D36" s="49" t="s">
        <v>368</v>
      </c>
      <c r="E36" s="99">
        <v>0</v>
      </c>
      <c r="F36" s="99">
        <v>0</v>
      </c>
      <c r="G36" s="239">
        <v>20000</v>
      </c>
      <c r="H36" s="231">
        <f t="shared" si="4"/>
        <v>20000</v>
      </c>
      <c r="I36" s="229"/>
      <c r="J36" s="231">
        <f t="shared" si="5"/>
        <v>20000</v>
      </c>
      <c r="K36" s="229"/>
      <c r="L36" s="231">
        <f t="shared" si="12"/>
        <v>20000</v>
      </c>
      <c r="M36" s="229"/>
      <c r="N36" s="231">
        <f t="shared" si="10"/>
        <v>20000</v>
      </c>
    </row>
    <row r="37" spans="1:14" s="194" customFormat="1" ht="21" customHeight="1">
      <c r="A37" s="203">
        <v>750</v>
      </c>
      <c r="B37" s="204"/>
      <c r="C37" s="205"/>
      <c r="D37" s="206" t="s">
        <v>83</v>
      </c>
      <c r="E37" s="193">
        <f aca="true" t="shared" si="13" ref="E37:G39">SUM(E38)</f>
        <v>150000</v>
      </c>
      <c r="F37" s="193">
        <f t="shared" si="13"/>
        <v>-100000</v>
      </c>
      <c r="G37" s="193">
        <f t="shared" si="13"/>
        <v>0</v>
      </c>
      <c r="H37" s="43">
        <f t="shared" si="4"/>
        <v>50000</v>
      </c>
      <c r="I37" s="43">
        <f>SUM(I38)</f>
        <v>0</v>
      </c>
      <c r="J37" s="43">
        <f t="shared" si="5"/>
        <v>50000</v>
      </c>
      <c r="K37" s="43">
        <f>SUM(K38)</f>
        <v>0</v>
      </c>
      <c r="L37" s="43">
        <f t="shared" si="12"/>
        <v>50000</v>
      </c>
      <c r="M37" s="43">
        <f>SUM(M38)</f>
        <v>0</v>
      </c>
      <c r="N37" s="43">
        <f t="shared" si="10"/>
        <v>50000</v>
      </c>
    </row>
    <row r="38" spans="1:14" s="147" customFormat="1" ht="21" customHeight="1">
      <c r="A38" s="148"/>
      <c r="B38" s="155">
        <v>75023</v>
      </c>
      <c r="C38" s="156"/>
      <c r="D38" s="157" t="s">
        <v>19</v>
      </c>
      <c r="E38" s="192">
        <f t="shared" si="13"/>
        <v>150000</v>
      </c>
      <c r="F38" s="192">
        <f t="shared" si="13"/>
        <v>-100000</v>
      </c>
      <c r="G38" s="192">
        <f t="shared" si="13"/>
        <v>0</v>
      </c>
      <c r="H38" s="229">
        <f t="shared" si="4"/>
        <v>50000</v>
      </c>
      <c r="I38" s="229">
        <f>SUM(I39)</f>
        <v>0</v>
      </c>
      <c r="J38" s="229">
        <f t="shared" si="5"/>
        <v>50000</v>
      </c>
      <c r="K38" s="229">
        <f>SUM(K39)</f>
        <v>0</v>
      </c>
      <c r="L38" s="229">
        <f t="shared" si="12"/>
        <v>50000</v>
      </c>
      <c r="M38" s="229">
        <f>SUM(M39)</f>
        <v>0</v>
      </c>
      <c r="N38" s="229">
        <f t="shared" si="10"/>
        <v>50000</v>
      </c>
    </row>
    <row r="39" spans="1:14" s="147" customFormat="1" ht="21" customHeight="1">
      <c r="A39" s="148"/>
      <c r="B39" s="155"/>
      <c r="C39" s="156">
        <v>6050</v>
      </c>
      <c r="D39" s="14" t="s">
        <v>73</v>
      </c>
      <c r="E39" s="192">
        <f t="shared" si="13"/>
        <v>150000</v>
      </c>
      <c r="F39" s="192">
        <f t="shared" si="13"/>
        <v>-100000</v>
      </c>
      <c r="G39" s="192">
        <f t="shared" si="13"/>
        <v>0</v>
      </c>
      <c r="H39" s="229">
        <f t="shared" si="4"/>
        <v>50000</v>
      </c>
      <c r="I39" s="229">
        <f>SUM(I40)</f>
        <v>0</v>
      </c>
      <c r="J39" s="229">
        <f t="shared" si="5"/>
        <v>50000</v>
      </c>
      <c r="K39" s="229">
        <f>SUM(K40)</f>
        <v>0</v>
      </c>
      <c r="L39" s="229">
        <f t="shared" si="12"/>
        <v>50000</v>
      </c>
      <c r="M39" s="229">
        <f>SUM(M40)</f>
        <v>0</v>
      </c>
      <c r="N39" s="229">
        <f t="shared" si="10"/>
        <v>50000</v>
      </c>
    </row>
    <row r="40" spans="1:14" s="27" customFormat="1" ht="21" customHeight="1">
      <c r="A40" s="47"/>
      <c r="B40" s="46"/>
      <c r="C40" s="48"/>
      <c r="D40" s="49" t="s">
        <v>333</v>
      </c>
      <c r="E40" s="99">
        <v>150000</v>
      </c>
      <c r="F40" s="239">
        <v>-100000</v>
      </c>
      <c r="G40" s="99"/>
      <c r="H40" s="231">
        <f t="shared" si="4"/>
        <v>50000</v>
      </c>
      <c r="I40" s="229"/>
      <c r="J40" s="231">
        <f t="shared" si="5"/>
        <v>50000</v>
      </c>
      <c r="K40" s="229"/>
      <c r="L40" s="231">
        <f t="shared" si="12"/>
        <v>50000</v>
      </c>
      <c r="M40" s="229"/>
      <c r="N40" s="231">
        <f t="shared" si="10"/>
        <v>50000</v>
      </c>
    </row>
    <row r="41" spans="1:14" s="44" customFormat="1" ht="23.25" customHeight="1">
      <c r="A41" s="32">
        <v>754</v>
      </c>
      <c r="B41" s="5"/>
      <c r="C41" s="13"/>
      <c r="D41" s="21" t="s">
        <v>23</v>
      </c>
      <c r="E41" s="45">
        <f>SUM(E42,E48)</f>
        <v>25000</v>
      </c>
      <c r="F41" s="45">
        <f>SUM(F42,F48)</f>
        <v>0</v>
      </c>
      <c r="G41" s="45">
        <f>SUM(G42,G48)</f>
        <v>290000</v>
      </c>
      <c r="H41" s="45">
        <f>SUM(H42,H48)</f>
        <v>315000</v>
      </c>
      <c r="I41" s="45">
        <f>SUM(I42,I48,)</f>
        <v>0</v>
      </c>
      <c r="J41" s="43">
        <f t="shared" si="5"/>
        <v>315000</v>
      </c>
      <c r="K41" s="45">
        <f>SUM(K42,K48,)</f>
        <v>0</v>
      </c>
      <c r="L41" s="43">
        <f t="shared" si="12"/>
        <v>315000</v>
      </c>
      <c r="M41" s="45">
        <f>SUM(M42,M48,)</f>
        <v>0</v>
      </c>
      <c r="N41" s="43">
        <f t="shared" si="10"/>
        <v>315000</v>
      </c>
    </row>
    <row r="42" spans="1:14" s="27" customFormat="1" ht="21" customHeight="1">
      <c r="A42" s="76"/>
      <c r="B42" s="86">
        <v>75412</v>
      </c>
      <c r="C42" s="90"/>
      <c r="D42" s="41" t="s">
        <v>100</v>
      </c>
      <c r="E42" s="96">
        <f>SUM(E43,E46)</f>
        <v>25000</v>
      </c>
      <c r="F42" s="96">
        <f>SUM(F43,F46)</f>
        <v>0</v>
      </c>
      <c r="G42" s="96">
        <f>SUM(G43,G46)</f>
        <v>220000</v>
      </c>
      <c r="H42" s="96">
        <f>SUM(H43,H46)</f>
        <v>245000</v>
      </c>
      <c r="I42" s="96">
        <f>SUM(I43,I46,)</f>
        <v>0</v>
      </c>
      <c r="J42" s="229">
        <f t="shared" si="5"/>
        <v>245000</v>
      </c>
      <c r="K42" s="96">
        <f>SUM(K43,K46,)</f>
        <v>0</v>
      </c>
      <c r="L42" s="229">
        <f t="shared" si="12"/>
        <v>245000</v>
      </c>
      <c r="M42" s="96">
        <f>SUM(M43,M46,)</f>
        <v>0</v>
      </c>
      <c r="N42" s="229">
        <f t="shared" si="10"/>
        <v>245000</v>
      </c>
    </row>
    <row r="43" spans="1:14" s="27" customFormat="1" ht="21" customHeight="1">
      <c r="A43" s="77"/>
      <c r="B43" s="71"/>
      <c r="C43" s="90">
        <v>6050</v>
      </c>
      <c r="D43" s="14" t="s">
        <v>73</v>
      </c>
      <c r="E43" s="96">
        <f>SUM(E44:E45)</f>
        <v>0</v>
      </c>
      <c r="F43" s="96">
        <f>SUM(F44:F45)</f>
        <v>0</v>
      </c>
      <c r="G43" s="96">
        <f>SUM(G44:G45)</f>
        <v>220000</v>
      </c>
      <c r="H43" s="96">
        <f>SUM(H44:H45)</f>
        <v>220000</v>
      </c>
      <c r="I43" s="96">
        <f>SUM(I44:I45)</f>
        <v>0</v>
      </c>
      <c r="J43" s="229">
        <f t="shared" si="5"/>
        <v>220000</v>
      </c>
      <c r="K43" s="96">
        <f>SUM(K44:K45)</f>
        <v>0</v>
      </c>
      <c r="L43" s="229">
        <f t="shared" si="12"/>
        <v>220000</v>
      </c>
      <c r="M43" s="96">
        <f>SUM(M44:M45)</f>
        <v>0</v>
      </c>
      <c r="N43" s="229">
        <f t="shared" si="10"/>
        <v>220000</v>
      </c>
    </row>
    <row r="44" spans="1:14" s="169" customFormat="1" ht="26.25" customHeight="1">
      <c r="A44" s="202"/>
      <c r="B44" s="232"/>
      <c r="C44" s="233"/>
      <c r="D44" s="243" t="s">
        <v>364</v>
      </c>
      <c r="E44" s="170">
        <v>0</v>
      </c>
      <c r="F44" s="170"/>
      <c r="G44" s="170">
        <v>200000</v>
      </c>
      <c r="H44" s="231">
        <f t="shared" si="4"/>
        <v>200000</v>
      </c>
      <c r="I44" s="231"/>
      <c r="J44" s="231">
        <f t="shared" si="5"/>
        <v>200000</v>
      </c>
      <c r="K44" s="231"/>
      <c r="L44" s="231">
        <f t="shared" si="12"/>
        <v>200000</v>
      </c>
      <c r="M44" s="231"/>
      <c r="N44" s="231">
        <f t="shared" si="10"/>
        <v>200000</v>
      </c>
    </row>
    <row r="45" spans="1:14" s="169" customFormat="1" ht="21" customHeight="1">
      <c r="A45" s="166"/>
      <c r="B45" s="232"/>
      <c r="C45" s="236"/>
      <c r="D45" s="243" t="s">
        <v>357</v>
      </c>
      <c r="E45" s="170">
        <v>0</v>
      </c>
      <c r="F45" s="170"/>
      <c r="G45" s="170">
        <v>20000</v>
      </c>
      <c r="H45" s="231">
        <f t="shared" si="4"/>
        <v>20000</v>
      </c>
      <c r="I45" s="231"/>
      <c r="J45" s="231">
        <f t="shared" si="5"/>
        <v>20000</v>
      </c>
      <c r="K45" s="231"/>
      <c r="L45" s="231">
        <f t="shared" si="12"/>
        <v>20000</v>
      </c>
      <c r="M45" s="231"/>
      <c r="N45" s="231">
        <f t="shared" si="10"/>
        <v>20000</v>
      </c>
    </row>
    <row r="46" spans="1:14" s="27" customFormat="1" ht="22.5" customHeight="1">
      <c r="A46" s="76"/>
      <c r="B46" s="51"/>
      <c r="C46" s="79">
        <v>6060</v>
      </c>
      <c r="D46" s="14" t="s">
        <v>96</v>
      </c>
      <c r="E46" s="96">
        <f>SUM(E47)</f>
        <v>25000</v>
      </c>
      <c r="F46" s="96">
        <f>SUM(F47)</f>
        <v>0</v>
      </c>
      <c r="G46" s="96">
        <f>SUM(G47)</f>
        <v>0</v>
      </c>
      <c r="H46" s="229">
        <f t="shared" si="4"/>
        <v>25000</v>
      </c>
      <c r="I46" s="229">
        <f>SUM(I47)</f>
        <v>0</v>
      </c>
      <c r="J46" s="229">
        <f t="shared" si="5"/>
        <v>25000</v>
      </c>
      <c r="K46" s="229">
        <f>SUM(K47)</f>
        <v>0</v>
      </c>
      <c r="L46" s="229">
        <f t="shared" si="12"/>
        <v>25000</v>
      </c>
      <c r="M46" s="229">
        <f>SUM(M47)</f>
        <v>0</v>
      </c>
      <c r="N46" s="229">
        <f t="shared" si="10"/>
        <v>25000</v>
      </c>
    </row>
    <row r="47" spans="1:14" s="29" customFormat="1" ht="19.5" customHeight="1">
      <c r="A47" s="47"/>
      <c r="B47" s="46"/>
      <c r="C47" s="48"/>
      <c r="D47" s="49" t="s">
        <v>325</v>
      </c>
      <c r="E47" s="99">
        <v>25000</v>
      </c>
      <c r="F47" s="99"/>
      <c r="G47" s="99"/>
      <c r="H47" s="229">
        <f t="shared" si="4"/>
        <v>25000</v>
      </c>
      <c r="I47" s="229"/>
      <c r="J47" s="231">
        <f t="shared" si="5"/>
        <v>25000</v>
      </c>
      <c r="K47" s="229"/>
      <c r="L47" s="231">
        <f t="shared" si="12"/>
        <v>25000</v>
      </c>
      <c r="M47" s="229"/>
      <c r="N47" s="231">
        <f t="shared" si="10"/>
        <v>25000</v>
      </c>
    </row>
    <row r="48" spans="1:14" s="147" customFormat="1" ht="21" customHeight="1">
      <c r="A48" s="148"/>
      <c r="B48" s="155">
        <v>75495</v>
      </c>
      <c r="C48" s="156"/>
      <c r="D48" s="14" t="s">
        <v>6</v>
      </c>
      <c r="E48" s="192">
        <f>SUM(E49)</f>
        <v>0</v>
      </c>
      <c r="F48" s="192">
        <f aca="true" t="shared" si="14" ref="F48:H49">SUM(F49)</f>
        <v>0</v>
      </c>
      <c r="G48" s="192">
        <f t="shared" si="14"/>
        <v>70000</v>
      </c>
      <c r="H48" s="192">
        <f t="shared" si="14"/>
        <v>70000</v>
      </c>
      <c r="I48" s="192">
        <f>SUM(I49)</f>
        <v>0</v>
      </c>
      <c r="J48" s="229">
        <f t="shared" si="5"/>
        <v>70000</v>
      </c>
      <c r="K48" s="192">
        <f>SUM(K49)</f>
        <v>0</v>
      </c>
      <c r="L48" s="229">
        <f t="shared" si="12"/>
        <v>70000</v>
      </c>
      <c r="M48" s="192">
        <f>SUM(M49)</f>
        <v>0</v>
      </c>
      <c r="N48" s="229">
        <f t="shared" si="10"/>
        <v>70000</v>
      </c>
    </row>
    <row r="49" spans="1:14" s="147" customFormat="1" ht="21" customHeight="1">
      <c r="A49" s="148"/>
      <c r="B49" s="155"/>
      <c r="C49" s="156">
        <v>6050</v>
      </c>
      <c r="D49" s="14" t="s">
        <v>73</v>
      </c>
      <c r="E49" s="192">
        <f>SUM(E50)</f>
        <v>0</v>
      </c>
      <c r="F49" s="192">
        <f t="shared" si="14"/>
        <v>0</v>
      </c>
      <c r="G49" s="192">
        <f t="shared" si="14"/>
        <v>70000</v>
      </c>
      <c r="H49" s="192">
        <f t="shared" si="14"/>
        <v>70000</v>
      </c>
      <c r="I49" s="192"/>
      <c r="J49" s="229">
        <f>SUM(J50)</f>
        <v>70000</v>
      </c>
      <c r="K49" s="229">
        <f>SUM(K50)</f>
        <v>0</v>
      </c>
      <c r="L49" s="229">
        <f>SUM(L50)</f>
        <v>70000</v>
      </c>
      <c r="M49" s="229">
        <f>SUM(M50)</f>
        <v>0</v>
      </c>
      <c r="N49" s="229">
        <f>SUM(N50)</f>
        <v>70000</v>
      </c>
    </row>
    <row r="50" spans="1:14" s="169" customFormat="1" ht="45">
      <c r="A50" s="166"/>
      <c r="B50" s="167"/>
      <c r="C50" s="200"/>
      <c r="D50" s="153" t="s">
        <v>363</v>
      </c>
      <c r="E50" s="170">
        <v>0</v>
      </c>
      <c r="F50" s="170"/>
      <c r="G50" s="170">
        <v>70000</v>
      </c>
      <c r="H50" s="231">
        <f>SUM(E50:G50)</f>
        <v>70000</v>
      </c>
      <c r="I50" s="231"/>
      <c r="J50" s="231">
        <f t="shared" si="5"/>
        <v>70000</v>
      </c>
      <c r="K50" s="231"/>
      <c r="L50" s="231">
        <f t="shared" si="12"/>
        <v>70000</v>
      </c>
      <c r="M50" s="231"/>
      <c r="N50" s="231">
        <f aca="true" t="shared" si="15" ref="N50:N97">SUM(L50:M50)</f>
        <v>70000</v>
      </c>
    </row>
    <row r="51" spans="1:14" s="44" customFormat="1" ht="21" customHeight="1">
      <c r="A51" s="32">
        <v>758</v>
      </c>
      <c r="B51" s="5"/>
      <c r="C51" s="13"/>
      <c r="D51" s="21" t="s">
        <v>46</v>
      </c>
      <c r="E51" s="45">
        <f aca="true" t="shared" si="16" ref="E51:G52">SUM(E52)</f>
        <v>216000</v>
      </c>
      <c r="F51" s="45">
        <f t="shared" si="16"/>
        <v>0</v>
      </c>
      <c r="G51" s="45">
        <f t="shared" si="16"/>
        <v>0</v>
      </c>
      <c r="H51" s="43">
        <f t="shared" si="4"/>
        <v>216000</v>
      </c>
      <c r="I51" s="43">
        <f>SUM(I52)</f>
        <v>-100000</v>
      </c>
      <c r="J51" s="43">
        <f t="shared" si="5"/>
        <v>116000</v>
      </c>
      <c r="K51" s="43">
        <f>SUM(K52)</f>
        <v>0</v>
      </c>
      <c r="L51" s="43">
        <f t="shared" si="12"/>
        <v>116000</v>
      </c>
      <c r="M51" s="43">
        <f>SUM(M52)</f>
        <v>0</v>
      </c>
      <c r="N51" s="43">
        <f t="shared" si="15"/>
        <v>116000</v>
      </c>
    </row>
    <row r="52" spans="1:14" s="27" customFormat="1" ht="21" customHeight="1">
      <c r="A52" s="76"/>
      <c r="B52" s="51">
        <v>75818</v>
      </c>
      <c r="C52" s="79"/>
      <c r="D52" s="14" t="s">
        <v>107</v>
      </c>
      <c r="E52" s="96">
        <f t="shared" si="16"/>
        <v>216000</v>
      </c>
      <c r="F52" s="96">
        <f t="shared" si="16"/>
        <v>0</v>
      </c>
      <c r="G52" s="96">
        <f t="shared" si="16"/>
        <v>0</v>
      </c>
      <c r="H52" s="229">
        <f t="shared" si="4"/>
        <v>216000</v>
      </c>
      <c r="I52" s="229">
        <f>SUM(I53)</f>
        <v>-100000</v>
      </c>
      <c r="J52" s="229">
        <f t="shared" si="5"/>
        <v>116000</v>
      </c>
      <c r="K52" s="229">
        <f>SUM(K53)</f>
        <v>0</v>
      </c>
      <c r="L52" s="229">
        <f t="shared" si="12"/>
        <v>116000</v>
      </c>
      <c r="M52" s="229">
        <f>SUM(M53)</f>
        <v>0</v>
      </c>
      <c r="N52" s="229">
        <f t="shared" si="15"/>
        <v>116000</v>
      </c>
    </row>
    <row r="53" spans="1:14" s="27" customFormat="1" ht="21" customHeight="1">
      <c r="A53" s="76"/>
      <c r="B53" s="51"/>
      <c r="C53" s="79">
        <v>6800</v>
      </c>
      <c r="D53" s="14" t="s">
        <v>263</v>
      </c>
      <c r="E53" s="96">
        <f>SUM(E54:E56)</f>
        <v>216000</v>
      </c>
      <c r="F53" s="96">
        <f>SUM(F54:F56)</f>
        <v>0</v>
      </c>
      <c r="G53" s="96">
        <f>SUM(G54:G56)</f>
        <v>0</v>
      </c>
      <c r="H53" s="229">
        <f t="shared" si="4"/>
        <v>216000</v>
      </c>
      <c r="I53" s="229">
        <f>SUM(I54:I56)</f>
        <v>-100000</v>
      </c>
      <c r="J53" s="229">
        <f t="shared" si="5"/>
        <v>116000</v>
      </c>
      <c r="K53" s="229">
        <f>SUM(K54:K56)</f>
        <v>0</v>
      </c>
      <c r="L53" s="229">
        <f t="shared" si="12"/>
        <v>116000</v>
      </c>
      <c r="M53" s="229">
        <f>SUM(M54:M56)</f>
        <v>0</v>
      </c>
      <c r="N53" s="229">
        <f t="shared" si="15"/>
        <v>116000</v>
      </c>
    </row>
    <row r="54" spans="1:14" s="169" customFormat="1" ht="21.75" customHeight="1">
      <c r="A54" s="166"/>
      <c r="B54" s="167"/>
      <c r="C54" s="200"/>
      <c r="D54" s="153" t="s">
        <v>327</v>
      </c>
      <c r="E54" s="170">
        <v>100000</v>
      </c>
      <c r="F54" s="170"/>
      <c r="G54" s="170"/>
      <c r="H54" s="231">
        <f t="shared" si="4"/>
        <v>100000</v>
      </c>
      <c r="I54" s="231">
        <v>-100000</v>
      </c>
      <c r="J54" s="231">
        <f t="shared" si="5"/>
        <v>0</v>
      </c>
      <c r="K54" s="231"/>
      <c r="L54" s="231">
        <f t="shared" si="12"/>
        <v>0</v>
      </c>
      <c r="M54" s="231"/>
      <c r="N54" s="231">
        <f t="shared" si="15"/>
        <v>0</v>
      </c>
    </row>
    <row r="55" spans="1:14" s="169" customFormat="1" ht="45">
      <c r="A55" s="166"/>
      <c r="B55" s="167"/>
      <c r="C55" s="200"/>
      <c r="D55" s="153" t="s">
        <v>366</v>
      </c>
      <c r="E55" s="170">
        <v>100000</v>
      </c>
      <c r="F55" s="170"/>
      <c r="G55" s="170"/>
      <c r="H55" s="231">
        <f t="shared" si="4"/>
        <v>100000</v>
      </c>
      <c r="I55" s="231"/>
      <c r="J55" s="231">
        <f t="shared" si="5"/>
        <v>100000</v>
      </c>
      <c r="K55" s="231"/>
      <c r="L55" s="231">
        <f t="shared" si="12"/>
        <v>100000</v>
      </c>
      <c r="M55" s="231"/>
      <c r="N55" s="231">
        <f t="shared" si="15"/>
        <v>100000</v>
      </c>
    </row>
    <row r="56" spans="1:14" s="169" customFormat="1" ht="21" customHeight="1">
      <c r="A56" s="166"/>
      <c r="B56" s="167"/>
      <c r="C56" s="200"/>
      <c r="D56" s="153" t="s">
        <v>326</v>
      </c>
      <c r="E56" s="170">
        <v>16000</v>
      </c>
      <c r="F56" s="170"/>
      <c r="G56" s="170"/>
      <c r="H56" s="231">
        <f t="shared" si="4"/>
        <v>16000</v>
      </c>
      <c r="I56" s="231"/>
      <c r="J56" s="231">
        <f t="shared" si="5"/>
        <v>16000</v>
      </c>
      <c r="K56" s="231"/>
      <c r="L56" s="231">
        <f t="shared" si="12"/>
        <v>16000</v>
      </c>
      <c r="M56" s="231"/>
      <c r="N56" s="231">
        <f t="shared" si="15"/>
        <v>16000</v>
      </c>
    </row>
    <row r="57" spans="1:14" s="44" customFormat="1" ht="21" customHeight="1">
      <c r="A57" s="32">
        <v>801</v>
      </c>
      <c r="B57" s="5"/>
      <c r="C57" s="13"/>
      <c r="D57" s="21" t="s">
        <v>110</v>
      </c>
      <c r="E57" s="19">
        <f>SUM(,E65,E58,E71)</f>
        <v>6592300</v>
      </c>
      <c r="F57" s="19">
        <f>SUM(,F65,F58,F71)</f>
        <v>-861184</v>
      </c>
      <c r="G57" s="19">
        <f>SUM(,G65,G58,G71)</f>
        <v>0</v>
      </c>
      <c r="H57" s="43">
        <f t="shared" si="4"/>
        <v>5731116</v>
      </c>
      <c r="I57" s="43">
        <f>SUM(I58,I65,I71,)</f>
        <v>15000</v>
      </c>
      <c r="J57" s="43">
        <f t="shared" si="5"/>
        <v>5746116</v>
      </c>
      <c r="K57" s="43">
        <f>SUM(K58,K65,K71,)</f>
        <v>0</v>
      </c>
      <c r="L57" s="43">
        <f t="shared" si="12"/>
        <v>5746116</v>
      </c>
      <c r="M57" s="43">
        <f>SUM(M58,M65,M71,)</f>
        <v>63850</v>
      </c>
      <c r="N57" s="43">
        <f t="shared" si="15"/>
        <v>5809966</v>
      </c>
    </row>
    <row r="58" spans="1:14" s="147" customFormat="1" ht="21" customHeight="1">
      <c r="A58" s="148"/>
      <c r="B58" s="155">
        <v>80101</v>
      </c>
      <c r="C58" s="156"/>
      <c r="D58" s="157" t="s">
        <v>51</v>
      </c>
      <c r="E58" s="158">
        <f>SUM(E59,E62,)</f>
        <v>670300</v>
      </c>
      <c r="F58" s="158">
        <f>SUM(F59,F62,)</f>
        <v>-110000</v>
      </c>
      <c r="G58" s="158">
        <f>SUM(G59,G62,)</f>
        <v>0</v>
      </c>
      <c r="H58" s="229">
        <f t="shared" si="4"/>
        <v>560300</v>
      </c>
      <c r="I58" s="229">
        <f>SUM(I59,I62,)</f>
        <v>0</v>
      </c>
      <c r="J58" s="229">
        <f t="shared" si="5"/>
        <v>560300</v>
      </c>
      <c r="K58" s="229">
        <f>SUM(K59,K62,)</f>
        <v>0</v>
      </c>
      <c r="L58" s="229">
        <f t="shared" si="12"/>
        <v>560300</v>
      </c>
      <c r="M58" s="229">
        <f>SUM(M59,M62,)</f>
        <v>63850</v>
      </c>
      <c r="N58" s="229">
        <f t="shared" si="15"/>
        <v>624150</v>
      </c>
    </row>
    <row r="59" spans="1:14" s="147" customFormat="1" ht="21" customHeight="1">
      <c r="A59" s="148"/>
      <c r="B59" s="155"/>
      <c r="C59" s="156">
        <v>6050</v>
      </c>
      <c r="D59" s="14" t="s">
        <v>73</v>
      </c>
      <c r="E59" s="158">
        <f>SUM(E61)</f>
        <v>660000</v>
      </c>
      <c r="F59" s="158">
        <f>SUM(F61)</f>
        <v>-110000</v>
      </c>
      <c r="G59" s="158">
        <f>SUM(G61)</f>
        <v>0</v>
      </c>
      <c r="H59" s="229">
        <f t="shared" si="4"/>
        <v>550000</v>
      </c>
      <c r="I59" s="229">
        <f>SUM(I61)</f>
        <v>0</v>
      </c>
      <c r="J59" s="229">
        <f t="shared" si="5"/>
        <v>550000</v>
      </c>
      <c r="K59" s="229">
        <f>SUM(K61)</f>
        <v>0</v>
      </c>
      <c r="L59" s="229">
        <f>SUM(L60:L61)</f>
        <v>550000</v>
      </c>
      <c r="M59" s="229">
        <f>SUM(M60:M61)</f>
        <v>63850</v>
      </c>
      <c r="N59" s="229">
        <f>SUM(N60:N61)</f>
        <v>613850</v>
      </c>
    </row>
    <row r="60" spans="1:14" s="147" customFormat="1" ht="28.5" customHeight="1">
      <c r="A60" s="148"/>
      <c r="B60" s="155"/>
      <c r="C60" s="156"/>
      <c r="D60" s="49" t="s">
        <v>481</v>
      </c>
      <c r="E60" s="158"/>
      <c r="F60" s="158"/>
      <c r="G60" s="158"/>
      <c r="H60" s="229"/>
      <c r="I60" s="229"/>
      <c r="J60" s="229"/>
      <c r="K60" s="229"/>
      <c r="L60" s="229">
        <v>0</v>
      </c>
      <c r="M60" s="229">
        <v>63850</v>
      </c>
      <c r="N60" s="231">
        <f t="shared" si="15"/>
        <v>63850</v>
      </c>
    </row>
    <row r="61" spans="1:14" s="169" customFormat="1" ht="21" customHeight="1">
      <c r="A61" s="166"/>
      <c r="B61" s="167"/>
      <c r="C61" s="153"/>
      <c r="D61" s="153" t="s">
        <v>314</v>
      </c>
      <c r="E61" s="154">
        <v>660000</v>
      </c>
      <c r="F61" s="154">
        <v>-110000</v>
      </c>
      <c r="G61" s="154"/>
      <c r="H61" s="231">
        <f t="shared" si="4"/>
        <v>550000</v>
      </c>
      <c r="I61" s="231"/>
      <c r="J61" s="231">
        <f t="shared" si="5"/>
        <v>550000</v>
      </c>
      <c r="K61" s="231"/>
      <c r="L61" s="231">
        <f t="shared" si="12"/>
        <v>550000</v>
      </c>
      <c r="M61" s="231"/>
      <c r="N61" s="231">
        <f t="shared" si="15"/>
        <v>550000</v>
      </c>
    </row>
    <row r="62" spans="1:14" s="147" customFormat="1" ht="22.5">
      <c r="A62" s="148"/>
      <c r="B62" s="155"/>
      <c r="C62" s="156">
        <v>6060</v>
      </c>
      <c r="D62" s="14" t="s">
        <v>96</v>
      </c>
      <c r="E62" s="158">
        <f>SUM(E63:E64)</f>
        <v>10300</v>
      </c>
      <c r="F62" s="158">
        <f>SUM(F63:F64)</f>
        <v>0</v>
      </c>
      <c r="G62" s="158">
        <f>SUM(G63:G64)</f>
        <v>0</v>
      </c>
      <c r="H62" s="229">
        <f t="shared" si="4"/>
        <v>10300</v>
      </c>
      <c r="I62" s="229">
        <f>SUM(I63:I64)</f>
        <v>0</v>
      </c>
      <c r="J62" s="229">
        <f t="shared" si="5"/>
        <v>10300</v>
      </c>
      <c r="K62" s="229">
        <f>SUM(K63:K64)</f>
        <v>0</v>
      </c>
      <c r="L62" s="229">
        <f t="shared" si="12"/>
        <v>10300</v>
      </c>
      <c r="M62" s="229">
        <f>SUM(M63:M64)</f>
        <v>0</v>
      </c>
      <c r="N62" s="229">
        <f t="shared" si="15"/>
        <v>10300</v>
      </c>
    </row>
    <row r="63" spans="1:14" s="169" customFormat="1" ht="21" customHeight="1">
      <c r="A63" s="166"/>
      <c r="B63" s="167"/>
      <c r="C63" s="200"/>
      <c r="D63" s="153" t="s">
        <v>367</v>
      </c>
      <c r="E63" s="154">
        <v>5800</v>
      </c>
      <c r="F63" s="154"/>
      <c r="G63" s="154"/>
      <c r="H63" s="231">
        <f t="shared" si="4"/>
        <v>5800</v>
      </c>
      <c r="I63" s="231"/>
      <c r="J63" s="231">
        <f t="shared" si="5"/>
        <v>5800</v>
      </c>
      <c r="K63" s="231"/>
      <c r="L63" s="231">
        <f t="shared" si="12"/>
        <v>5800</v>
      </c>
      <c r="M63" s="231"/>
      <c r="N63" s="231">
        <f t="shared" si="15"/>
        <v>5800</v>
      </c>
    </row>
    <row r="64" spans="1:14" s="169" customFormat="1" ht="21.75" customHeight="1">
      <c r="A64" s="166"/>
      <c r="B64" s="167"/>
      <c r="C64" s="200"/>
      <c r="D64" s="153" t="s">
        <v>404</v>
      </c>
      <c r="E64" s="154">
        <v>4500</v>
      </c>
      <c r="F64" s="154"/>
      <c r="G64" s="154"/>
      <c r="H64" s="231">
        <f t="shared" si="4"/>
        <v>4500</v>
      </c>
      <c r="I64" s="231"/>
      <c r="J64" s="231">
        <f t="shared" si="5"/>
        <v>4500</v>
      </c>
      <c r="K64" s="231"/>
      <c r="L64" s="231">
        <f t="shared" si="12"/>
        <v>4500</v>
      </c>
      <c r="M64" s="231"/>
      <c r="N64" s="231">
        <f t="shared" si="15"/>
        <v>4500</v>
      </c>
    </row>
    <row r="65" spans="1:14" s="27" customFormat="1" ht="21" customHeight="1">
      <c r="A65" s="76"/>
      <c r="B65" s="51">
        <v>80110</v>
      </c>
      <c r="C65" s="79"/>
      <c r="D65" s="14" t="s">
        <v>52</v>
      </c>
      <c r="E65" s="89">
        <f>SUM(E66)</f>
        <v>5918000</v>
      </c>
      <c r="F65" s="89">
        <f>SUM(F66)</f>
        <v>-751184</v>
      </c>
      <c r="G65" s="89">
        <f>SUM(G66)</f>
        <v>0</v>
      </c>
      <c r="H65" s="229">
        <f t="shared" si="4"/>
        <v>5166816</v>
      </c>
      <c r="I65" s="229">
        <f>SUM(I66)</f>
        <v>15000</v>
      </c>
      <c r="J65" s="229">
        <f t="shared" si="5"/>
        <v>5181816</v>
      </c>
      <c r="K65" s="229">
        <f>SUM(K66)</f>
        <v>0</v>
      </c>
      <c r="L65" s="229">
        <f t="shared" si="12"/>
        <v>5181816</v>
      </c>
      <c r="M65" s="229">
        <f>SUM(M66)</f>
        <v>0</v>
      </c>
      <c r="N65" s="229">
        <f t="shared" si="15"/>
        <v>5181816</v>
      </c>
    </row>
    <row r="66" spans="1:14" s="27" customFormat="1" ht="21" customHeight="1">
      <c r="A66" s="76"/>
      <c r="B66" s="51"/>
      <c r="C66" s="79">
        <v>6050</v>
      </c>
      <c r="D66" s="14" t="s">
        <v>73</v>
      </c>
      <c r="E66" s="89">
        <f>SUM(E67:E70)</f>
        <v>5918000</v>
      </c>
      <c r="F66" s="89">
        <f>SUM(F67:F70)</f>
        <v>-751184</v>
      </c>
      <c r="G66" s="89">
        <f>SUM(G67:G70)</f>
        <v>0</v>
      </c>
      <c r="H66" s="229">
        <f t="shared" si="4"/>
        <v>5166816</v>
      </c>
      <c r="I66" s="229">
        <f>SUM(I67:I70)</f>
        <v>15000</v>
      </c>
      <c r="J66" s="229">
        <f t="shared" si="5"/>
        <v>5181816</v>
      </c>
      <c r="K66" s="229">
        <f>SUM(K67:K70)</f>
        <v>0</v>
      </c>
      <c r="L66" s="229">
        <f t="shared" si="12"/>
        <v>5181816</v>
      </c>
      <c r="M66" s="229">
        <f>SUM(M67:M70)</f>
        <v>0</v>
      </c>
      <c r="N66" s="229">
        <f t="shared" si="15"/>
        <v>5181816</v>
      </c>
    </row>
    <row r="67" spans="1:14" s="169" customFormat="1" ht="21.75" customHeight="1">
      <c r="A67" s="166"/>
      <c r="B67" s="167"/>
      <c r="C67" s="200"/>
      <c r="D67" s="153" t="s">
        <v>312</v>
      </c>
      <c r="E67" s="154">
        <v>4350000</v>
      </c>
      <c r="F67" s="154">
        <v>-138184</v>
      </c>
      <c r="G67" s="154"/>
      <c r="H67" s="231">
        <f t="shared" si="4"/>
        <v>4211816</v>
      </c>
      <c r="I67" s="231">
        <v>15000</v>
      </c>
      <c r="J67" s="231">
        <f t="shared" si="5"/>
        <v>4226816</v>
      </c>
      <c r="K67" s="231"/>
      <c r="L67" s="231">
        <f t="shared" si="12"/>
        <v>4226816</v>
      </c>
      <c r="M67" s="231"/>
      <c r="N67" s="231">
        <f t="shared" si="15"/>
        <v>4226816</v>
      </c>
    </row>
    <row r="68" spans="1:14" s="169" customFormat="1" ht="21" customHeight="1">
      <c r="A68" s="166"/>
      <c r="B68" s="167"/>
      <c r="C68" s="200"/>
      <c r="D68" s="153" t="s">
        <v>313</v>
      </c>
      <c r="E68" s="154">
        <v>868000</v>
      </c>
      <c r="F68" s="154">
        <v>-213000</v>
      </c>
      <c r="G68" s="154"/>
      <c r="H68" s="231">
        <f t="shared" si="4"/>
        <v>655000</v>
      </c>
      <c r="I68" s="231"/>
      <c r="J68" s="231">
        <f t="shared" si="5"/>
        <v>655000</v>
      </c>
      <c r="K68" s="231"/>
      <c r="L68" s="231">
        <f t="shared" si="12"/>
        <v>655000</v>
      </c>
      <c r="M68" s="231"/>
      <c r="N68" s="231">
        <f t="shared" si="15"/>
        <v>655000</v>
      </c>
    </row>
    <row r="69" spans="1:14" s="169" customFormat="1" ht="21" customHeight="1">
      <c r="A69" s="166"/>
      <c r="B69" s="167"/>
      <c r="C69" s="200"/>
      <c r="D69" s="153" t="s">
        <v>318</v>
      </c>
      <c r="E69" s="154">
        <v>600000</v>
      </c>
      <c r="F69" s="154">
        <v>-400000</v>
      </c>
      <c r="G69" s="154"/>
      <c r="H69" s="231">
        <f t="shared" si="4"/>
        <v>200000</v>
      </c>
      <c r="I69" s="231"/>
      <c r="J69" s="231">
        <f t="shared" si="5"/>
        <v>200000</v>
      </c>
      <c r="K69" s="231"/>
      <c r="L69" s="231">
        <f t="shared" si="12"/>
        <v>200000</v>
      </c>
      <c r="M69" s="231"/>
      <c r="N69" s="231">
        <f t="shared" si="15"/>
        <v>200000</v>
      </c>
    </row>
    <row r="70" spans="1:14" s="169" customFormat="1" ht="24" customHeight="1">
      <c r="A70" s="166"/>
      <c r="B70" s="167"/>
      <c r="C70" s="200"/>
      <c r="D70" s="153" t="s">
        <v>319</v>
      </c>
      <c r="E70" s="154">
        <v>100000</v>
      </c>
      <c r="F70" s="154"/>
      <c r="G70" s="154"/>
      <c r="H70" s="231">
        <f t="shared" si="4"/>
        <v>100000</v>
      </c>
      <c r="I70" s="231"/>
      <c r="J70" s="231">
        <f t="shared" si="5"/>
        <v>100000</v>
      </c>
      <c r="K70" s="231"/>
      <c r="L70" s="231">
        <f t="shared" si="12"/>
        <v>100000</v>
      </c>
      <c r="M70" s="231"/>
      <c r="N70" s="231">
        <f t="shared" si="15"/>
        <v>100000</v>
      </c>
    </row>
    <row r="71" spans="1:14" s="147" customFormat="1" ht="21" customHeight="1">
      <c r="A71" s="148"/>
      <c r="B71" s="155">
        <v>80148</v>
      </c>
      <c r="C71" s="156"/>
      <c r="D71" s="157" t="s">
        <v>257</v>
      </c>
      <c r="E71" s="158">
        <f aca="true" t="shared" si="17" ref="E71:G72">SUM(E72)</f>
        <v>4000</v>
      </c>
      <c r="F71" s="158">
        <f t="shared" si="17"/>
        <v>0</v>
      </c>
      <c r="G71" s="158">
        <f t="shared" si="17"/>
        <v>0</v>
      </c>
      <c r="H71" s="229">
        <f t="shared" si="4"/>
        <v>4000</v>
      </c>
      <c r="I71" s="229">
        <f>SUM(I72)</f>
        <v>0</v>
      </c>
      <c r="J71" s="229">
        <f t="shared" si="5"/>
        <v>4000</v>
      </c>
      <c r="K71" s="229">
        <f>SUM(K72)</f>
        <v>0</v>
      </c>
      <c r="L71" s="229">
        <f t="shared" si="12"/>
        <v>4000</v>
      </c>
      <c r="M71" s="229">
        <f>SUM(M72)</f>
        <v>0</v>
      </c>
      <c r="N71" s="229">
        <f t="shared" si="15"/>
        <v>4000</v>
      </c>
    </row>
    <row r="72" spans="1:14" s="147" customFormat="1" ht="25.5" customHeight="1">
      <c r="A72" s="148"/>
      <c r="B72" s="155"/>
      <c r="C72" s="156">
        <v>6060</v>
      </c>
      <c r="D72" s="14" t="s">
        <v>96</v>
      </c>
      <c r="E72" s="158">
        <f t="shared" si="17"/>
        <v>4000</v>
      </c>
      <c r="F72" s="158">
        <f t="shared" si="17"/>
        <v>0</v>
      </c>
      <c r="G72" s="158">
        <f t="shared" si="17"/>
        <v>0</v>
      </c>
      <c r="H72" s="229">
        <f t="shared" si="4"/>
        <v>4000</v>
      </c>
      <c r="I72" s="229">
        <f>SUM(I73)</f>
        <v>0</v>
      </c>
      <c r="J72" s="229">
        <f t="shared" si="5"/>
        <v>4000</v>
      </c>
      <c r="K72" s="229">
        <f>SUM(K73)</f>
        <v>0</v>
      </c>
      <c r="L72" s="229">
        <f t="shared" si="12"/>
        <v>4000</v>
      </c>
      <c r="M72" s="229">
        <f>SUM(M73)</f>
        <v>0</v>
      </c>
      <c r="N72" s="229">
        <f t="shared" si="15"/>
        <v>4000</v>
      </c>
    </row>
    <row r="73" spans="1:14" s="29" customFormat="1" ht="21" customHeight="1">
      <c r="A73" s="47"/>
      <c r="B73" s="46"/>
      <c r="C73" s="48"/>
      <c r="D73" s="49" t="s">
        <v>344</v>
      </c>
      <c r="E73" s="50">
        <v>4000</v>
      </c>
      <c r="F73" s="50"/>
      <c r="G73" s="50"/>
      <c r="H73" s="231">
        <f t="shared" si="4"/>
        <v>4000</v>
      </c>
      <c r="I73" s="229"/>
      <c r="J73" s="231">
        <f t="shared" si="5"/>
        <v>4000</v>
      </c>
      <c r="K73" s="229"/>
      <c r="L73" s="231">
        <f t="shared" si="12"/>
        <v>4000</v>
      </c>
      <c r="M73" s="229"/>
      <c r="N73" s="231">
        <f t="shared" si="15"/>
        <v>4000</v>
      </c>
    </row>
    <row r="74" spans="1:14" s="44" customFormat="1" ht="21" customHeight="1">
      <c r="A74" s="32">
        <v>854</v>
      </c>
      <c r="B74" s="5"/>
      <c r="C74" s="13"/>
      <c r="D74" s="21" t="s">
        <v>59</v>
      </c>
      <c r="E74" s="45">
        <f>SUM(E75,)</f>
        <v>100000</v>
      </c>
      <c r="F74" s="45">
        <f>SUM(F75,)</f>
        <v>-100000</v>
      </c>
      <c r="G74" s="45">
        <f>SUM(G75,)</f>
        <v>0</v>
      </c>
      <c r="H74" s="43">
        <f t="shared" si="4"/>
        <v>0</v>
      </c>
      <c r="I74" s="43">
        <f>SUM(I75)</f>
        <v>63850</v>
      </c>
      <c r="J74" s="43">
        <f t="shared" si="5"/>
        <v>63850</v>
      </c>
      <c r="K74" s="43">
        <f>SUM(K75)</f>
        <v>0</v>
      </c>
      <c r="L74" s="43">
        <f t="shared" si="12"/>
        <v>63850</v>
      </c>
      <c r="M74" s="43">
        <f>SUM(M75)</f>
        <v>0</v>
      </c>
      <c r="N74" s="43">
        <f t="shared" si="15"/>
        <v>63850</v>
      </c>
    </row>
    <row r="75" spans="1:14" s="27" customFormat="1" ht="33.75">
      <c r="A75" s="76"/>
      <c r="B75" s="51">
        <v>85412</v>
      </c>
      <c r="C75" s="79"/>
      <c r="D75" s="41" t="s">
        <v>158</v>
      </c>
      <c r="E75" s="96">
        <f>SUM(E76)</f>
        <v>100000</v>
      </c>
      <c r="F75" s="96">
        <f>SUM(F76)</f>
        <v>-100000</v>
      </c>
      <c r="G75" s="96">
        <f>SUM(G76)</f>
        <v>0</v>
      </c>
      <c r="H75" s="229">
        <f t="shared" si="4"/>
        <v>0</v>
      </c>
      <c r="I75" s="229">
        <f>SUM(I76)</f>
        <v>63850</v>
      </c>
      <c r="J75" s="229">
        <f t="shared" si="5"/>
        <v>63850</v>
      </c>
      <c r="K75" s="229">
        <f>SUM(K76)</f>
        <v>0</v>
      </c>
      <c r="L75" s="229">
        <f t="shared" si="12"/>
        <v>63850</v>
      </c>
      <c r="M75" s="229">
        <f>SUM(M76)</f>
        <v>0</v>
      </c>
      <c r="N75" s="229">
        <f t="shared" si="15"/>
        <v>63850</v>
      </c>
    </row>
    <row r="76" spans="1:14" s="27" customFormat="1" ht="21" customHeight="1">
      <c r="A76" s="76"/>
      <c r="B76" s="51"/>
      <c r="C76" s="79">
        <v>6050</v>
      </c>
      <c r="D76" s="14" t="s">
        <v>73</v>
      </c>
      <c r="E76" s="96">
        <f>SUM(E77:E77)</f>
        <v>100000</v>
      </c>
      <c r="F76" s="96">
        <f>SUM(F77:F77)</f>
        <v>-100000</v>
      </c>
      <c r="G76" s="96">
        <f>SUM(G77:G77)</f>
        <v>0</v>
      </c>
      <c r="H76" s="229">
        <f t="shared" si="4"/>
        <v>0</v>
      </c>
      <c r="I76" s="229">
        <f>SUM(I77)</f>
        <v>63850</v>
      </c>
      <c r="J76" s="229">
        <f t="shared" si="5"/>
        <v>63850</v>
      </c>
      <c r="K76" s="229">
        <f>SUM(K77)</f>
        <v>0</v>
      </c>
      <c r="L76" s="229">
        <f t="shared" si="12"/>
        <v>63850</v>
      </c>
      <c r="M76" s="229">
        <f>SUM(M77)</f>
        <v>0</v>
      </c>
      <c r="N76" s="229">
        <f t="shared" si="15"/>
        <v>63850</v>
      </c>
    </row>
    <row r="77" spans="1:14" s="29" customFormat="1" ht="22.5">
      <c r="A77" s="47"/>
      <c r="B77" s="46"/>
      <c r="C77" s="48"/>
      <c r="D77" s="49" t="s">
        <v>481</v>
      </c>
      <c r="E77" s="99">
        <v>100000</v>
      </c>
      <c r="F77" s="99">
        <v>-100000</v>
      </c>
      <c r="G77" s="99"/>
      <c r="H77" s="231">
        <f t="shared" si="4"/>
        <v>0</v>
      </c>
      <c r="I77" s="229">
        <v>63850</v>
      </c>
      <c r="J77" s="231">
        <f t="shared" si="5"/>
        <v>63850</v>
      </c>
      <c r="K77" s="229"/>
      <c r="L77" s="231">
        <f t="shared" si="12"/>
        <v>63850</v>
      </c>
      <c r="M77" s="229"/>
      <c r="N77" s="231">
        <f t="shared" si="15"/>
        <v>63850</v>
      </c>
    </row>
    <row r="78" spans="1:14" s="44" customFormat="1" ht="24">
      <c r="A78" s="32" t="s">
        <v>127</v>
      </c>
      <c r="B78" s="5"/>
      <c r="C78" s="23"/>
      <c r="D78" s="21" t="s">
        <v>61</v>
      </c>
      <c r="E78" s="19">
        <f>SUM(E79,E88)</f>
        <v>140000</v>
      </c>
      <c r="F78" s="19">
        <f>SUM(F79,F88)</f>
        <v>0</v>
      </c>
      <c r="G78" s="19">
        <f>SUM(G79,G88)</f>
        <v>735000</v>
      </c>
      <c r="H78" s="19">
        <f>SUM(H79,H88)</f>
        <v>875000</v>
      </c>
      <c r="I78" s="19">
        <f>SUM(I79,I88,)</f>
        <v>-405000</v>
      </c>
      <c r="J78" s="43">
        <f t="shared" si="5"/>
        <v>470000</v>
      </c>
      <c r="K78" s="19">
        <f>SUM(K79,K88,)</f>
        <v>0</v>
      </c>
      <c r="L78" s="43">
        <f t="shared" si="12"/>
        <v>470000</v>
      </c>
      <c r="M78" s="19">
        <f>SUM(M79,M88,)</f>
        <v>0</v>
      </c>
      <c r="N78" s="43">
        <f t="shared" si="15"/>
        <v>470000</v>
      </c>
    </row>
    <row r="79" spans="1:14" s="27" customFormat="1" ht="21" customHeight="1">
      <c r="A79" s="76"/>
      <c r="B79" s="77" t="s">
        <v>128</v>
      </c>
      <c r="C79" s="84"/>
      <c r="D79" s="14" t="s">
        <v>62</v>
      </c>
      <c r="E79" s="89">
        <f>SUM(E86,E80)</f>
        <v>140000</v>
      </c>
      <c r="F79" s="89">
        <f>SUM(F86,F80)</f>
        <v>0</v>
      </c>
      <c r="G79" s="89">
        <f>SUM(G86,G80)</f>
        <v>720000</v>
      </c>
      <c r="H79" s="229">
        <f t="shared" si="4"/>
        <v>860000</v>
      </c>
      <c r="I79" s="229">
        <f>SUM(I80,I86,)</f>
        <v>-405000</v>
      </c>
      <c r="J79" s="229">
        <f t="shared" si="5"/>
        <v>455000</v>
      </c>
      <c r="K79" s="229">
        <f>SUM(K80,K86,)</f>
        <v>0</v>
      </c>
      <c r="L79" s="229">
        <f t="shared" si="12"/>
        <v>455000</v>
      </c>
      <c r="M79" s="229">
        <f>SUM(M80,M86,)</f>
        <v>0</v>
      </c>
      <c r="N79" s="229">
        <f t="shared" si="15"/>
        <v>455000</v>
      </c>
    </row>
    <row r="80" spans="1:14" s="27" customFormat="1" ht="21" customHeight="1">
      <c r="A80" s="76"/>
      <c r="B80" s="77"/>
      <c r="C80" s="84">
        <v>6050</v>
      </c>
      <c r="D80" s="14" t="s">
        <v>73</v>
      </c>
      <c r="E80" s="89">
        <f>SUM(E81:E85)</f>
        <v>0</v>
      </c>
      <c r="F80" s="89">
        <f>SUM(F81:F85)</f>
        <v>0</v>
      </c>
      <c r="G80" s="89">
        <f>SUM(G81:G85)</f>
        <v>720000</v>
      </c>
      <c r="H80" s="229">
        <f t="shared" si="4"/>
        <v>720000</v>
      </c>
      <c r="I80" s="229">
        <f>SUM(I81:I85)</f>
        <v>-405000</v>
      </c>
      <c r="J80" s="229">
        <f t="shared" si="5"/>
        <v>315000</v>
      </c>
      <c r="K80" s="229">
        <f>SUM(K81:K85)</f>
        <v>0</v>
      </c>
      <c r="L80" s="229">
        <f t="shared" si="12"/>
        <v>315000</v>
      </c>
      <c r="M80" s="229">
        <f>SUM(M81:M85)</f>
        <v>0</v>
      </c>
      <c r="N80" s="229">
        <f t="shared" si="15"/>
        <v>315000</v>
      </c>
    </row>
    <row r="81" spans="1:14" s="169" customFormat="1" ht="36.75" customHeight="1">
      <c r="A81" s="166"/>
      <c r="B81" s="202"/>
      <c r="C81" s="168"/>
      <c r="D81" s="153" t="s">
        <v>354</v>
      </c>
      <c r="E81" s="154">
        <v>0</v>
      </c>
      <c r="F81" s="154"/>
      <c r="G81" s="154">
        <v>400000</v>
      </c>
      <c r="H81" s="231">
        <f t="shared" si="4"/>
        <v>400000</v>
      </c>
      <c r="I81" s="231">
        <v>-317000</v>
      </c>
      <c r="J81" s="231">
        <f t="shared" si="5"/>
        <v>83000</v>
      </c>
      <c r="K81" s="231"/>
      <c r="L81" s="231">
        <f t="shared" si="12"/>
        <v>83000</v>
      </c>
      <c r="M81" s="231"/>
      <c r="N81" s="231">
        <f t="shared" si="15"/>
        <v>83000</v>
      </c>
    </row>
    <row r="82" spans="1:14" s="169" customFormat="1" ht="22.5">
      <c r="A82" s="166"/>
      <c r="B82" s="202"/>
      <c r="C82" s="168"/>
      <c r="D82" s="153" t="s">
        <v>405</v>
      </c>
      <c r="E82" s="154">
        <v>0</v>
      </c>
      <c r="F82" s="154"/>
      <c r="G82" s="154">
        <v>65000</v>
      </c>
      <c r="H82" s="231">
        <f t="shared" si="4"/>
        <v>65000</v>
      </c>
      <c r="I82" s="231">
        <v>-65000</v>
      </c>
      <c r="J82" s="231">
        <f aca="true" t="shared" si="18" ref="J82:J100">SUM(H82:I82)</f>
        <v>0</v>
      </c>
      <c r="K82" s="231"/>
      <c r="L82" s="231">
        <f t="shared" si="12"/>
        <v>0</v>
      </c>
      <c r="M82" s="231"/>
      <c r="N82" s="231">
        <f t="shared" si="15"/>
        <v>0</v>
      </c>
    </row>
    <row r="83" spans="1:14" s="169" customFormat="1" ht="45">
      <c r="A83" s="166"/>
      <c r="B83" s="202"/>
      <c r="C83" s="168"/>
      <c r="D83" s="153" t="s">
        <v>443</v>
      </c>
      <c r="E83" s="154"/>
      <c r="F83" s="154"/>
      <c r="G83" s="154"/>
      <c r="H83" s="231">
        <v>0</v>
      </c>
      <c r="I83" s="231">
        <f>65000</f>
        <v>65000</v>
      </c>
      <c r="J83" s="231">
        <f t="shared" si="18"/>
        <v>65000</v>
      </c>
      <c r="K83" s="231"/>
      <c r="L83" s="231">
        <f t="shared" si="12"/>
        <v>65000</v>
      </c>
      <c r="M83" s="231"/>
      <c r="N83" s="231">
        <f t="shared" si="15"/>
        <v>65000</v>
      </c>
    </row>
    <row r="84" spans="1:14" s="169" customFormat="1" ht="22.5" customHeight="1">
      <c r="A84" s="166"/>
      <c r="B84" s="202"/>
      <c r="C84" s="168"/>
      <c r="D84" s="153" t="s">
        <v>353</v>
      </c>
      <c r="E84" s="154">
        <v>0</v>
      </c>
      <c r="F84" s="154"/>
      <c r="G84" s="154">
        <v>250000</v>
      </c>
      <c r="H84" s="231">
        <f t="shared" si="4"/>
        <v>250000</v>
      </c>
      <c r="I84" s="231">
        <v>-88000</v>
      </c>
      <c r="J84" s="231">
        <f t="shared" si="18"/>
        <v>162000</v>
      </c>
      <c r="K84" s="231"/>
      <c r="L84" s="231">
        <f t="shared" si="12"/>
        <v>162000</v>
      </c>
      <c r="M84" s="231"/>
      <c r="N84" s="231">
        <f t="shared" si="15"/>
        <v>162000</v>
      </c>
    </row>
    <row r="85" spans="1:14" s="169" customFormat="1" ht="21" customHeight="1">
      <c r="A85" s="166"/>
      <c r="B85" s="202"/>
      <c r="C85" s="168"/>
      <c r="D85" s="153" t="s">
        <v>365</v>
      </c>
      <c r="E85" s="154">
        <v>0</v>
      </c>
      <c r="F85" s="154"/>
      <c r="G85" s="154">
        <v>5000</v>
      </c>
      <c r="H85" s="231">
        <f t="shared" si="4"/>
        <v>5000</v>
      </c>
      <c r="I85" s="231"/>
      <c r="J85" s="231">
        <f t="shared" si="18"/>
        <v>5000</v>
      </c>
      <c r="K85" s="231"/>
      <c r="L85" s="231">
        <f t="shared" si="12"/>
        <v>5000</v>
      </c>
      <c r="M85" s="231"/>
      <c r="N85" s="231">
        <f t="shared" si="15"/>
        <v>5000</v>
      </c>
    </row>
    <row r="86" spans="1:14" s="29" customFormat="1" ht="45">
      <c r="A86" s="47"/>
      <c r="B86" s="103"/>
      <c r="C86" s="77">
        <v>6010</v>
      </c>
      <c r="D86" s="14" t="s">
        <v>284</v>
      </c>
      <c r="E86" s="99">
        <f>SUM(E87)</f>
        <v>140000</v>
      </c>
      <c r="F86" s="99">
        <f>SUM(F87)</f>
        <v>0</v>
      </c>
      <c r="G86" s="99">
        <f>SUM(G87)</f>
        <v>0</v>
      </c>
      <c r="H86" s="229">
        <f t="shared" si="4"/>
        <v>140000</v>
      </c>
      <c r="I86" s="229">
        <f>SUM(I87)</f>
        <v>0</v>
      </c>
      <c r="J86" s="229">
        <f t="shared" si="18"/>
        <v>140000</v>
      </c>
      <c r="K86" s="229">
        <f>SUM(K87)</f>
        <v>0</v>
      </c>
      <c r="L86" s="229">
        <f t="shared" si="12"/>
        <v>140000</v>
      </c>
      <c r="M86" s="229">
        <f>SUM(M87)</f>
        <v>0</v>
      </c>
      <c r="N86" s="229">
        <f t="shared" si="15"/>
        <v>140000</v>
      </c>
    </row>
    <row r="87" spans="1:14" s="29" customFormat="1" ht="23.25" customHeight="1">
      <c r="A87" s="47"/>
      <c r="B87" s="103"/>
      <c r="C87" s="111"/>
      <c r="D87" s="52" t="s">
        <v>328</v>
      </c>
      <c r="E87" s="99">
        <v>140000</v>
      </c>
      <c r="F87" s="99"/>
      <c r="G87" s="99"/>
      <c r="H87" s="229">
        <f t="shared" si="4"/>
        <v>140000</v>
      </c>
      <c r="I87" s="229"/>
      <c r="J87" s="231">
        <f t="shared" si="18"/>
        <v>140000</v>
      </c>
      <c r="K87" s="229"/>
      <c r="L87" s="231">
        <f t="shared" si="12"/>
        <v>140000</v>
      </c>
      <c r="M87" s="229"/>
      <c r="N87" s="231">
        <f t="shared" si="15"/>
        <v>140000</v>
      </c>
    </row>
    <row r="88" spans="1:14" s="147" customFormat="1" ht="23.25" customHeight="1">
      <c r="A88" s="148"/>
      <c r="B88" s="149">
        <v>90015</v>
      </c>
      <c r="C88" s="150"/>
      <c r="D88" s="41" t="s">
        <v>135</v>
      </c>
      <c r="E88" s="192">
        <f>SUM(E89)</f>
        <v>0</v>
      </c>
      <c r="F88" s="192">
        <f>SUM(F89)</f>
        <v>0</v>
      </c>
      <c r="G88" s="192">
        <f>SUM(G89)</f>
        <v>15000</v>
      </c>
      <c r="H88" s="192">
        <f>SUM(H89)</f>
        <v>15000</v>
      </c>
      <c r="I88" s="192">
        <f>SUM(I89)</f>
        <v>0</v>
      </c>
      <c r="J88" s="229">
        <f t="shared" si="18"/>
        <v>15000</v>
      </c>
      <c r="K88" s="192">
        <f>SUM(K89)</f>
        <v>0</v>
      </c>
      <c r="L88" s="229">
        <f t="shared" si="12"/>
        <v>15000</v>
      </c>
      <c r="M88" s="192">
        <f>SUM(M89)</f>
        <v>0</v>
      </c>
      <c r="N88" s="229">
        <f t="shared" si="15"/>
        <v>15000</v>
      </c>
    </row>
    <row r="89" spans="1:14" s="147" customFormat="1" ht="23.25" customHeight="1">
      <c r="A89" s="148"/>
      <c r="B89" s="149"/>
      <c r="C89" s="150">
        <v>6050</v>
      </c>
      <c r="D89" s="14" t="s">
        <v>73</v>
      </c>
      <c r="E89" s="192">
        <f>SUM(E90:E91)</f>
        <v>0</v>
      </c>
      <c r="F89" s="192">
        <f>SUM(F90:F91)</f>
        <v>0</v>
      </c>
      <c r="G89" s="192">
        <f>SUM(G90:G91)</f>
        <v>15000</v>
      </c>
      <c r="H89" s="192">
        <f>SUM(H90:H91)</f>
        <v>15000</v>
      </c>
      <c r="I89" s="192">
        <f>SUM(I90:I91)</f>
        <v>0</v>
      </c>
      <c r="J89" s="229">
        <f t="shared" si="18"/>
        <v>15000</v>
      </c>
      <c r="K89" s="192">
        <f>SUM(K90:K91)</f>
        <v>0</v>
      </c>
      <c r="L89" s="229">
        <f t="shared" si="12"/>
        <v>15000</v>
      </c>
      <c r="M89" s="192">
        <f>SUM(M90:M91)</f>
        <v>0</v>
      </c>
      <c r="N89" s="229">
        <f t="shared" si="15"/>
        <v>15000</v>
      </c>
    </row>
    <row r="90" spans="1:14" s="169" customFormat="1" ht="23.25" customHeight="1">
      <c r="A90" s="166"/>
      <c r="B90" s="202"/>
      <c r="C90" s="237"/>
      <c r="D90" s="238" t="s">
        <v>358</v>
      </c>
      <c r="E90" s="170">
        <v>0</v>
      </c>
      <c r="F90" s="170"/>
      <c r="G90" s="170">
        <v>5000</v>
      </c>
      <c r="H90" s="231">
        <f>SUM(E90:G90)</f>
        <v>5000</v>
      </c>
      <c r="I90" s="231"/>
      <c r="J90" s="231">
        <f t="shared" si="18"/>
        <v>5000</v>
      </c>
      <c r="K90" s="231"/>
      <c r="L90" s="231">
        <f t="shared" si="12"/>
        <v>5000</v>
      </c>
      <c r="M90" s="231"/>
      <c r="N90" s="231">
        <f t="shared" si="15"/>
        <v>5000</v>
      </c>
    </row>
    <row r="91" spans="1:14" s="169" customFormat="1" ht="23.25" customHeight="1">
      <c r="A91" s="166"/>
      <c r="B91" s="202"/>
      <c r="C91" s="237"/>
      <c r="D91" s="238" t="s">
        <v>359</v>
      </c>
      <c r="E91" s="170">
        <v>0</v>
      </c>
      <c r="F91" s="170"/>
      <c r="G91" s="170">
        <v>10000</v>
      </c>
      <c r="H91" s="231">
        <f>SUM(E91:G91)</f>
        <v>10000</v>
      </c>
      <c r="I91" s="231"/>
      <c r="J91" s="231">
        <f t="shared" si="18"/>
        <v>10000</v>
      </c>
      <c r="K91" s="231"/>
      <c r="L91" s="231">
        <f t="shared" si="12"/>
        <v>10000</v>
      </c>
      <c r="M91" s="231"/>
      <c r="N91" s="231">
        <f t="shared" si="15"/>
        <v>10000</v>
      </c>
    </row>
    <row r="92" spans="1:14" s="29" customFormat="1" ht="21" customHeight="1">
      <c r="A92" s="32">
        <v>926</v>
      </c>
      <c r="B92" s="5"/>
      <c r="C92" s="23"/>
      <c r="D92" s="21" t="s">
        <v>66</v>
      </c>
      <c r="E92" s="19">
        <f>SUM(E93,E98)</f>
        <v>2356380</v>
      </c>
      <c r="F92" s="19">
        <f>SUM(F93,F98)</f>
        <v>-850000</v>
      </c>
      <c r="G92" s="19">
        <f>SUM(G93,G98)</f>
        <v>100000</v>
      </c>
      <c r="H92" s="43">
        <f t="shared" si="4"/>
        <v>1606380</v>
      </c>
      <c r="I92" s="43">
        <f>SUM(I93,I98,)</f>
        <v>0</v>
      </c>
      <c r="J92" s="43">
        <f t="shared" si="18"/>
        <v>1606380</v>
      </c>
      <c r="K92" s="43">
        <f>SUM(K93,K98,)</f>
        <v>0</v>
      </c>
      <c r="L92" s="43">
        <f t="shared" si="12"/>
        <v>1606380</v>
      </c>
      <c r="M92" s="43">
        <f>SUM(M93,M98,)</f>
        <v>0</v>
      </c>
      <c r="N92" s="43">
        <f t="shared" si="15"/>
        <v>1606380</v>
      </c>
    </row>
    <row r="93" spans="1:14" s="147" customFormat="1" ht="21" customHeight="1">
      <c r="A93" s="148"/>
      <c r="B93" s="155">
        <v>92601</v>
      </c>
      <c r="C93" s="165"/>
      <c r="D93" s="195" t="s">
        <v>259</v>
      </c>
      <c r="E93" s="196">
        <f>SUM(E94)</f>
        <v>1956380</v>
      </c>
      <c r="F93" s="196">
        <f>SUM(F94)</f>
        <v>-600000</v>
      </c>
      <c r="G93" s="196">
        <f>SUM(G94)</f>
        <v>100000</v>
      </c>
      <c r="H93" s="229">
        <f t="shared" si="4"/>
        <v>1456380</v>
      </c>
      <c r="I93" s="229">
        <f>SUM(I94)</f>
        <v>0</v>
      </c>
      <c r="J93" s="229">
        <f t="shared" si="18"/>
        <v>1456380</v>
      </c>
      <c r="K93" s="229">
        <f>SUM(K94)</f>
        <v>0</v>
      </c>
      <c r="L93" s="229">
        <f t="shared" si="12"/>
        <v>1456380</v>
      </c>
      <c r="M93" s="229">
        <f>SUM(M94)</f>
        <v>0</v>
      </c>
      <c r="N93" s="229">
        <f t="shared" si="15"/>
        <v>1456380</v>
      </c>
    </row>
    <row r="94" spans="1:14" s="147" customFormat="1" ht="21" customHeight="1">
      <c r="A94" s="148"/>
      <c r="B94" s="155"/>
      <c r="C94" s="165">
        <v>6050</v>
      </c>
      <c r="D94" s="14" t="s">
        <v>73</v>
      </c>
      <c r="E94" s="196">
        <f>SUM(E95:E97)</f>
        <v>1956380</v>
      </c>
      <c r="F94" s="196">
        <f>SUM(F95:F97)</f>
        <v>-600000</v>
      </c>
      <c r="G94" s="196">
        <f>SUM(G95:G97)</f>
        <v>100000</v>
      </c>
      <c r="H94" s="229">
        <f t="shared" si="4"/>
        <v>1456380</v>
      </c>
      <c r="I94" s="229">
        <f>SUM(I95:I97)</f>
        <v>0</v>
      </c>
      <c r="J94" s="229">
        <f t="shared" si="18"/>
        <v>1456380</v>
      </c>
      <c r="K94" s="229">
        <f>SUM(K95:K97)</f>
        <v>0</v>
      </c>
      <c r="L94" s="229">
        <f t="shared" si="12"/>
        <v>1456380</v>
      </c>
      <c r="M94" s="229">
        <f>SUM(M95:M97)</f>
        <v>0</v>
      </c>
      <c r="N94" s="229">
        <f t="shared" si="15"/>
        <v>1456380</v>
      </c>
    </row>
    <row r="95" spans="1:14" s="169" customFormat="1" ht="21" customHeight="1">
      <c r="A95" s="166"/>
      <c r="B95" s="167"/>
      <c r="C95" s="168"/>
      <c r="D95" s="197" t="s">
        <v>329</v>
      </c>
      <c r="E95" s="198">
        <v>70000</v>
      </c>
      <c r="F95" s="198"/>
      <c r="G95" s="198"/>
      <c r="H95" s="231">
        <f t="shared" si="4"/>
        <v>70000</v>
      </c>
      <c r="I95" s="231"/>
      <c r="J95" s="231">
        <f t="shared" si="18"/>
        <v>70000</v>
      </c>
      <c r="K95" s="231"/>
      <c r="L95" s="231">
        <f t="shared" si="12"/>
        <v>70000</v>
      </c>
      <c r="M95" s="231"/>
      <c r="N95" s="231">
        <f t="shared" si="15"/>
        <v>70000</v>
      </c>
    </row>
    <row r="96" spans="1:14" s="169" customFormat="1" ht="26.25" customHeight="1">
      <c r="A96" s="166"/>
      <c r="B96" s="167"/>
      <c r="C96" s="168"/>
      <c r="D96" s="197" t="s">
        <v>361</v>
      </c>
      <c r="E96" s="198">
        <v>0</v>
      </c>
      <c r="F96" s="198"/>
      <c r="G96" s="198">
        <v>100000</v>
      </c>
      <c r="H96" s="231">
        <f t="shared" si="4"/>
        <v>100000</v>
      </c>
      <c r="I96" s="231"/>
      <c r="J96" s="231">
        <f t="shared" si="18"/>
        <v>100000</v>
      </c>
      <c r="K96" s="231"/>
      <c r="L96" s="231">
        <f t="shared" si="12"/>
        <v>100000</v>
      </c>
      <c r="M96" s="231"/>
      <c r="N96" s="231">
        <f t="shared" si="15"/>
        <v>100000</v>
      </c>
    </row>
    <row r="97" spans="1:14" s="169" customFormat="1" ht="21" customHeight="1">
      <c r="A97" s="166"/>
      <c r="B97" s="167"/>
      <c r="C97" s="168"/>
      <c r="D97" s="197" t="s">
        <v>330</v>
      </c>
      <c r="E97" s="198">
        <v>1886380</v>
      </c>
      <c r="F97" s="198">
        <v>-600000</v>
      </c>
      <c r="G97" s="198"/>
      <c r="H97" s="231">
        <f t="shared" si="4"/>
        <v>1286380</v>
      </c>
      <c r="I97" s="231"/>
      <c r="J97" s="231">
        <f t="shared" si="18"/>
        <v>1286380</v>
      </c>
      <c r="K97" s="231"/>
      <c r="L97" s="231">
        <f t="shared" si="12"/>
        <v>1286380</v>
      </c>
      <c r="M97" s="231"/>
      <c r="N97" s="231">
        <f t="shared" si="15"/>
        <v>1286380</v>
      </c>
    </row>
    <row r="98" spans="1:14" s="27" customFormat="1" ht="21" customHeight="1">
      <c r="A98" s="77"/>
      <c r="B98" s="77">
        <v>92604</v>
      </c>
      <c r="C98" s="77"/>
      <c r="D98" s="127" t="s">
        <v>197</v>
      </c>
      <c r="E98" s="128">
        <f aca="true" t="shared" si="19" ref="E98:G99">SUM(E99)</f>
        <v>400000</v>
      </c>
      <c r="F98" s="128">
        <f t="shared" si="19"/>
        <v>-250000</v>
      </c>
      <c r="G98" s="128">
        <f t="shared" si="19"/>
        <v>0</v>
      </c>
      <c r="H98" s="229">
        <f t="shared" si="4"/>
        <v>150000</v>
      </c>
      <c r="I98" s="229">
        <f>SUM(I99)</f>
        <v>0</v>
      </c>
      <c r="J98" s="229">
        <f t="shared" si="18"/>
        <v>150000</v>
      </c>
      <c r="K98" s="229">
        <f>SUM(K99)</f>
        <v>0</v>
      </c>
      <c r="L98" s="229">
        <f>SUM(J98:K98)</f>
        <v>150000</v>
      </c>
      <c r="M98" s="229">
        <f>SUM(M99)</f>
        <v>0</v>
      </c>
      <c r="N98" s="229">
        <f>SUM(L98:M98)</f>
        <v>150000</v>
      </c>
    </row>
    <row r="99" spans="1:14" s="27" customFormat="1" ht="45">
      <c r="A99" s="77"/>
      <c r="B99" s="77"/>
      <c r="C99" s="77">
        <v>6010</v>
      </c>
      <c r="D99" s="14" t="s">
        <v>284</v>
      </c>
      <c r="E99" s="128">
        <f t="shared" si="19"/>
        <v>400000</v>
      </c>
      <c r="F99" s="128">
        <f t="shared" si="19"/>
        <v>-250000</v>
      </c>
      <c r="G99" s="128">
        <f t="shared" si="19"/>
        <v>0</v>
      </c>
      <c r="H99" s="229">
        <f t="shared" si="4"/>
        <v>150000</v>
      </c>
      <c r="I99" s="229">
        <f>SUM(I100)</f>
        <v>0</v>
      </c>
      <c r="J99" s="229">
        <f t="shared" si="18"/>
        <v>150000</v>
      </c>
      <c r="K99" s="229">
        <f>SUM(K100)</f>
        <v>0</v>
      </c>
      <c r="L99" s="229">
        <f>SUM(J99:K99)</f>
        <v>150000</v>
      </c>
      <c r="M99" s="229">
        <f>SUM(M100)</f>
        <v>0</v>
      </c>
      <c r="N99" s="229">
        <f>SUM(L99:M99)</f>
        <v>150000</v>
      </c>
    </row>
    <row r="100" spans="1:14" s="169" customFormat="1" ht="21.75" customHeight="1">
      <c r="A100" s="202"/>
      <c r="B100" s="202"/>
      <c r="C100" s="202"/>
      <c r="D100" s="197" t="s">
        <v>337</v>
      </c>
      <c r="E100" s="199">
        <v>400000</v>
      </c>
      <c r="F100" s="199">
        <v>-250000</v>
      </c>
      <c r="G100" s="199"/>
      <c r="H100" s="231">
        <f t="shared" si="4"/>
        <v>150000</v>
      </c>
      <c r="I100" s="231"/>
      <c r="J100" s="231">
        <f t="shared" si="18"/>
        <v>150000</v>
      </c>
      <c r="K100" s="231"/>
      <c r="L100" s="231">
        <f>SUM(J100:K100)</f>
        <v>150000</v>
      </c>
      <c r="M100" s="231"/>
      <c r="N100" s="231">
        <f>SUM(L100:M100)</f>
        <v>150000</v>
      </c>
    </row>
    <row r="101" spans="1:14" s="8" customFormat="1" ht="21" customHeight="1">
      <c r="A101" s="10"/>
      <c r="B101" s="10"/>
      <c r="C101" s="10"/>
      <c r="D101" s="118" t="s">
        <v>68</v>
      </c>
      <c r="E101" s="56">
        <f>SUM(E92,E78,E74,E57,E51,E41,E29,E11,E37,E33)</f>
        <v>10548980</v>
      </c>
      <c r="F101" s="56">
        <f>SUM(F92,F78,F74,F57,F51,F41,F29,F11,F37,F33)</f>
        <v>-2211184</v>
      </c>
      <c r="G101" s="56">
        <f>SUM(G92,G78,G74,G57,G51,G41,G29,G11,G37,G33)</f>
        <v>2685000</v>
      </c>
      <c r="H101" s="56">
        <f>SUM(H92,H78,H74,H57,H51,H41,H37,H33,H29,H11)</f>
        <v>11022796</v>
      </c>
      <c r="I101" s="56">
        <f>SUM(I92,I78,I74,I57,I51,I41,I37,I33,I29,I11)</f>
        <v>-326150</v>
      </c>
      <c r="J101" s="56">
        <f>SUM(J92,J78,J74,J57,J51,J41,J37,J33,J29,J11,J7)</f>
        <v>10696646</v>
      </c>
      <c r="K101" s="56">
        <f>SUM(K92,K78,K74,K57,K51,K41,K37,K33,K29,K11,K7)</f>
        <v>127220</v>
      </c>
      <c r="L101" s="56">
        <f>SUM(L92,L78,L74,L57,L51,L41,L37,L33,L29,L11,L7)</f>
        <v>10823866</v>
      </c>
      <c r="M101" s="56">
        <f>SUM(M92,M78,M74,M57,M51,M41,M37,M33,M29,M11,M7)</f>
        <v>63850</v>
      </c>
      <c r="N101" s="56">
        <f>SUM(N92,N78,N74,N57,N51,N41,N37,N33,N29,N11,N7)</f>
        <v>10887716</v>
      </c>
    </row>
    <row r="103" ht="12.75">
      <c r="F103" s="53"/>
    </row>
    <row r="104" spans="5:14" ht="12.75"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6" spans="9:13" ht="12.75">
      <c r="I106" s="53">
        <v>-897000</v>
      </c>
      <c r="J106" t="s">
        <v>419</v>
      </c>
      <c r="K106" s="53"/>
      <c r="M106" s="53"/>
    </row>
    <row r="107" spans="9:13" ht="12.75">
      <c r="I107" s="53">
        <v>63850</v>
      </c>
      <c r="J107" t="s">
        <v>420</v>
      </c>
      <c r="K107" s="53"/>
      <c r="M107" s="53"/>
    </row>
    <row r="108" spans="9:13" ht="12.75">
      <c r="I108" s="53">
        <v>90000</v>
      </c>
      <c r="J108" t="s">
        <v>424</v>
      </c>
      <c r="K108" s="53"/>
      <c r="M108" s="53"/>
    </row>
    <row r="109" spans="9:13" ht="12.75">
      <c r="I109" s="53">
        <v>15000</v>
      </c>
      <c r="J109" t="s">
        <v>423</v>
      </c>
      <c r="K109" s="53"/>
      <c r="M109" s="53"/>
    </row>
    <row r="110" spans="9:13" ht="12.75">
      <c r="I110" s="260">
        <f>SUM(I106:I109)</f>
        <v>-728150</v>
      </c>
      <c r="K110" s="260"/>
      <c r="M110" s="260"/>
    </row>
    <row r="114" spans="5:8" ht="12.75">
      <c r="E114" t="s">
        <v>207</v>
      </c>
      <c r="F114" t="s">
        <v>207</v>
      </c>
      <c r="G114" t="s">
        <v>207</v>
      </c>
      <c r="H114" t="s">
        <v>207</v>
      </c>
    </row>
    <row r="115" spans="5:8" ht="12.75">
      <c r="E115" t="s">
        <v>208</v>
      </c>
      <c r="F115" t="s">
        <v>208</v>
      </c>
      <c r="G115" t="s">
        <v>208</v>
      </c>
      <c r="H115" t="s">
        <v>208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8">
      <selection activeCell="K67" sqref="K67"/>
    </sheetView>
  </sheetViews>
  <sheetFormatPr defaultColWidth="9.00390625" defaultRowHeight="12.75"/>
  <cols>
    <col min="1" max="1" width="5.00390625" style="8" customWidth="1"/>
    <col min="2" max="2" width="7.25390625" style="8" bestFit="1" customWidth="1"/>
    <col min="3" max="3" width="4.375" style="8" bestFit="1" customWidth="1"/>
    <col min="4" max="4" width="37.875" style="8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14.25390625" style="0" hidden="1" customWidth="1"/>
    <col min="9" max="9" width="10.75390625" style="0" bestFit="1" customWidth="1"/>
    <col min="10" max="10" width="13.00390625" style="0" customWidth="1"/>
    <col min="11" max="11" width="14.625" style="0" customWidth="1"/>
    <col min="12" max="12" width="13.00390625" style="0" customWidth="1"/>
  </cols>
  <sheetData>
    <row r="1" spans="5:12" ht="12.75">
      <c r="E1" s="61"/>
      <c r="F1" s="61"/>
      <c r="G1" s="61"/>
      <c r="H1" s="61" t="s">
        <v>470</v>
      </c>
      <c r="I1" s="61"/>
      <c r="J1" s="61" t="s">
        <v>490</v>
      </c>
      <c r="K1" s="61"/>
      <c r="L1" s="61"/>
    </row>
    <row r="2" spans="5:12" ht="12.75">
      <c r="E2" s="61"/>
      <c r="F2" s="61"/>
      <c r="G2" s="61"/>
      <c r="H2" s="61" t="s">
        <v>469</v>
      </c>
      <c r="I2" s="61"/>
      <c r="J2" s="61" t="s">
        <v>489</v>
      </c>
      <c r="K2" s="61"/>
      <c r="L2" s="61"/>
    </row>
    <row r="3" spans="5:12" ht="12.75">
      <c r="E3" s="61"/>
      <c r="F3" s="61"/>
      <c r="G3" s="61"/>
      <c r="H3" s="61" t="s">
        <v>410</v>
      </c>
      <c r="I3" s="61"/>
      <c r="J3" s="61" t="s">
        <v>470</v>
      </c>
      <c r="K3" s="61"/>
      <c r="L3" s="61"/>
    </row>
    <row r="4" spans="5:12" ht="12.75">
      <c r="E4" s="61"/>
      <c r="F4" s="61"/>
      <c r="G4" s="61"/>
      <c r="H4" s="61" t="s">
        <v>409</v>
      </c>
      <c r="I4" s="61"/>
      <c r="J4" s="61" t="s">
        <v>486</v>
      </c>
      <c r="K4" s="61"/>
      <c r="L4" s="61"/>
    </row>
    <row r="5" spans="1:4" ht="17.25" customHeight="1">
      <c r="A5" s="360" t="s">
        <v>338</v>
      </c>
      <c r="B5" s="360"/>
      <c r="C5" s="360"/>
      <c r="D5" s="360"/>
    </row>
    <row r="6" spans="1:12" s="8" customFormat="1" ht="24" customHeight="1">
      <c r="A6" s="6" t="s">
        <v>0</v>
      </c>
      <c r="B6" s="5" t="s">
        <v>1</v>
      </c>
      <c r="C6" s="23" t="s">
        <v>2</v>
      </c>
      <c r="D6" s="5" t="s">
        <v>3</v>
      </c>
      <c r="E6" s="109" t="s">
        <v>142</v>
      </c>
      <c r="F6" s="109" t="s">
        <v>196</v>
      </c>
      <c r="G6" s="109" t="s">
        <v>195</v>
      </c>
      <c r="H6" s="109" t="s">
        <v>142</v>
      </c>
      <c r="I6" s="109" t="s">
        <v>372</v>
      </c>
      <c r="J6" s="109" t="s">
        <v>143</v>
      </c>
      <c r="K6" s="109" t="s">
        <v>372</v>
      </c>
      <c r="L6" s="109" t="s">
        <v>385</v>
      </c>
    </row>
    <row r="7" spans="1:12" s="8" customFormat="1" ht="24" customHeight="1">
      <c r="A7" s="105" t="s">
        <v>4</v>
      </c>
      <c r="B7" s="5"/>
      <c r="C7" s="23"/>
      <c r="D7" s="39" t="s">
        <v>5</v>
      </c>
      <c r="E7" s="109"/>
      <c r="F7" s="109"/>
      <c r="G7" s="109"/>
      <c r="H7" s="109"/>
      <c r="I7" s="109"/>
      <c r="J7" s="308">
        <f>SUM(J8)</f>
        <v>0</v>
      </c>
      <c r="K7" s="308">
        <f aca="true" t="shared" si="0" ref="K7:L9">SUM(K8)</f>
        <v>0</v>
      </c>
      <c r="L7" s="308">
        <f t="shared" si="0"/>
        <v>0</v>
      </c>
    </row>
    <row r="8" spans="1:12" s="147" customFormat="1" ht="24" customHeight="1">
      <c r="A8" s="305"/>
      <c r="B8" s="306" t="s">
        <v>317</v>
      </c>
      <c r="C8" s="165"/>
      <c r="D8" s="41" t="s">
        <v>334</v>
      </c>
      <c r="E8" s="180"/>
      <c r="F8" s="180"/>
      <c r="G8" s="180"/>
      <c r="H8" s="180"/>
      <c r="I8" s="180"/>
      <c r="J8" s="307">
        <f>SUM(J9)</f>
        <v>0</v>
      </c>
      <c r="K8" s="307">
        <f t="shared" si="0"/>
        <v>0</v>
      </c>
      <c r="L8" s="307">
        <f t="shared" si="0"/>
        <v>0</v>
      </c>
    </row>
    <row r="9" spans="1:12" s="147" customFormat="1" ht="24" customHeight="1">
      <c r="A9" s="305"/>
      <c r="B9" s="155"/>
      <c r="C9" s="165">
        <v>6050</v>
      </c>
      <c r="D9" s="14" t="s">
        <v>73</v>
      </c>
      <c r="E9" s="180"/>
      <c r="F9" s="180"/>
      <c r="G9" s="180"/>
      <c r="H9" s="180"/>
      <c r="I9" s="180"/>
      <c r="J9" s="307">
        <f>SUM(J10)</f>
        <v>0</v>
      </c>
      <c r="K9" s="307">
        <f t="shared" si="0"/>
        <v>0</v>
      </c>
      <c r="L9" s="307">
        <f t="shared" si="0"/>
        <v>0</v>
      </c>
    </row>
    <row r="10" spans="1:12" s="169" customFormat="1" ht="23.25" customHeight="1">
      <c r="A10" s="230"/>
      <c r="B10" s="167"/>
      <c r="C10" s="168"/>
      <c r="D10" s="153" t="s">
        <v>505</v>
      </c>
      <c r="E10" s="309"/>
      <c r="F10" s="309"/>
      <c r="G10" s="309"/>
      <c r="H10" s="309"/>
      <c r="I10" s="309"/>
      <c r="J10" s="310">
        <v>0</v>
      </c>
      <c r="K10" s="310"/>
      <c r="L10" s="310">
        <f>SUM(J10:K10)</f>
        <v>0</v>
      </c>
    </row>
    <row r="11" spans="1:12" s="7" customFormat="1" ht="21" customHeight="1">
      <c r="A11" s="32" t="s">
        <v>74</v>
      </c>
      <c r="B11" s="5"/>
      <c r="C11" s="23"/>
      <c r="D11" s="21" t="s">
        <v>75</v>
      </c>
      <c r="E11" s="43">
        <f>E17</f>
        <v>469300</v>
      </c>
      <c r="F11" s="43">
        <f>F17</f>
        <v>-100000</v>
      </c>
      <c r="G11" s="43">
        <f>G17</f>
        <v>1540000</v>
      </c>
      <c r="H11" s="43">
        <f>SUM(E11:G11)</f>
        <v>1909300</v>
      </c>
      <c r="I11" s="43">
        <f>SUM(I17,I12)</f>
        <v>100000</v>
      </c>
      <c r="J11" s="43">
        <f>SUM(H11:I11)</f>
        <v>2009300</v>
      </c>
      <c r="K11" s="43">
        <f>SUM(K17,K12)</f>
        <v>127220</v>
      </c>
      <c r="L11" s="43">
        <f>SUM(J11:K11)</f>
        <v>2136520</v>
      </c>
    </row>
    <row r="12" spans="1:12" s="147" customFormat="1" ht="21" customHeight="1">
      <c r="A12" s="148"/>
      <c r="B12" s="155">
        <v>60014</v>
      </c>
      <c r="C12" s="165"/>
      <c r="D12" s="157" t="s">
        <v>418</v>
      </c>
      <c r="E12" s="229"/>
      <c r="F12" s="229"/>
      <c r="G12" s="229"/>
      <c r="H12" s="229">
        <f>SUM(H13)</f>
        <v>0</v>
      </c>
      <c r="I12" s="229">
        <f>SUM(I13)</f>
        <v>100000</v>
      </c>
      <c r="J12" s="229">
        <f>SUM(J13)</f>
        <v>100000</v>
      </c>
      <c r="K12" s="229">
        <f>SUM(K13)</f>
        <v>127220</v>
      </c>
      <c r="L12" s="229">
        <f>SUM(L13)</f>
        <v>227220</v>
      </c>
    </row>
    <row r="13" spans="1:12" s="147" customFormat="1" ht="45">
      <c r="A13" s="148"/>
      <c r="B13" s="155"/>
      <c r="C13" s="165">
        <v>6300</v>
      </c>
      <c r="D13" s="157" t="s">
        <v>416</v>
      </c>
      <c r="E13" s="229"/>
      <c r="F13" s="229"/>
      <c r="G13" s="229"/>
      <c r="H13" s="229">
        <f>SUM(H15:H16)</f>
        <v>0</v>
      </c>
      <c r="I13" s="229">
        <f>SUM(I15:I16)</f>
        <v>100000</v>
      </c>
      <c r="J13" s="229">
        <f>SUM(J14:J16)</f>
        <v>100000</v>
      </c>
      <c r="K13" s="229">
        <f>SUM(K14:K16)</f>
        <v>127220</v>
      </c>
      <c r="L13" s="229">
        <f>SUM(L14:L16)</f>
        <v>227220</v>
      </c>
    </row>
    <row r="14" spans="1:12" s="147" customFormat="1" ht="56.25">
      <c r="A14" s="148"/>
      <c r="B14" s="155"/>
      <c r="C14" s="165"/>
      <c r="D14" s="157" t="s">
        <v>504</v>
      </c>
      <c r="E14" s="229"/>
      <c r="F14" s="229"/>
      <c r="G14" s="229"/>
      <c r="H14" s="229"/>
      <c r="I14" s="229"/>
      <c r="J14" s="229">
        <v>0</v>
      </c>
      <c r="K14" s="229">
        <v>127220</v>
      </c>
      <c r="L14" s="231">
        <f aca="true" t="shared" si="1" ref="L14:L19">SUM(J14:K14)</f>
        <v>127220</v>
      </c>
    </row>
    <row r="15" spans="1:12" s="169" customFormat="1" ht="56.25" hidden="1">
      <c r="A15" s="166"/>
      <c r="B15" s="167"/>
      <c r="C15" s="168"/>
      <c r="D15" s="153" t="s">
        <v>417</v>
      </c>
      <c r="E15" s="231"/>
      <c r="F15" s="231"/>
      <c r="G15" s="231"/>
      <c r="H15" s="231">
        <v>0</v>
      </c>
      <c r="I15" s="231">
        <v>75000</v>
      </c>
      <c r="J15" s="231">
        <f>SUM(H15:I15)</f>
        <v>75000</v>
      </c>
      <c r="K15" s="231"/>
      <c r="L15" s="231">
        <f t="shared" si="1"/>
        <v>75000</v>
      </c>
    </row>
    <row r="16" spans="1:12" s="169" customFormat="1" ht="56.25" hidden="1">
      <c r="A16" s="166"/>
      <c r="B16" s="167"/>
      <c r="C16" s="168"/>
      <c r="D16" s="153" t="s">
        <v>421</v>
      </c>
      <c r="E16" s="231"/>
      <c r="F16" s="231"/>
      <c r="G16" s="231"/>
      <c r="H16" s="231">
        <v>0</v>
      </c>
      <c r="I16" s="231">
        <v>25000</v>
      </c>
      <c r="J16" s="231">
        <f>SUM(H16:I16)</f>
        <v>25000</v>
      </c>
      <c r="K16" s="231"/>
      <c r="L16" s="231">
        <f t="shared" si="1"/>
        <v>25000</v>
      </c>
    </row>
    <row r="17" spans="1:12" s="27" customFormat="1" ht="21" customHeight="1">
      <c r="A17" s="76"/>
      <c r="B17" s="77" t="s">
        <v>76</v>
      </c>
      <c r="C17" s="84"/>
      <c r="D17" s="14" t="s">
        <v>77</v>
      </c>
      <c r="E17" s="58">
        <f>SUM(E18,)</f>
        <v>469300</v>
      </c>
      <c r="F17" s="58">
        <f>SUM(F18,)</f>
        <v>-100000</v>
      </c>
      <c r="G17" s="58">
        <f>SUM(G18,)</f>
        <v>1540000</v>
      </c>
      <c r="H17" s="229">
        <f aca="true" t="shared" si="2" ref="H17:H99">SUM(E17:G17)</f>
        <v>1909300</v>
      </c>
      <c r="I17" s="229">
        <f>SUM(I18)</f>
        <v>0</v>
      </c>
      <c r="J17" s="229">
        <f aca="true" t="shared" si="3" ref="J17:J80">SUM(H17:I17)</f>
        <v>1909300</v>
      </c>
      <c r="K17" s="229">
        <f>SUM(K18)</f>
        <v>0</v>
      </c>
      <c r="L17" s="229">
        <f t="shared" si="1"/>
        <v>1909300</v>
      </c>
    </row>
    <row r="18" spans="1:12" s="27" customFormat="1" ht="21" customHeight="1">
      <c r="A18" s="82"/>
      <c r="B18" s="51"/>
      <c r="C18" s="84">
        <v>6050</v>
      </c>
      <c r="D18" s="14" t="s">
        <v>73</v>
      </c>
      <c r="E18" s="58">
        <f>SUM(E19:E28)</f>
        <v>469300</v>
      </c>
      <c r="F18" s="58">
        <f>SUM(F19:F28)</f>
        <v>-100000</v>
      </c>
      <c r="G18" s="58">
        <f>SUM(G19:G28)</f>
        <v>1540000</v>
      </c>
      <c r="H18" s="229">
        <f t="shared" si="2"/>
        <v>1909300</v>
      </c>
      <c r="I18" s="229">
        <f>SUM(I19:I28)</f>
        <v>0</v>
      </c>
      <c r="J18" s="229">
        <f t="shared" si="3"/>
        <v>1909300</v>
      </c>
      <c r="K18" s="229">
        <f>SUM(K19:K28)</f>
        <v>0</v>
      </c>
      <c r="L18" s="229">
        <f t="shared" si="1"/>
        <v>1909300</v>
      </c>
    </row>
    <row r="19" spans="1:12" s="169" customFormat="1" ht="29.25" customHeight="1" hidden="1">
      <c r="A19" s="230"/>
      <c r="B19" s="167"/>
      <c r="C19" s="168"/>
      <c r="D19" s="153" t="s">
        <v>403</v>
      </c>
      <c r="E19" s="170">
        <v>6300</v>
      </c>
      <c r="F19" s="170"/>
      <c r="G19" s="170"/>
      <c r="H19" s="231">
        <f t="shared" si="2"/>
        <v>6300</v>
      </c>
      <c r="I19" s="231"/>
      <c r="J19" s="231">
        <f>SUM(H19:I19)</f>
        <v>6300</v>
      </c>
      <c r="K19" s="231"/>
      <c r="L19" s="231">
        <f t="shared" si="1"/>
        <v>6300</v>
      </c>
    </row>
    <row r="20" spans="1:12" s="169" customFormat="1" ht="21" customHeight="1" hidden="1">
      <c r="A20" s="230"/>
      <c r="B20" s="167"/>
      <c r="C20" s="168"/>
      <c r="D20" s="153" t="s">
        <v>320</v>
      </c>
      <c r="E20" s="170">
        <v>13000</v>
      </c>
      <c r="F20" s="170"/>
      <c r="G20" s="170"/>
      <c r="H20" s="231">
        <f t="shared" si="2"/>
        <v>13000</v>
      </c>
      <c r="I20" s="231"/>
      <c r="J20" s="231">
        <f aca="true" t="shared" si="4" ref="J20:J28">SUM(H20:I20)</f>
        <v>13000</v>
      </c>
      <c r="K20" s="231"/>
      <c r="L20" s="231">
        <f aca="true" t="shared" si="5" ref="L20:L31">SUM(J20:K20)</f>
        <v>13000</v>
      </c>
    </row>
    <row r="21" spans="1:12" s="169" customFormat="1" ht="21" customHeight="1" hidden="1">
      <c r="A21" s="230"/>
      <c r="B21" s="167"/>
      <c r="C21" s="168"/>
      <c r="D21" s="153" t="s">
        <v>360</v>
      </c>
      <c r="E21" s="170">
        <v>0</v>
      </c>
      <c r="F21" s="170"/>
      <c r="G21" s="234">
        <v>10000</v>
      </c>
      <c r="H21" s="231">
        <f t="shared" si="2"/>
        <v>10000</v>
      </c>
      <c r="I21" s="231"/>
      <c r="J21" s="231">
        <f t="shared" si="4"/>
        <v>10000</v>
      </c>
      <c r="K21" s="231"/>
      <c r="L21" s="231">
        <f t="shared" si="5"/>
        <v>10000</v>
      </c>
    </row>
    <row r="22" spans="1:12" s="169" customFormat="1" ht="25.5" customHeight="1" hidden="1">
      <c r="A22" s="230"/>
      <c r="B22" s="167"/>
      <c r="C22" s="168"/>
      <c r="D22" s="153" t="s">
        <v>321</v>
      </c>
      <c r="E22" s="170">
        <v>250000</v>
      </c>
      <c r="F22" s="170"/>
      <c r="G22" s="170"/>
      <c r="H22" s="231">
        <f t="shared" si="2"/>
        <v>250000</v>
      </c>
      <c r="I22" s="231"/>
      <c r="J22" s="231">
        <f t="shared" si="4"/>
        <v>250000</v>
      </c>
      <c r="K22" s="231"/>
      <c r="L22" s="231">
        <f t="shared" si="5"/>
        <v>250000</v>
      </c>
    </row>
    <row r="23" spans="1:12" s="169" customFormat="1" ht="45">
      <c r="A23" s="230"/>
      <c r="B23" s="167"/>
      <c r="C23" s="168"/>
      <c r="D23" s="153" t="s">
        <v>402</v>
      </c>
      <c r="E23" s="170">
        <v>0</v>
      </c>
      <c r="F23" s="170"/>
      <c r="G23" s="234">
        <v>500000</v>
      </c>
      <c r="H23" s="231">
        <f t="shared" si="2"/>
        <v>500000</v>
      </c>
      <c r="I23" s="231"/>
      <c r="J23" s="231">
        <f t="shared" si="4"/>
        <v>500000</v>
      </c>
      <c r="K23" s="231"/>
      <c r="L23" s="231">
        <f t="shared" si="5"/>
        <v>500000</v>
      </c>
    </row>
    <row r="24" spans="1:12" s="169" customFormat="1" ht="22.5">
      <c r="A24" s="230"/>
      <c r="B24" s="167"/>
      <c r="C24" s="168"/>
      <c r="D24" s="153" t="s">
        <v>362</v>
      </c>
      <c r="E24" s="170">
        <v>0</v>
      </c>
      <c r="F24" s="170"/>
      <c r="G24" s="234">
        <v>30000</v>
      </c>
      <c r="H24" s="231">
        <f t="shared" si="2"/>
        <v>30000</v>
      </c>
      <c r="I24" s="231"/>
      <c r="J24" s="231">
        <f t="shared" si="4"/>
        <v>30000</v>
      </c>
      <c r="K24" s="231"/>
      <c r="L24" s="231">
        <f t="shared" si="5"/>
        <v>30000</v>
      </c>
    </row>
    <row r="25" spans="1:12" s="169" customFormat="1" ht="45" hidden="1">
      <c r="A25" s="230"/>
      <c r="B25" s="167"/>
      <c r="C25" s="168"/>
      <c r="D25" s="153" t="s">
        <v>355</v>
      </c>
      <c r="E25" s="170">
        <v>0</v>
      </c>
      <c r="F25" s="170"/>
      <c r="G25" s="234">
        <v>500000</v>
      </c>
      <c r="H25" s="231">
        <f t="shared" si="2"/>
        <v>500000</v>
      </c>
      <c r="I25" s="231"/>
      <c r="J25" s="231">
        <f t="shared" si="4"/>
        <v>500000</v>
      </c>
      <c r="K25" s="231"/>
      <c r="L25" s="231">
        <f t="shared" si="5"/>
        <v>500000</v>
      </c>
    </row>
    <row r="26" spans="1:12" s="169" customFormat="1" ht="21" customHeight="1" hidden="1">
      <c r="A26" s="230"/>
      <c r="B26" s="167"/>
      <c r="C26" s="168"/>
      <c r="D26" s="153" t="s">
        <v>356</v>
      </c>
      <c r="E26" s="170">
        <v>0</v>
      </c>
      <c r="F26" s="170"/>
      <c r="G26" s="234">
        <v>500000</v>
      </c>
      <c r="H26" s="231">
        <f t="shared" si="2"/>
        <v>500000</v>
      </c>
      <c r="I26" s="231"/>
      <c r="J26" s="231">
        <f t="shared" si="4"/>
        <v>500000</v>
      </c>
      <c r="K26" s="231"/>
      <c r="L26" s="231">
        <f t="shared" si="5"/>
        <v>500000</v>
      </c>
    </row>
    <row r="27" spans="1:12" s="169" customFormat="1" ht="22.5" hidden="1">
      <c r="A27" s="230"/>
      <c r="B27" s="167"/>
      <c r="C27" s="168"/>
      <c r="D27" s="153" t="s">
        <v>322</v>
      </c>
      <c r="E27" s="170">
        <v>100000</v>
      </c>
      <c r="F27" s="170"/>
      <c r="G27" s="170"/>
      <c r="H27" s="231">
        <f t="shared" si="2"/>
        <v>100000</v>
      </c>
      <c r="I27" s="231"/>
      <c r="J27" s="231">
        <f t="shared" si="4"/>
        <v>100000</v>
      </c>
      <c r="K27" s="231"/>
      <c r="L27" s="231">
        <f t="shared" si="5"/>
        <v>100000</v>
      </c>
    </row>
    <row r="28" spans="1:12" s="169" customFormat="1" ht="24" customHeight="1" hidden="1">
      <c r="A28" s="230"/>
      <c r="B28" s="167"/>
      <c r="C28" s="168"/>
      <c r="D28" s="153" t="s">
        <v>323</v>
      </c>
      <c r="E28" s="170">
        <v>100000</v>
      </c>
      <c r="F28" s="234">
        <v>-100000</v>
      </c>
      <c r="G28" s="170"/>
      <c r="H28" s="231">
        <f t="shared" si="2"/>
        <v>0</v>
      </c>
      <c r="I28" s="231"/>
      <c r="J28" s="231">
        <f t="shared" si="4"/>
        <v>0</v>
      </c>
      <c r="K28" s="231"/>
      <c r="L28" s="231">
        <f t="shared" si="5"/>
        <v>0</v>
      </c>
    </row>
    <row r="29" spans="1:12" s="11" customFormat="1" ht="21" customHeight="1" hidden="1">
      <c r="A29" s="32" t="s">
        <v>8</v>
      </c>
      <c r="B29" s="5"/>
      <c r="C29" s="23"/>
      <c r="D29" s="21" t="s">
        <v>9</v>
      </c>
      <c r="E29" s="19">
        <f aca="true" t="shared" si="6" ref="E29:G30">SUM(E30)</f>
        <v>500000</v>
      </c>
      <c r="F29" s="19">
        <f t="shared" si="6"/>
        <v>-200000</v>
      </c>
      <c r="G29" s="19">
        <f t="shared" si="6"/>
        <v>0</v>
      </c>
      <c r="H29" s="43">
        <f t="shared" si="2"/>
        <v>300000</v>
      </c>
      <c r="I29" s="43">
        <f>SUM(I30)</f>
        <v>0</v>
      </c>
      <c r="J29" s="43">
        <f t="shared" si="3"/>
        <v>300000</v>
      </c>
      <c r="K29" s="43">
        <f>SUM(K30)</f>
        <v>0</v>
      </c>
      <c r="L29" s="43">
        <f t="shared" si="5"/>
        <v>300000</v>
      </c>
    </row>
    <row r="30" spans="1:12" s="27" customFormat="1" ht="21" customHeight="1" hidden="1">
      <c r="A30" s="76"/>
      <c r="B30" s="77">
        <v>70095</v>
      </c>
      <c r="C30" s="84"/>
      <c r="D30" s="14" t="s">
        <v>6</v>
      </c>
      <c r="E30" s="89">
        <f t="shared" si="6"/>
        <v>500000</v>
      </c>
      <c r="F30" s="89">
        <f t="shared" si="6"/>
        <v>-200000</v>
      </c>
      <c r="G30" s="89">
        <f t="shared" si="6"/>
        <v>0</v>
      </c>
      <c r="H30" s="229">
        <f t="shared" si="2"/>
        <v>300000</v>
      </c>
      <c r="I30" s="229">
        <f>SUM(I31)</f>
        <v>0</v>
      </c>
      <c r="J30" s="229">
        <f t="shared" si="3"/>
        <v>300000</v>
      </c>
      <c r="K30" s="229">
        <f>SUM(K31)</f>
        <v>0</v>
      </c>
      <c r="L30" s="229">
        <f t="shared" si="5"/>
        <v>300000</v>
      </c>
    </row>
    <row r="31" spans="1:12" s="27" customFormat="1" ht="21" customHeight="1" hidden="1">
      <c r="A31" s="76"/>
      <c r="B31" s="77"/>
      <c r="C31" s="78">
        <v>6050</v>
      </c>
      <c r="D31" s="14" t="s">
        <v>73</v>
      </c>
      <c r="E31" s="89">
        <f>SUM(E32:E32)</f>
        <v>500000</v>
      </c>
      <c r="F31" s="89">
        <f>SUM(F32:F32)</f>
        <v>-200000</v>
      </c>
      <c r="G31" s="89">
        <f>SUM(G32:G32)</f>
        <v>0</v>
      </c>
      <c r="H31" s="229">
        <f t="shared" si="2"/>
        <v>300000</v>
      </c>
      <c r="I31" s="229">
        <f>SUM(I32)</f>
        <v>0</v>
      </c>
      <c r="J31" s="229">
        <f t="shared" si="3"/>
        <v>300000</v>
      </c>
      <c r="K31" s="229">
        <f>SUM(K32)</f>
        <v>0</v>
      </c>
      <c r="L31" s="229">
        <f t="shared" si="5"/>
        <v>300000</v>
      </c>
    </row>
    <row r="32" spans="1:12" s="27" customFormat="1" ht="21" customHeight="1" hidden="1">
      <c r="A32" s="47"/>
      <c r="B32" s="46"/>
      <c r="C32" s="48"/>
      <c r="D32" s="49" t="s">
        <v>324</v>
      </c>
      <c r="E32" s="99">
        <v>500000</v>
      </c>
      <c r="F32" s="239">
        <v>-200000</v>
      </c>
      <c r="G32" s="99"/>
      <c r="H32" s="231">
        <f t="shared" si="2"/>
        <v>300000</v>
      </c>
      <c r="I32" s="229"/>
      <c r="J32" s="231">
        <f>SUM(H32:I32)</f>
        <v>300000</v>
      </c>
      <c r="K32" s="229"/>
      <c r="L32" s="231">
        <f>SUM(J32:K32)</f>
        <v>300000</v>
      </c>
    </row>
    <row r="33" spans="1:12" s="194" customFormat="1" ht="21" customHeight="1" hidden="1">
      <c r="A33" s="203">
        <v>710</v>
      </c>
      <c r="B33" s="204"/>
      <c r="C33" s="205"/>
      <c r="D33" s="39" t="s">
        <v>80</v>
      </c>
      <c r="E33" s="193">
        <f aca="true" t="shared" si="7" ref="E33:G35">SUM(E34)</f>
        <v>0</v>
      </c>
      <c r="F33" s="193">
        <f t="shared" si="7"/>
        <v>0</v>
      </c>
      <c r="G33" s="193">
        <f t="shared" si="7"/>
        <v>20000</v>
      </c>
      <c r="H33" s="235">
        <f t="shared" si="2"/>
        <v>20000</v>
      </c>
      <c r="I33" s="235">
        <f>SUM(I34)</f>
        <v>0</v>
      </c>
      <c r="J33" s="43">
        <f t="shared" si="3"/>
        <v>20000</v>
      </c>
      <c r="K33" s="235">
        <f>SUM(K34)</f>
        <v>0</v>
      </c>
      <c r="L33" s="43">
        <f aca="true" t="shared" si="8" ref="L33:L96">SUM(J33:K33)</f>
        <v>20000</v>
      </c>
    </row>
    <row r="34" spans="1:12" s="147" customFormat="1" ht="21" customHeight="1" hidden="1">
      <c r="A34" s="148"/>
      <c r="B34" s="155">
        <v>71035</v>
      </c>
      <c r="C34" s="156"/>
      <c r="D34" s="41" t="s">
        <v>14</v>
      </c>
      <c r="E34" s="192">
        <f t="shared" si="7"/>
        <v>0</v>
      </c>
      <c r="F34" s="192">
        <f t="shared" si="7"/>
        <v>0</v>
      </c>
      <c r="G34" s="192">
        <f t="shared" si="7"/>
        <v>20000</v>
      </c>
      <c r="H34" s="229">
        <f t="shared" si="2"/>
        <v>20000</v>
      </c>
      <c r="I34" s="229">
        <f>SUM(I35)</f>
        <v>0</v>
      </c>
      <c r="J34" s="229">
        <f t="shared" si="3"/>
        <v>20000</v>
      </c>
      <c r="K34" s="229">
        <f>SUM(K35)</f>
        <v>0</v>
      </c>
      <c r="L34" s="229">
        <f t="shared" si="8"/>
        <v>20000</v>
      </c>
    </row>
    <row r="35" spans="1:12" s="147" customFormat="1" ht="21" customHeight="1" hidden="1">
      <c r="A35" s="148"/>
      <c r="B35" s="155"/>
      <c r="C35" s="156">
        <v>6050</v>
      </c>
      <c r="D35" s="14" t="s">
        <v>73</v>
      </c>
      <c r="E35" s="192">
        <f t="shared" si="7"/>
        <v>0</v>
      </c>
      <c r="F35" s="192">
        <f t="shared" si="7"/>
        <v>0</v>
      </c>
      <c r="G35" s="192">
        <f t="shared" si="7"/>
        <v>20000</v>
      </c>
      <c r="H35" s="229">
        <f t="shared" si="2"/>
        <v>20000</v>
      </c>
      <c r="I35" s="229">
        <f>SUM(I36)</f>
        <v>0</v>
      </c>
      <c r="J35" s="229">
        <f t="shared" si="3"/>
        <v>20000</v>
      </c>
      <c r="K35" s="229">
        <f>SUM(K36)</f>
        <v>0</v>
      </c>
      <c r="L35" s="229">
        <f t="shared" si="8"/>
        <v>20000</v>
      </c>
    </row>
    <row r="36" spans="1:12" s="27" customFormat="1" ht="22.5" customHeight="1" hidden="1">
      <c r="A36" s="47"/>
      <c r="B36" s="46"/>
      <c r="C36" s="48"/>
      <c r="D36" s="49" t="s">
        <v>368</v>
      </c>
      <c r="E36" s="99">
        <v>0</v>
      </c>
      <c r="F36" s="99">
        <v>0</v>
      </c>
      <c r="G36" s="239">
        <v>20000</v>
      </c>
      <c r="H36" s="231">
        <f t="shared" si="2"/>
        <v>20000</v>
      </c>
      <c r="I36" s="229"/>
      <c r="J36" s="231">
        <f t="shared" si="3"/>
        <v>20000</v>
      </c>
      <c r="K36" s="229"/>
      <c r="L36" s="231">
        <f t="shared" si="8"/>
        <v>20000</v>
      </c>
    </row>
    <row r="37" spans="1:12" s="194" customFormat="1" ht="21" customHeight="1" hidden="1">
      <c r="A37" s="203">
        <v>750</v>
      </c>
      <c r="B37" s="204"/>
      <c r="C37" s="205"/>
      <c r="D37" s="206" t="s">
        <v>83</v>
      </c>
      <c r="E37" s="193">
        <f aca="true" t="shared" si="9" ref="E37:G39">SUM(E38)</f>
        <v>150000</v>
      </c>
      <c r="F37" s="193">
        <f t="shared" si="9"/>
        <v>-100000</v>
      </c>
      <c r="G37" s="193">
        <f t="shared" si="9"/>
        <v>0</v>
      </c>
      <c r="H37" s="43">
        <f t="shared" si="2"/>
        <v>50000</v>
      </c>
      <c r="I37" s="43">
        <f>SUM(I38)</f>
        <v>0</v>
      </c>
      <c r="J37" s="43">
        <f t="shared" si="3"/>
        <v>50000</v>
      </c>
      <c r="K37" s="43">
        <f>SUM(K38)</f>
        <v>0</v>
      </c>
      <c r="L37" s="43">
        <f t="shared" si="8"/>
        <v>50000</v>
      </c>
    </row>
    <row r="38" spans="1:12" s="147" customFormat="1" ht="21" customHeight="1" hidden="1">
      <c r="A38" s="148"/>
      <c r="B38" s="155">
        <v>75023</v>
      </c>
      <c r="C38" s="156"/>
      <c r="D38" s="157" t="s">
        <v>19</v>
      </c>
      <c r="E38" s="192">
        <f t="shared" si="9"/>
        <v>150000</v>
      </c>
      <c r="F38" s="192">
        <f t="shared" si="9"/>
        <v>-100000</v>
      </c>
      <c r="G38" s="192">
        <f t="shared" si="9"/>
        <v>0</v>
      </c>
      <c r="H38" s="229">
        <f t="shared" si="2"/>
        <v>50000</v>
      </c>
      <c r="I38" s="229">
        <f>SUM(I39)</f>
        <v>0</v>
      </c>
      <c r="J38" s="229">
        <f t="shared" si="3"/>
        <v>50000</v>
      </c>
      <c r="K38" s="229">
        <f>SUM(K39)</f>
        <v>0</v>
      </c>
      <c r="L38" s="229">
        <f t="shared" si="8"/>
        <v>50000</v>
      </c>
    </row>
    <row r="39" spans="1:12" s="147" customFormat="1" ht="21" customHeight="1" hidden="1">
      <c r="A39" s="148"/>
      <c r="B39" s="155"/>
      <c r="C39" s="156">
        <v>6050</v>
      </c>
      <c r="D39" s="14" t="s">
        <v>73</v>
      </c>
      <c r="E39" s="192">
        <f t="shared" si="9"/>
        <v>150000</v>
      </c>
      <c r="F39" s="192">
        <f t="shared" si="9"/>
        <v>-100000</v>
      </c>
      <c r="G39" s="192">
        <f t="shared" si="9"/>
        <v>0</v>
      </c>
      <c r="H39" s="229">
        <f t="shared" si="2"/>
        <v>50000</v>
      </c>
      <c r="I39" s="229">
        <f>SUM(I40)</f>
        <v>0</v>
      </c>
      <c r="J39" s="229">
        <f t="shared" si="3"/>
        <v>50000</v>
      </c>
      <c r="K39" s="229">
        <f>SUM(K40)</f>
        <v>0</v>
      </c>
      <c r="L39" s="229">
        <f t="shared" si="8"/>
        <v>50000</v>
      </c>
    </row>
    <row r="40" spans="1:12" s="27" customFormat="1" ht="21" customHeight="1" hidden="1">
      <c r="A40" s="47"/>
      <c r="B40" s="46"/>
      <c r="C40" s="48"/>
      <c r="D40" s="49" t="s">
        <v>333</v>
      </c>
      <c r="E40" s="99">
        <v>150000</v>
      </c>
      <c r="F40" s="239">
        <v>-100000</v>
      </c>
      <c r="G40" s="99"/>
      <c r="H40" s="231">
        <f t="shared" si="2"/>
        <v>50000</v>
      </c>
      <c r="I40" s="229"/>
      <c r="J40" s="231">
        <f t="shared" si="3"/>
        <v>50000</v>
      </c>
      <c r="K40" s="229"/>
      <c r="L40" s="231">
        <f t="shared" si="8"/>
        <v>50000</v>
      </c>
    </row>
    <row r="41" spans="1:12" s="44" customFormat="1" ht="23.25" customHeight="1">
      <c r="A41" s="32">
        <v>754</v>
      </c>
      <c r="B41" s="5"/>
      <c r="C41" s="13"/>
      <c r="D41" s="21" t="s">
        <v>23</v>
      </c>
      <c r="E41" s="45">
        <f>SUM(E42,E48)</f>
        <v>25000</v>
      </c>
      <c r="F41" s="45">
        <f>SUM(F42,F48)</f>
        <v>0</v>
      </c>
      <c r="G41" s="45">
        <f>SUM(G42,G48)</f>
        <v>290000</v>
      </c>
      <c r="H41" s="45">
        <f>SUM(H42,H48)</f>
        <v>315000</v>
      </c>
      <c r="I41" s="45">
        <f>SUM(I42,I48,)</f>
        <v>0</v>
      </c>
      <c r="J41" s="43">
        <f t="shared" si="3"/>
        <v>315000</v>
      </c>
      <c r="K41" s="45">
        <f>SUM(K42,K48,)</f>
        <v>0</v>
      </c>
      <c r="L41" s="43">
        <f t="shared" si="8"/>
        <v>315000</v>
      </c>
    </row>
    <row r="42" spans="1:12" s="27" customFormat="1" ht="21" customHeight="1">
      <c r="A42" s="76"/>
      <c r="B42" s="86">
        <v>75412</v>
      </c>
      <c r="C42" s="90"/>
      <c r="D42" s="41" t="s">
        <v>100</v>
      </c>
      <c r="E42" s="96">
        <f>SUM(E43,E46)</f>
        <v>25000</v>
      </c>
      <c r="F42" s="96">
        <f>SUM(F43,F46)</f>
        <v>0</v>
      </c>
      <c r="G42" s="96">
        <f>SUM(G43,G46)</f>
        <v>220000</v>
      </c>
      <c r="H42" s="96">
        <f>SUM(H43,H46)</f>
        <v>245000</v>
      </c>
      <c r="I42" s="96">
        <f>SUM(I43,I46,)</f>
        <v>0</v>
      </c>
      <c r="J42" s="229">
        <f t="shared" si="3"/>
        <v>245000</v>
      </c>
      <c r="K42" s="96">
        <f>SUM(K43,K46,)</f>
        <v>0</v>
      </c>
      <c r="L42" s="229">
        <f t="shared" si="8"/>
        <v>245000</v>
      </c>
    </row>
    <row r="43" spans="1:12" s="27" customFormat="1" ht="21" customHeight="1">
      <c r="A43" s="77"/>
      <c r="B43" s="71"/>
      <c r="C43" s="90">
        <v>6050</v>
      </c>
      <c r="D43" s="14" t="s">
        <v>73</v>
      </c>
      <c r="E43" s="96">
        <f>SUM(E44:E45)</f>
        <v>0</v>
      </c>
      <c r="F43" s="96">
        <f>SUM(F44:F45)</f>
        <v>0</v>
      </c>
      <c r="G43" s="96">
        <f>SUM(G44:G45)</f>
        <v>220000</v>
      </c>
      <c r="H43" s="96">
        <f>SUM(H44:H45)</f>
        <v>220000</v>
      </c>
      <c r="I43" s="96">
        <f>SUM(I44:I45)</f>
        <v>0</v>
      </c>
      <c r="J43" s="229">
        <f t="shared" si="3"/>
        <v>220000</v>
      </c>
      <c r="K43" s="96">
        <f>SUM(K44:K45)</f>
        <v>0</v>
      </c>
      <c r="L43" s="229">
        <f t="shared" si="8"/>
        <v>220000</v>
      </c>
    </row>
    <row r="44" spans="1:12" s="169" customFormat="1" ht="25.5" customHeight="1">
      <c r="A44" s="202"/>
      <c r="B44" s="232"/>
      <c r="C44" s="233"/>
      <c r="D44" s="243" t="s">
        <v>364</v>
      </c>
      <c r="E44" s="170">
        <v>0</v>
      </c>
      <c r="F44" s="170"/>
      <c r="G44" s="170">
        <v>200000</v>
      </c>
      <c r="H44" s="231">
        <f t="shared" si="2"/>
        <v>200000</v>
      </c>
      <c r="I44" s="231"/>
      <c r="J44" s="231">
        <f t="shared" si="3"/>
        <v>200000</v>
      </c>
      <c r="K44" s="231"/>
      <c r="L44" s="231">
        <f t="shared" si="8"/>
        <v>200000</v>
      </c>
    </row>
    <row r="45" spans="1:12" s="169" customFormat="1" ht="21" customHeight="1" hidden="1">
      <c r="A45" s="166"/>
      <c r="B45" s="232"/>
      <c r="C45" s="236"/>
      <c r="D45" s="243" t="s">
        <v>357</v>
      </c>
      <c r="E45" s="170">
        <v>0</v>
      </c>
      <c r="F45" s="170"/>
      <c r="G45" s="170">
        <v>20000</v>
      </c>
      <c r="H45" s="231">
        <f t="shared" si="2"/>
        <v>20000</v>
      </c>
      <c r="I45" s="231"/>
      <c r="J45" s="231">
        <f t="shared" si="3"/>
        <v>20000</v>
      </c>
      <c r="K45" s="231"/>
      <c r="L45" s="231">
        <f t="shared" si="8"/>
        <v>20000</v>
      </c>
    </row>
    <row r="46" spans="1:12" s="27" customFormat="1" ht="22.5" customHeight="1" hidden="1">
      <c r="A46" s="76"/>
      <c r="B46" s="51"/>
      <c r="C46" s="79">
        <v>6060</v>
      </c>
      <c r="D46" s="14" t="s">
        <v>96</v>
      </c>
      <c r="E46" s="96">
        <f>SUM(E47)</f>
        <v>25000</v>
      </c>
      <c r="F46" s="96">
        <f>SUM(F47)</f>
        <v>0</v>
      </c>
      <c r="G46" s="96">
        <f>SUM(G47)</f>
        <v>0</v>
      </c>
      <c r="H46" s="229">
        <f t="shared" si="2"/>
        <v>25000</v>
      </c>
      <c r="I46" s="229">
        <f>SUM(I47)</f>
        <v>0</v>
      </c>
      <c r="J46" s="229">
        <f t="shared" si="3"/>
        <v>25000</v>
      </c>
      <c r="K46" s="229">
        <f>SUM(K47)</f>
        <v>0</v>
      </c>
      <c r="L46" s="229">
        <f t="shared" si="8"/>
        <v>25000</v>
      </c>
    </row>
    <row r="47" spans="1:12" s="29" customFormat="1" ht="19.5" customHeight="1" hidden="1">
      <c r="A47" s="47"/>
      <c r="B47" s="46"/>
      <c r="C47" s="48"/>
      <c r="D47" s="49" t="s">
        <v>325</v>
      </c>
      <c r="E47" s="99">
        <v>25000</v>
      </c>
      <c r="F47" s="99"/>
      <c r="G47" s="99"/>
      <c r="H47" s="229">
        <f t="shared" si="2"/>
        <v>25000</v>
      </c>
      <c r="I47" s="229"/>
      <c r="J47" s="231">
        <f t="shared" si="3"/>
        <v>25000</v>
      </c>
      <c r="K47" s="229"/>
      <c r="L47" s="231">
        <f t="shared" si="8"/>
        <v>25000</v>
      </c>
    </row>
    <row r="48" spans="1:12" s="147" customFormat="1" ht="21" customHeight="1">
      <c r="A48" s="148"/>
      <c r="B48" s="155">
        <v>75495</v>
      </c>
      <c r="C48" s="156"/>
      <c r="D48" s="14" t="s">
        <v>6</v>
      </c>
      <c r="E48" s="192">
        <f>SUM(E49)</f>
        <v>0</v>
      </c>
      <c r="F48" s="192">
        <f aca="true" t="shared" si="10" ref="F48:H49">SUM(F49)</f>
        <v>0</v>
      </c>
      <c r="G48" s="192">
        <f t="shared" si="10"/>
        <v>70000</v>
      </c>
      <c r="H48" s="192">
        <f t="shared" si="10"/>
        <v>70000</v>
      </c>
      <c r="I48" s="192">
        <f>SUM(I49)</f>
        <v>0</v>
      </c>
      <c r="J48" s="229">
        <f t="shared" si="3"/>
        <v>70000</v>
      </c>
      <c r="K48" s="192">
        <f>SUM(K49)</f>
        <v>0</v>
      </c>
      <c r="L48" s="229">
        <f t="shared" si="8"/>
        <v>70000</v>
      </c>
    </row>
    <row r="49" spans="1:12" s="147" customFormat="1" ht="21" customHeight="1">
      <c r="A49" s="148"/>
      <c r="B49" s="155"/>
      <c r="C49" s="156">
        <v>6050</v>
      </c>
      <c r="D49" s="14" t="s">
        <v>73</v>
      </c>
      <c r="E49" s="192">
        <f>SUM(E50)</f>
        <v>0</v>
      </c>
      <c r="F49" s="192">
        <f t="shared" si="10"/>
        <v>0</v>
      </c>
      <c r="G49" s="192">
        <f t="shared" si="10"/>
        <v>70000</v>
      </c>
      <c r="H49" s="192">
        <f t="shared" si="10"/>
        <v>70000</v>
      </c>
      <c r="I49" s="192"/>
      <c r="J49" s="229">
        <f>SUM(J50)</f>
        <v>70000</v>
      </c>
      <c r="K49" s="229">
        <f>SUM(K50)</f>
        <v>0</v>
      </c>
      <c r="L49" s="229">
        <f>SUM(L50)</f>
        <v>70000</v>
      </c>
    </row>
    <row r="50" spans="1:12" s="169" customFormat="1" ht="45">
      <c r="A50" s="166"/>
      <c r="B50" s="167"/>
      <c r="C50" s="200"/>
      <c r="D50" s="153" t="s">
        <v>363</v>
      </c>
      <c r="E50" s="170">
        <v>0</v>
      </c>
      <c r="F50" s="170"/>
      <c r="G50" s="170">
        <v>70000</v>
      </c>
      <c r="H50" s="231">
        <f>SUM(E50:G50)</f>
        <v>70000</v>
      </c>
      <c r="I50" s="231"/>
      <c r="J50" s="231">
        <f t="shared" si="3"/>
        <v>70000</v>
      </c>
      <c r="K50" s="231"/>
      <c r="L50" s="231">
        <f t="shared" si="8"/>
        <v>70000</v>
      </c>
    </row>
    <row r="51" spans="1:12" s="44" customFormat="1" ht="21" customHeight="1" hidden="1">
      <c r="A51" s="32">
        <v>758</v>
      </c>
      <c r="B51" s="5"/>
      <c r="C51" s="13"/>
      <c r="D51" s="21" t="s">
        <v>46</v>
      </c>
      <c r="E51" s="45">
        <f aca="true" t="shared" si="11" ref="E51:G52">SUM(E52)</f>
        <v>216000</v>
      </c>
      <c r="F51" s="45">
        <f t="shared" si="11"/>
        <v>0</v>
      </c>
      <c r="G51" s="45">
        <f t="shared" si="11"/>
        <v>0</v>
      </c>
      <c r="H51" s="43">
        <f t="shared" si="2"/>
        <v>216000</v>
      </c>
      <c r="I51" s="43">
        <f>SUM(I52)</f>
        <v>-100000</v>
      </c>
      <c r="J51" s="43">
        <f t="shared" si="3"/>
        <v>116000</v>
      </c>
      <c r="K51" s="43">
        <f>SUM(K52)</f>
        <v>0</v>
      </c>
      <c r="L51" s="43">
        <f t="shared" si="8"/>
        <v>116000</v>
      </c>
    </row>
    <row r="52" spans="1:12" s="27" customFormat="1" ht="21" customHeight="1" hidden="1">
      <c r="A52" s="76"/>
      <c r="B52" s="51">
        <v>75818</v>
      </c>
      <c r="C52" s="79"/>
      <c r="D52" s="14" t="s">
        <v>107</v>
      </c>
      <c r="E52" s="96">
        <f t="shared" si="11"/>
        <v>216000</v>
      </c>
      <c r="F52" s="96">
        <f t="shared" si="11"/>
        <v>0</v>
      </c>
      <c r="G52" s="96">
        <f t="shared" si="11"/>
        <v>0</v>
      </c>
      <c r="H52" s="229">
        <f t="shared" si="2"/>
        <v>216000</v>
      </c>
      <c r="I52" s="229">
        <f>SUM(I53)</f>
        <v>-100000</v>
      </c>
      <c r="J52" s="229">
        <f t="shared" si="3"/>
        <v>116000</v>
      </c>
      <c r="K52" s="229">
        <f>SUM(K53)</f>
        <v>0</v>
      </c>
      <c r="L52" s="229">
        <f t="shared" si="8"/>
        <v>116000</v>
      </c>
    </row>
    <row r="53" spans="1:12" s="27" customFormat="1" ht="21" customHeight="1" hidden="1">
      <c r="A53" s="76"/>
      <c r="B53" s="51"/>
      <c r="C53" s="79">
        <v>6800</v>
      </c>
      <c r="D53" s="14" t="s">
        <v>263</v>
      </c>
      <c r="E53" s="96">
        <f>SUM(E54:E56)</f>
        <v>216000</v>
      </c>
      <c r="F53" s="96">
        <f>SUM(F54:F56)</f>
        <v>0</v>
      </c>
      <c r="G53" s="96">
        <f>SUM(G54:G56)</f>
        <v>0</v>
      </c>
      <c r="H53" s="229">
        <f t="shared" si="2"/>
        <v>216000</v>
      </c>
      <c r="I53" s="229">
        <f>SUM(I54:I56)</f>
        <v>-100000</v>
      </c>
      <c r="J53" s="229">
        <f t="shared" si="3"/>
        <v>116000</v>
      </c>
      <c r="K53" s="229">
        <f>SUM(K54:K56)</f>
        <v>0</v>
      </c>
      <c r="L53" s="229">
        <f t="shared" si="8"/>
        <v>116000</v>
      </c>
    </row>
    <row r="54" spans="1:12" s="169" customFormat="1" ht="21.75" customHeight="1" hidden="1">
      <c r="A54" s="166"/>
      <c r="B54" s="167"/>
      <c r="C54" s="200"/>
      <c r="D54" s="153" t="s">
        <v>327</v>
      </c>
      <c r="E54" s="170">
        <v>100000</v>
      </c>
      <c r="F54" s="170"/>
      <c r="G54" s="170"/>
      <c r="H54" s="231">
        <f t="shared" si="2"/>
        <v>100000</v>
      </c>
      <c r="I54" s="231">
        <v>-100000</v>
      </c>
      <c r="J54" s="231">
        <f t="shared" si="3"/>
        <v>0</v>
      </c>
      <c r="K54" s="231"/>
      <c r="L54" s="231">
        <f t="shared" si="8"/>
        <v>0</v>
      </c>
    </row>
    <row r="55" spans="1:12" s="169" customFormat="1" ht="45" hidden="1">
      <c r="A55" s="166"/>
      <c r="B55" s="167"/>
      <c r="C55" s="200"/>
      <c r="D55" s="153" t="s">
        <v>366</v>
      </c>
      <c r="E55" s="170">
        <v>100000</v>
      </c>
      <c r="F55" s="170"/>
      <c r="G55" s="170"/>
      <c r="H55" s="231">
        <f t="shared" si="2"/>
        <v>100000</v>
      </c>
      <c r="I55" s="231"/>
      <c r="J55" s="231">
        <f t="shared" si="3"/>
        <v>100000</v>
      </c>
      <c r="K55" s="231"/>
      <c r="L55" s="231">
        <f t="shared" si="8"/>
        <v>100000</v>
      </c>
    </row>
    <row r="56" spans="1:12" s="169" customFormat="1" ht="21" customHeight="1" hidden="1">
      <c r="A56" s="166"/>
      <c r="B56" s="167"/>
      <c r="C56" s="200"/>
      <c r="D56" s="153" t="s">
        <v>326</v>
      </c>
      <c r="E56" s="170">
        <v>16000</v>
      </c>
      <c r="F56" s="170"/>
      <c r="G56" s="170"/>
      <c r="H56" s="231">
        <f t="shared" si="2"/>
        <v>16000</v>
      </c>
      <c r="I56" s="231"/>
      <c r="J56" s="231">
        <f t="shared" si="3"/>
        <v>16000</v>
      </c>
      <c r="K56" s="231"/>
      <c r="L56" s="231">
        <f t="shared" si="8"/>
        <v>16000</v>
      </c>
    </row>
    <row r="57" spans="1:12" s="44" customFormat="1" ht="21" customHeight="1">
      <c r="A57" s="32">
        <v>801</v>
      </c>
      <c r="B57" s="5"/>
      <c r="C57" s="13"/>
      <c r="D57" s="21" t="s">
        <v>110</v>
      </c>
      <c r="E57" s="19">
        <f>SUM(,E64,E58,E70)</f>
        <v>6592300</v>
      </c>
      <c r="F57" s="19">
        <f>SUM(,F64,F58,F70)</f>
        <v>-861184</v>
      </c>
      <c r="G57" s="19">
        <f>SUM(,G64,G58,G70)</f>
        <v>0</v>
      </c>
      <c r="H57" s="43">
        <f t="shared" si="2"/>
        <v>5731116</v>
      </c>
      <c r="I57" s="43">
        <f>SUM(I58,I64,I70,)</f>
        <v>15000</v>
      </c>
      <c r="J57" s="43">
        <f t="shared" si="3"/>
        <v>5746116</v>
      </c>
      <c r="K57" s="43">
        <f>SUM(K58,K64,K70,)</f>
        <v>0</v>
      </c>
      <c r="L57" s="43">
        <f t="shared" si="8"/>
        <v>5746116</v>
      </c>
    </row>
    <row r="58" spans="1:12" s="147" customFormat="1" ht="21" customHeight="1" hidden="1">
      <c r="A58" s="148"/>
      <c r="B58" s="155">
        <v>80101</v>
      </c>
      <c r="C58" s="156"/>
      <c r="D58" s="157" t="s">
        <v>51</v>
      </c>
      <c r="E58" s="158">
        <f>SUM(E59,E61,)</f>
        <v>670300</v>
      </c>
      <c r="F58" s="158">
        <f>SUM(F59,F61,)</f>
        <v>-110000</v>
      </c>
      <c r="G58" s="158">
        <f>SUM(G59,G61,)</f>
        <v>0</v>
      </c>
      <c r="H58" s="229">
        <f t="shared" si="2"/>
        <v>560300</v>
      </c>
      <c r="I58" s="229">
        <f>SUM(I59,I61,)</f>
        <v>0</v>
      </c>
      <c r="J58" s="229">
        <f t="shared" si="3"/>
        <v>560300</v>
      </c>
      <c r="K58" s="229">
        <f>SUM(K59,K61,)</f>
        <v>0</v>
      </c>
      <c r="L58" s="229">
        <f t="shared" si="8"/>
        <v>560300</v>
      </c>
    </row>
    <row r="59" spans="1:12" s="147" customFormat="1" ht="21" customHeight="1" hidden="1">
      <c r="A59" s="148"/>
      <c r="B59" s="155"/>
      <c r="C59" s="156">
        <v>6050</v>
      </c>
      <c r="D59" s="14" t="s">
        <v>73</v>
      </c>
      <c r="E59" s="158">
        <f>SUM(E60)</f>
        <v>660000</v>
      </c>
      <c r="F59" s="158">
        <f>SUM(F60)</f>
        <v>-110000</v>
      </c>
      <c r="G59" s="158">
        <f>SUM(G60)</f>
        <v>0</v>
      </c>
      <c r="H59" s="229">
        <f t="shared" si="2"/>
        <v>550000</v>
      </c>
      <c r="I59" s="229">
        <f>SUM(I60)</f>
        <v>0</v>
      </c>
      <c r="J59" s="229">
        <f t="shared" si="3"/>
        <v>550000</v>
      </c>
      <c r="K59" s="229">
        <f>SUM(K60)</f>
        <v>0</v>
      </c>
      <c r="L59" s="229">
        <f t="shared" si="8"/>
        <v>550000</v>
      </c>
    </row>
    <row r="60" spans="1:12" s="169" customFormat="1" ht="21" customHeight="1" hidden="1">
      <c r="A60" s="166"/>
      <c r="B60" s="167"/>
      <c r="C60" s="153"/>
      <c r="D60" s="153" t="s">
        <v>314</v>
      </c>
      <c r="E60" s="154">
        <v>660000</v>
      </c>
      <c r="F60" s="154">
        <v>-110000</v>
      </c>
      <c r="G60" s="154"/>
      <c r="H60" s="231">
        <f t="shared" si="2"/>
        <v>550000</v>
      </c>
      <c r="I60" s="231"/>
      <c r="J60" s="231">
        <f t="shared" si="3"/>
        <v>550000</v>
      </c>
      <c r="K60" s="231"/>
      <c r="L60" s="231">
        <f t="shared" si="8"/>
        <v>550000</v>
      </c>
    </row>
    <row r="61" spans="1:12" s="147" customFormat="1" ht="22.5" hidden="1">
      <c r="A61" s="148"/>
      <c r="B61" s="155"/>
      <c r="C61" s="156">
        <v>6060</v>
      </c>
      <c r="D61" s="14" t="s">
        <v>96</v>
      </c>
      <c r="E61" s="158">
        <f>SUM(E62:E63)</f>
        <v>10300</v>
      </c>
      <c r="F61" s="158">
        <f>SUM(F62:F63)</f>
        <v>0</v>
      </c>
      <c r="G61" s="158">
        <f>SUM(G62:G63)</f>
        <v>0</v>
      </c>
      <c r="H61" s="229">
        <f t="shared" si="2"/>
        <v>10300</v>
      </c>
      <c r="I61" s="229">
        <f>SUM(I62:I63)</f>
        <v>0</v>
      </c>
      <c r="J61" s="229">
        <f t="shared" si="3"/>
        <v>10300</v>
      </c>
      <c r="K61" s="229">
        <f>SUM(K62:K63)</f>
        <v>0</v>
      </c>
      <c r="L61" s="229">
        <f t="shared" si="8"/>
        <v>10300</v>
      </c>
    </row>
    <row r="62" spans="1:12" s="169" customFormat="1" ht="21" customHeight="1" hidden="1">
      <c r="A62" s="166"/>
      <c r="B62" s="167"/>
      <c r="C62" s="200"/>
      <c r="D62" s="153" t="s">
        <v>367</v>
      </c>
      <c r="E62" s="154">
        <v>5800</v>
      </c>
      <c r="F62" s="154"/>
      <c r="G62" s="154"/>
      <c r="H62" s="231">
        <f t="shared" si="2"/>
        <v>5800</v>
      </c>
      <c r="I62" s="231"/>
      <c r="J62" s="231">
        <f t="shared" si="3"/>
        <v>5800</v>
      </c>
      <c r="K62" s="231"/>
      <c r="L62" s="231">
        <f t="shared" si="8"/>
        <v>5800</v>
      </c>
    </row>
    <row r="63" spans="1:12" s="169" customFormat="1" ht="21.75" customHeight="1" hidden="1">
      <c r="A63" s="166"/>
      <c r="B63" s="167"/>
      <c r="C63" s="200"/>
      <c r="D63" s="153" t="s">
        <v>404</v>
      </c>
      <c r="E63" s="154">
        <v>4500</v>
      </c>
      <c r="F63" s="154"/>
      <c r="G63" s="154"/>
      <c r="H63" s="231">
        <f t="shared" si="2"/>
        <v>4500</v>
      </c>
      <c r="I63" s="231"/>
      <c r="J63" s="231">
        <f t="shared" si="3"/>
        <v>4500</v>
      </c>
      <c r="K63" s="231"/>
      <c r="L63" s="231">
        <f t="shared" si="8"/>
        <v>4500</v>
      </c>
    </row>
    <row r="64" spans="1:12" s="27" customFormat="1" ht="21" customHeight="1">
      <c r="A64" s="76"/>
      <c r="B64" s="51">
        <v>80110</v>
      </c>
      <c r="C64" s="79"/>
      <c r="D64" s="14" t="s">
        <v>52</v>
      </c>
      <c r="E64" s="89">
        <f>SUM(E65)</f>
        <v>5918000</v>
      </c>
      <c r="F64" s="89">
        <f>SUM(F65)</f>
        <v>-751184</v>
      </c>
      <c r="G64" s="89">
        <f>SUM(G65)</f>
        <v>0</v>
      </c>
      <c r="H64" s="229">
        <f t="shared" si="2"/>
        <v>5166816</v>
      </c>
      <c r="I64" s="229">
        <f>SUM(I65)</f>
        <v>15000</v>
      </c>
      <c r="J64" s="229">
        <f t="shared" si="3"/>
        <v>5181816</v>
      </c>
      <c r="K64" s="229">
        <f>SUM(K65)</f>
        <v>0</v>
      </c>
      <c r="L64" s="229">
        <f t="shared" si="8"/>
        <v>5181816</v>
      </c>
    </row>
    <row r="65" spans="1:12" s="27" customFormat="1" ht="21" customHeight="1">
      <c r="A65" s="76"/>
      <c r="B65" s="51"/>
      <c r="C65" s="79">
        <v>6050</v>
      </c>
      <c r="D65" s="14" t="s">
        <v>73</v>
      </c>
      <c r="E65" s="89">
        <f>SUM(E66:E69)</f>
        <v>5918000</v>
      </c>
      <c r="F65" s="89">
        <f>SUM(F66:F69)</f>
        <v>-751184</v>
      </c>
      <c r="G65" s="89">
        <f>SUM(G66:G69)</f>
        <v>0</v>
      </c>
      <c r="H65" s="229">
        <f t="shared" si="2"/>
        <v>5166816</v>
      </c>
      <c r="I65" s="229">
        <f>SUM(I66:I69)</f>
        <v>15000</v>
      </c>
      <c r="J65" s="229">
        <f t="shared" si="3"/>
        <v>5181816</v>
      </c>
      <c r="K65" s="229">
        <f>SUM(K66:K69)</f>
        <v>0</v>
      </c>
      <c r="L65" s="229">
        <f t="shared" si="8"/>
        <v>5181816</v>
      </c>
    </row>
    <row r="66" spans="1:12" s="169" customFormat="1" ht="21.75" customHeight="1">
      <c r="A66" s="166"/>
      <c r="B66" s="167"/>
      <c r="C66" s="200"/>
      <c r="D66" s="153" t="s">
        <v>312</v>
      </c>
      <c r="E66" s="154">
        <v>4350000</v>
      </c>
      <c r="F66" s="154">
        <v>-138184</v>
      </c>
      <c r="G66" s="154"/>
      <c r="H66" s="231">
        <f t="shared" si="2"/>
        <v>4211816</v>
      </c>
      <c r="I66" s="231">
        <v>15000</v>
      </c>
      <c r="J66" s="231">
        <f t="shared" si="3"/>
        <v>4226816</v>
      </c>
      <c r="K66" s="231"/>
      <c r="L66" s="231">
        <f t="shared" si="8"/>
        <v>4226816</v>
      </c>
    </row>
    <row r="67" spans="1:12" s="169" customFormat="1" ht="21" customHeight="1">
      <c r="A67" s="166"/>
      <c r="B67" s="167"/>
      <c r="C67" s="200"/>
      <c r="D67" s="153" t="s">
        <v>313</v>
      </c>
      <c r="E67" s="154">
        <v>868000</v>
      </c>
      <c r="F67" s="154">
        <v>-213000</v>
      </c>
      <c r="G67" s="154"/>
      <c r="H67" s="231">
        <f t="shared" si="2"/>
        <v>655000</v>
      </c>
      <c r="I67" s="231"/>
      <c r="J67" s="231">
        <f t="shared" si="3"/>
        <v>655000</v>
      </c>
      <c r="K67" s="231"/>
      <c r="L67" s="231">
        <f t="shared" si="8"/>
        <v>655000</v>
      </c>
    </row>
    <row r="68" spans="1:12" s="169" customFormat="1" ht="21" customHeight="1" hidden="1">
      <c r="A68" s="166"/>
      <c r="B68" s="167"/>
      <c r="C68" s="200"/>
      <c r="D68" s="153" t="s">
        <v>318</v>
      </c>
      <c r="E68" s="154">
        <v>600000</v>
      </c>
      <c r="F68" s="154">
        <v>-400000</v>
      </c>
      <c r="G68" s="154"/>
      <c r="H68" s="231">
        <f t="shared" si="2"/>
        <v>200000</v>
      </c>
      <c r="I68" s="231"/>
      <c r="J68" s="231">
        <f t="shared" si="3"/>
        <v>200000</v>
      </c>
      <c r="K68" s="231"/>
      <c r="L68" s="231">
        <f t="shared" si="8"/>
        <v>200000</v>
      </c>
    </row>
    <row r="69" spans="1:12" s="169" customFormat="1" ht="24" customHeight="1" hidden="1">
      <c r="A69" s="166"/>
      <c r="B69" s="167"/>
      <c r="C69" s="200"/>
      <c r="D69" s="153" t="s">
        <v>319</v>
      </c>
      <c r="E69" s="154">
        <v>100000</v>
      </c>
      <c r="F69" s="154"/>
      <c r="G69" s="154"/>
      <c r="H69" s="231">
        <f t="shared" si="2"/>
        <v>100000</v>
      </c>
      <c r="I69" s="231"/>
      <c r="J69" s="231">
        <f t="shared" si="3"/>
        <v>100000</v>
      </c>
      <c r="K69" s="231"/>
      <c r="L69" s="231">
        <f t="shared" si="8"/>
        <v>100000</v>
      </c>
    </row>
    <row r="70" spans="1:12" s="147" customFormat="1" ht="21" customHeight="1" hidden="1">
      <c r="A70" s="148"/>
      <c r="B70" s="155">
        <v>80148</v>
      </c>
      <c r="C70" s="156"/>
      <c r="D70" s="157" t="s">
        <v>257</v>
      </c>
      <c r="E70" s="158">
        <f aca="true" t="shared" si="12" ref="E70:G71">SUM(E71)</f>
        <v>4000</v>
      </c>
      <c r="F70" s="158">
        <f t="shared" si="12"/>
        <v>0</v>
      </c>
      <c r="G70" s="158">
        <f t="shared" si="12"/>
        <v>0</v>
      </c>
      <c r="H70" s="229">
        <f t="shared" si="2"/>
        <v>4000</v>
      </c>
      <c r="I70" s="229">
        <f>SUM(I71)</f>
        <v>0</v>
      </c>
      <c r="J70" s="229">
        <f t="shared" si="3"/>
        <v>4000</v>
      </c>
      <c r="K70" s="229">
        <f>SUM(K71)</f>
        <v>0</v>
      </c>
      <c r="L70" s="229">
        <f t="shared" si="8"/>
        <v>4000</v>
      </c>
    </row>
    <row r="71" spans="1:12" s="147" customFormat="1" ht="25.5" customHeight="1" hidden="1">
      <c r="A71" s="148"/>
      <c r="B71" s="155"/>
      <c r="C71" s="156">
        <v>6060</v>
      </c>
      <c r="D71" s="14" t="s">
        <v>96</v>
      </c>
      <c r="E71" s="158">
        <f t="shared" si="12"/>
        <v>4000</v>
      </c>
      <c r="F71" s="158">
        <f t="shared" si="12"/>
        <v>0</v>
      </c>
      <c r="G71" s="158">
        <f t="shared" si="12"/>
        <v>0</v>
      </c>
      <c r="H71" s="229">
        <f t="shared" si="2"/>
        <v>4000</v>
      </c>
      <c r="I71" s="229">
        <f>SUM(I72)</f>
        <v>0</v>
      </c>
      <c r="J71" s="229">
        <f t="shared" si="3"/>
        <v>4000</v>
      </c>
      <c r="K71" s="229">
        <f>SUM(K72)</f>
        <v>0</v>
      </c>
      <c r="L71" s="229">
        <f t="shared" si="8"/>
        <v>4000</v>
      </c>
    </row>
    <row r="72" spans="1:12" s="29" customFormat="1" ht="21" customHeight="1" hidden="1">
      <c r="A72" s="47"/>
      <c r="B72" s="46"/>
      <c r="C72" s="48"/>
      <c r="D72" s="49" t="s">
        <v>344</v>
      </c>
      <c r="E72" s="50">
        <v>4000</v>
      </c>
      <c r="F72" s="50"/>
      <c r="G72" s="50"/>
      <c r="H72" s="231">
        <f t="shared" si="2"/>
        <v>4000</v>
      </c>
      <c r="I72" s="229"/>
      <c r="J72" s="231">
        <f t="shared" si="3"/>
        <v>4000</v>
      </c>
      <c r="K72" s="229"/>
      <c r="L72" s="231">
        <f t="shared" si="8"/>
        <v>4000</v>
      </c>
    </row>
    <row r="73" spans="1:12" s="44" customFormat="1" ht="21" customHeight="1" hidden="1">
      <c r="A73" s="32">
        <v>854</v>
      </c>
      <c r="B73" s="5"/>
      <c r="C73" s="13"/>
      <c r="D73" s="21" t="s">
        <v>59</v>
      </c>
      <c r="E73" s="45">
        <f>SUM(E74,)</f>
        <v>100000</v>
      </c>
      <c r="F73" s="45">
        <f>SUM(F74,)</f>
        <v>-100000</v>
      </c>
      <c r="G73" s="45">
        <f>SUM(G74,)</f>
        <v>0</v>
      </c>
      <c r="H73" s="43">
        <f t="shared" si="2"/>
        <v>0</v>
      </c>
      <c r="I73" s="43">
        <f>SUM(I74)</f>
        <v>63850</v>
      </c>
      <c r="J73" s="43">
        <f t="shared" si="3"/>
        <v>63850</v>
      </c>
      <c r="K73" s="43">
        <f>SUM(K74)</f>
        <v>0</v>
      </c>
      <c r="L73" s="43">
        <f t="shared" si="8"/>
        <v>63850</v>
      </c>
    </row>
    <row r="74" spans="1:12" s="27" customFormat="1" ht="33.75" hidden="1">
      <c r="A74" s="76"/>
      <c r="B74" s="51">
        <v>85412</v>
      </c>
      <c r="C74" s="79"/>
      <c r="D74" s="41" t="s">
        <v>158</v>
      </c>
      <c r="E74" s="96">
        <f>SUM(E75)</f>
        <v>100000</v>
      </c>
      <c r="F74" s="96">
        <f>SUM(F75)</f>
        <v>-100000</v>
      </c>
      <c r="G74" s="96">
        <f>SUM(G75)</f>
        <v>0</v>
      </c>
      <c r="H74" s="229">
        <f t="shared" si="2"/>
        <v>0</v>
      </c>
      <c r="I74" s="229">
        <f>SUM(I75)</f>
        <v>63850</v>
      </c>
      <c r="J74" s="229">
        <f t="shared" si="3"/>
        <v>63850</v>
      </c>
      <c r="K74" s="229">
        <f>SUM(K75)</f>
        <v>0</v>
      </c>
      <c r="L74" s="229">
        <f t="shared" si="8"/>
        <v>63850</v>
      </c>
    </row>
    <row r="75" spans="1:12" s="27" customFormat="1" ht="21" customHeight="1" hidden="1">
      <c r="A75" s="76"/>
      <c r="B75" s="51"/>
      <c r="C75" s="79">
        <v>6050</v>
      </c>
      <c r="D75" s="14" t="s">
        <v>73</v>
      </c>
      <c r="E75" s="96">
        <f>SUM(E76:E76)</f>
        <v>100000</v>
      </c>
      <c r="F75" s="96">
        <f>SUM(F76:F76)</f>
        <v>-100000</v>
      </c>
      <c r="G75" s="96">
        <f>SUM(G76:G76)</f>
        <v>0</v>
      </c>
      <c r="H75" s="229">
        <f t="shared" si="2"/>
        <v>0</v>
      </c>
      <c r="I75" s="229">
        <f>SUM(I76)</f>
        <v>63850</v>
      </c>
      <c r="J75" s="229">
        <f t="shared" si="3"/>
        <v>63850</v>
      </c>
      <c r="K75" s="229">
        <f>SUM(K76)</f>
        <v>0</v>
      </c>
      <c r="L75" s="229">
        <f t="shared" si="8"/>
        <v>63850</v>
      </c>
    </row>
    <row r="76" spans="1:12" s="29" customFormat="1" ht="22.5" hidden="1">
      <c r="A76" s="47"/>
      <c r="B76" s="46"/>
      <c r="C76" s="48"/>
      <c r="D76" s="49" t="s">
        <v>481</v>
      </c>
      <c r="E76" s="99">
        <v>100000</v>
      </c>
      <c r="F76" s="99">
        <v>-100000</v>
      </c>
      <c r="G76" s="99"/>
      <c r="H76" s="231">
        <f t="shared" si="2"/>
        <v>0</v>
      </c>
      <c r="I76" s="229">
        <v>63850</v>
      </c>
      <c r="J76" s="231">
        <f t="shared" si="3"/>
        <v>63850</v>
      </c>
      <c r="K76" s="229"/>
      <c r="L76" s="231">
        <f t="shared" si="8"/>
        <v>63850</v>
      </c>
    </row>
    <row r="77" spans="1:12" s="44" customFormat="1" ht="21" customHeight="1">
      <c r="A77" s="32" t="s">
        <v>127</v>
      </c>
      <c r="B77" s="5"/>
      <c r="C77" s="23"/>
      <c r="D77" s="21" t="s">
        <v>61</v>
      </c>
      <c r="E77" s="19">
        <f>SUM(E78,E87)</f>
        <v>140000</v>
      </c>
      <c r="F77" s="19">
        <f>SUM(F78,F87)</f>
        <v>0</v>
      </c>
      <c r="G77" s="19">
        <f>SUM(G78,G87)</f>
        <v>735000</v>
      </c>
      <c r="H77" s="19">
        <f>SUM(H78,H87)</f>
        <v>875000</v>
      </c>
      <c r="I77" s="19">
        <f>SUM(I78,I87,)</f>
        <v>-405000</v>
      </c>
      <c r="J77" s="43">
        <f t="shared" si="3"/>
        <v>470000</v>
      </c>
      <c r="K77" s="19">
        <f>SUM(K78,K87,)</f>
        <v>0</v>
      </c>
      <c r="L77" s="43">
        <f t="shared" si="8"/>
        <v>470000</v>
      </c>
    </row>
    <row r="78" spans="1:12" s="27" customFormat="1" ht="21" customHeight="1">
      <c r="A78" s="76"/>
      <c r="B78" s="77" t="s">
        <v>128</v>
      </c>
      <c r="C78" s="84"/>
      <c r="D78" s="14" t="s">
        <v>62</v>
      </c>
      <c r="E78" s="89">
        <f>SUM(E85,E79)</f>
        <v>140000</v>
      </c>
      <c r="F78" s="89">
        <f>SUM(F85,F79)</f>
        <v>0</v>
      </c>
      <c r="G78" s="89">
        <f>SUM(G85,G79)</f>
        <v>720000</v>
      </c>
      <c r="H78" s="229">
        <f t="shared" si="2"/>
        <v>860000</v>
      </c>
      <c r="I78" s="229">
        <f>SUM(I79,I85,)</f>
        <v>-405000</v>
      </c>
      <c r="J78" s="229">
        <f t="shared" si="3"/>
        <v>455000</v>
      </c>
      <c r="K78" s="229">
        <f>SUM(K79,K85,)</f>
        <v>0</v>
      </c>
      <c r="L78" s="229">
        <f t="shared" si="8"/>
        <v>455000</v>
      </c>
    </row>
    <row r="79" spans="1:12" s="27" customFormat="1" ht="21" customHeight="1">
      <c r="A79" s="76"/>
      <c r="B79" s="77"/>
      <c r="C79" s="84">
        <v>6050</v>
      </c>
      <c r="D79" s="14" t="s">
        <v>73</v>
      </c>
      <c r="E79" s="89">
        <f>SUM(E80:E84)</f>
        <v>0</v>
      </c>
      <c r="F79" s="89">
        <f>SUM(F80:F84)</f>
        <v>0</v>
      </c>
      <c r="G79" s="89">
        <f>SUM(G80:G84)</f>
        <v>720000</v>
      </c>
      <c r="H79" s="229">
        <f t="shared" si="2"/>
        <v>720000</v>
      </c>
      <c r="I79" s="229">
        <f>SUM(I80:I84)</f>
        <v>-405000</v>
      </c>
      <c r="J79" s="229">
        <f t="shared" si="3"/>
        <v>315000</v>
      </c>
      <c r="K79" s="229">
        <f>SUM(K80:K84)</f>
        <v>0</v>
      </c>
      <c r="L79" s="229">
        <f t="shared" si="8"/>
        <v>315000</v>
      </c>
    </row>
    <row r="80" spans="1:12" s="169" customFormat="1" ht="34.5" customHeight="1">
      <c r="A80" s="166"/>
      <c r="B80" s="202"/>
      <c r="C80" s="168"/>
      <c r="D80" s="153" t="s">
        <v>354</v>
      </c>
      <c r="E80" s="154">
        <v>0</v>
      </c>
      <c r="F80" s="154"/>
      <c r="G80" s="154">
        <v>400000</v>
      </c>
      <c r="H80" s="231">
        <f t="shared" si="2"/>
        <v>400000</v>
      </c>
      <c r="I80" s="231">
        <v>-317000</v>
      </c>
      <c r="J80" s="231">
        <f t="shared" si="3"/>
        <v>83000</v>
      </c>
      <c r="K80" s="231"/>
      <c r="L80" s="231">
        <f t="shared" si="8"/>
        <v>83000</v>
      </c>
    </row>
    <row r="81" spans="1:12" s="169" customFormat="1" ht="0.75" customHeight="1" hidden="1">
      <c r="A81" s="166"/>
      <c r="B81" s="202"/>
      <c r="C81" s="168"/>
      <c r="D81" s="153" t="s">
        <v>405</v>
      </c>
      <c r="E81" s="154">
        <v>0</v>
      </c>
      <c r="F81" s="154"/>
      <c r="G81" s="154">
        <v>65000</v>
      </c>
      <c r="H81" s="231">
        <f t="shared" si="2"/>
        <v>65000</v>
      </c>
      <c r="I81" s="231">
        <v>-65000</v>
      </c>
      <c r="J81" s="231">
        <f aca="true" t="shared" si="13" ref="J81:J99">SUM(H81:I81)</f>
        <v>0</v>
      </c>
      <c r="K81" s="231"/>
      <c r="L81" s="231">
        <f t="shared" si="8"/>
        <v>0</v>
      </c>
    </row>
    <row r="82" spans="1:12" s="169" customFormat="1" ht="45" hidden="1">
      <c r="A82" s="166"/>
      <c r="B82" s="202"/>
      <c r="C82" s="168"/>
      <c r="D82" s="153" t="s">
        <v>443</v>
      </c>
      <c r="E82" s="154"/>
      <c r="F82" s="154"/>
      <c r="G82" s="154"/>
      <c r="H82" s="231">
        <v>0</v>
      </c>
      <c r="I82" s="231">
        <f>65000</f>
        <v>65000</v>
      </c>
      <c r="J82" s="231">
        <f t="shared" si="13"/>
        <v>65000</v>
      </c>
      <c r="K82" s="231"/>
      <c r="L82" s="231">
        <f t="shared" si="8"/>
        <v>65000</v>
      </c>
    </row>
    <row r="83" spans="1:12" s="169" customFormat="1" ht="22.5" customHeight="1" hidden="1">
      <c r="A83" s="166"/>
      <c r="B83" s="202"/>
      <c r="C83" s="168"/>
      <c r="D83" s="153" t="s">
        <v>353</v>
      </c>
      <c r="E83" s="154">
        <v>0</v>
      </c>
      <c r="F83" s="154"/>
      <c r="G83" s="154">
        <v>250000</v>
      </c>
      <c r="H83" s="231">
        <f t="shared" si="2"/>
        <v>250000</v>
      </c>
      <c r="I83" s="231">
        <v>-88000</v>
      </c>
      <c r="J83" s="231">
        <f t="shared" si="13"/>
        <v>162000</v>
      </c>
      <c r="K83" s="231"/>
      <c r="L83" s="231">
        <f t="shared" si="8"/>
        <v>162000</v>
      </c>
    </row>
    <row r="84" spans="1:12" s="169" customFormat="1" ht="21" customHeight="1">
      <c r="A84" s="166"/>
      <c r="B84" s="202"/>
      <c r="C84" s="168"/>
      <c r="D84" s="153" t="s">
        <v>365</v>
      </c>
      <c r="E84" s="154">
        <v>0</v>
      </c>
      <c r="F84" s="154"/>
      <c r="G84" s="154">
        <v>5000</v>
      </c>
      <c r="H84" s="231">
        <f t="shared" si="2"/>
        <v>5000</v>
      </c>
      <c r="I84" s="231"/>
      <c r="J84" s="231">
        <f t="shared" si="13"/>
        <v>5000</v>
      </c>
      <c r="K84" s="231"/>
      <c r="L84" s="231">
        <f t="shared" si="8"/>
        <v>5000</v>
      </c>
    </row>
    <row r="85" spans="1:12" s="29" customFormat="1" ht="45" hidden="1">
      <c r="A85" s="47"/>
      <c r="B85" s="103"/>
      <c r="C85" s="77">
        <v>6010</v>
      </c>
      <c r="D85" s="14" t="s">
        <v>284</v>
      </c>
      <c r="E85" s="99">
        <f>SUM(E86)</f>
        <v>140000</v>
      </c>
      <c r="F85" s="99">
        <f>SUM(F86)</f>
        <v>0</v>
      </c>
      <c r="G85" s="99">
        <f>SUM(G86)</f>
        <v>0</v>
      </c>
      <c r="H85" s="229">
        <f t="shared" si="2"/>
        <v>140000</v>
      </c>
      <c r="I85" s="229">
        <f>SUM(I86)</f>
        <v>0</v>
      </c>
      <c r="J85" s="229">
        <f t="shared" si="13"/>
        <v>140000</v>
      </c>
      <c r="K85" s="229">
        <f>SUM(K86)</f>
        <v>0</v>
      </c>
      <c r="L85" s="229">
        <f t="shared" si="8"/>
        <v>140000</v>
      </c>
    </row>
    <row r="86" spans="1:12" s="29" customFormat="1" ht="23.25" customHeight="1" hidden="1">
      <c r="A86" s="47"/>
      <c r="B86" s="103"/>
      <c r="C86" s="111"/>
      <c r="D86" s="52" t="s">
        <v>328</v>
      </c>
      <c r="E86" s="99">
        <v>140000</v>
      </c>
      <c r="F86" s="99"/>
      <c r="G86" s="99"/>
      <c r="H86" s="229">
        <f t="shared" si="2"/>
        <v>140000</v>
      </c>
      <c r="I86" s="229"/>
      <c r="J86" s="231">
        <f t="shared" si="13"/>
        <v>140000</v>
      </c>
      <c r="K86" s="229"/>
      <c r="L86" s="231">
        <f t="shared" si="8"/>
        <v>140000</v>
      </c>
    </row>
    <row r="87" spans="1:12" s="147" customFormat="1" ht="23.25" customHeight="1" hidden="1">
      <c r="A87" s="148"/>
      <c r="B87" s="149">
        <v>90015</v>
      </c>
      <c r="C87" s="150"/>
      <c r="D87" s="41" t="s">
        <v>135</v>
      </c>
      <c r="E87" s="192">
        <f>SUM(E88)</f>
        <v>0</v>
      </c>
      <c r="F87" s="192">
        <f>SUM(F88)</f>
        <v>0</v>
      </c>
      <c r="G87" s="192">
        <f>SUM(G88)</f>
        <v>15000</v>
      </c>
      <c r="H87" s="192">
        <f>SUM(H88)</f>
        <v>15000</v>
      </c>
      <c r="I87" s="192">
        <f>SUM(I88)</f>
        <v>0</v>
      </c>
      <c r="J87" s="229">
        <f t="shared" si="13"/>
        <v>15000</v>
      </c>
      <c r="K87" s="192">
        <f>SUM(K88)</f>
        <v>0</v>
      </c>
      <c r="L87" s="229">
        <f t="shared" si="8"/>
        <v>15000</v>
      </c>
    </row>
    <row r="88" spans="1:12" s="147" customFormat="1" ht="23.25" customHeight="1" hidden="1">
      <c r="A88" s="148"/>
      <c r="B88" s="149"/>
      <c r="C88" s="150">
        <v>6050</v>
      </c>
      <c r="D88" s="14" t="s">
        <v>73</v>
      </c>
      <c r="E88" s="192">
        <f>SUM(E89:E90)</f>
        <v>0</v>
      </c>
      <c r="F88" s="192">
        <f>SUM(F89:F90)</f>
        <v>0</v>
      </c>
      <c r="G88" s="192">
        <f>SUM(G89:G90)</f>
        <v>15000</v>
      </c>
      <c r="H88" s="192">
        <f>SUM(H89:H90)</f>
        <v>15000</v>
      </c>
      <c r="I88" s="192">
        <f>SUM(I89:I90)</f>
        <v>0</v>
      </c>
      <c r="J88" s="229">
        <f t="shared" si="13"/>
        <v>15000</v>
      </c>
      <c r="K88" s="192">
        <f>SUM(K89:K90)</f>
        <v>0</v>
      </c>
      <c r="L88" s="229">
        <f t="shared" si="8"/>
        <v>15000</v>
      </c>
    </row>
    <row r="89" spans="1:12" s="169" customFormat="1" ht="23.25" customHeight="1" hidden="1">
      <c r="A89" s="166"/>
      <c r="B89" s="202"/>
      <c r="C89" s="237"/>
      <c r="D89" s="238" t="s">
        <v>358</v>
      </c>
      <c r="E89" s="170">
        <v>0</v>
      </c>
      <c r="F89" s="170"/>
      <c r="G89" s="170">
        <v>5000</v>
      </c>
      <c r="H89" s="231">
        <f>SUM(E89:G89)</f>
        <v>5000</v>
      </c>
      <c r="I89" s="231"/>
      <c r="J89" s="231">
        <f t="shared" si="13"/>
        <v>5000</v>
      </c>
      <c r="K89" s="231"/>
      <c r="L89" s="231">
        <f t="shared" si="8"/>
        <v>5000</v>
      </c>
    </row>
    <row r="90" spans="1:12" s="169" customFormat="1" ht="23.25" customHeight="1" hidden="1">
      <c r="A90" s="166"/>
      <c r="B90" s="202"/>
      <c r="C90" s="237"/>
      <c r="D90" s="238" t="s">
        <v>359</v>
      </c>
      <c r="E90" s="170">
        <v>0</v>
      </c>
      <c r="F90" s="170"/>
      <c r="G90" s="170">
        <v>10000</v>
      </c>
      <c r="H90" s="231">
        <f>SUM(E90:G90)</f>
        <v>10000</v>
      </c>
      <c r="I90" s="231"/>
      <c r="J90" s="231">
        <f t="shared" si="13"/>
        <v>10000</v>
      </c>
      <c r="K90" s="231"/>
      <c r="L90" s="231">
        <f t="shared" si="8"/>
        <v>10000</v>
      </c>
    </row>
    <row r="91" spans="1:12" s="29" customFormat="1" ht="21" customHeight="1">
      <c r="A91" s="32">
        <v>926</v>
      </c>
      <c r="B91" s="5"/>
      <c r="C91" s="23"/>
      <c r="D91" s="21" t="s">
        <v>66</v>
      </c>
      <c r="E91" s="19">
        <f>SUM(E92,E97)</f>
        <v>2356380</v>
      </c>
      <c r="F91" s="19">
        <f>SUM(F92,F97)</f>
        <v>-850000</v>
      </c>
      <c r="G91" s="19">
        <f>SUM(G92,G97)</f>
        <v>100000</v>
      </c>
      <c r="H91" s="43">
        <f t="shared" si="2"/>
        <v>1606380</v>
      </c>
      <c r="I91" s="43">
        <f>SUM(I92,I97,)</f>
        <v>0</v>
      </c>
      <c r="J91" s="43">
        <f t="shared" si="13"/>
        <v>1606380</v>
      </c>
      <c r="K91" s="43">
        <f>SUM(K92,K97,)</f>
        <v>0</v>
      </c>
      <c r="L91" s="43">
        <f t="shared" si="8"/>
        <v>1606380</v>
      </c>
    </row>
    <row r="92" spans="1:12" s="147" customFormat="1" ht="21" customHeight="1">
      <c r="A92" s="148"/>
      <c r="B92" s="155">
        <v>92601</v>
      </c>
      <c r="C92" s="165"/>
      <c r="D92" s="195" t="s">
        <v>259</v>
      </c>
      <c r="E92" s="196">
        <f>SUM(E93)</f>
        <v>1956380</v>
      </c>
      <c r="F92" s="196">
        <f>SUM(F93)</f>
        <v>-600000</v>
      </c>
      <c r="G92" s="196">
        <f>SUM(G93)</f>
        <v>100000</v>
      </c>
      <c r="H92" s="229">
        <f t="shared" si="2"/>
        <v>1456380</v>
      </c>
      <c r="I92" s="229">
        <f>SUM(I93)</f>
        <v>0</v>
      </c>
      <c r="J92" s="229">
        <f t="shared" si="13"/>
        <v>1456380</v>
      </c>
      <c r="K92" s="229">
        <f>SUM(K93)</f>
        <v>0</v>
      </c>
      <c r="L92" s="229">
        <f t="shared" si="8"/>
        <v>1456380</v>
      </c>
    </row>
    <row r="93" spans="1:12" s="147" customFormat="1" ht="21" customHeight="1">
      <c r="A93" s="148"/>
      <c r="B93" s="155"/>
      <c r="C93" s="165">
        <v>6050</v>
      </c>
      <c r="D93" s="14" t="s">
        <v>73</v>
      </c>
      <c r="E93" s="196">
        <f>SUM(E94:E96)</f>
        <v>1956380</v>
      </c>
      <c r="F93" s="196">
        <f>SUM(F94:F96)</f>
        <v>-600000</v>
      </c>
      <c r="G93" s="196">
        <f>SUM(G94:G96)</f>
        <v>100000</v>
      </c>
      <c r="H93" s="229">
        <f t="shared" si="2"/>
        <v>1456380</v>
      </c>
      <c r="I93" s="229">
        <f>SUM(I94:I96)</f>
        <v>0</v>
      </c>
      <c r="J93" s="229">
        <f t="shared" si="13"/>
        <v>1456380</v>
      </c>
      <c r="K93" s="229">
        <f>SUM(K94:K96)</f>
        <v>0</v>
      </c>
      <c r="L93" s="229">
        <f t="shared" si="8"/>
        <v>1456380</v>
      </c>
    </row>
    <row r="94" spans="1:12" s="169" customFormat="1" ht="21" customHeight="1" hidden="1">
      <c r="A94" s="166"/>
      <c r="B94" s="167"/>
      <c r="C94" s="168"/>
      <c r="D94" s="197" t="s">
        <v>329</v>
      </c>
      <c r="E94" s="198">
        <v>70000</v>
      </c>
      <c r="F94" s="198"/>
      <c r="G94" s="198"/>
      <c r="H94" s="231">
        <f t="shared" si="2"/>
        <v>70000</v>
      </c>
      <c r="I94" s="231"/>
      <c r="J94" s="231">
        <f t="shared" si="13"/>
        <v>70000</v>
      </c>
      <c r="K94" s="231"/>
      <c r="L94" s="231">
        <f t="shared" si="8"/>
        <v>70000</v>
      </c>
    </row>
    <row r="95" spans="1:12" s="169" customFormat="1" ht="26.25" customHeight="1">
      <c r="A95" s="166"/>
      <c r="B95" s="167"/>
      <c r="C95" s="168"/>
      <c r="D95" s="197" t="s">
        <v>361</v>
      </c>
      <c r="E95" s="198">
        <v>0</v>
      </c>
      <c r="F95" s="198"/>
      <c r="G95" s="198">
        <v>100000</v>
      </c>
      <c r="H95" s="231">
        <f t="shared" si="2"/>
        <v>100000</v>
      </c>
      <c r="I95" s="231"/>
      <c r="J95" s="231">
        <f t="shared" si="13"/>
        <v>100000</v>
      </c>
      <c r="K95" s="231"/>
      <c r="L95" s="231">
        <f t="shared" si="8"/>
        <v>100000</v>
      </c>
    </row>
    <row r="96" spans="1:12" s="169" customFormat="1" ht="21" customHeight="1" hidden="1">
      <c r="A96" s="166"/>
      <c r="B96" s="167"/>
      <c r="C96" s="168"/>
      <c r="D96" s="197" t="s">
        <v>330</v>
      </c>
      <c r="E96" s="198">
        <v>1886380</v>
      </c>
      <c r="F96" s="198">
        <v>-600000</v>
      </c>
      <c r="G96" s="198"/>
      <c r="H96" s="231">
        <f t="shared" si="2"/>
        <v>1286380</v>
      </c>
      <c r="I96" s="231"/>
      <c r="J96" s="231">
        <f t="shared" si="13"/>
        <v>1286380</v>
      </c>
      <c r="K96" s="231"/>
      <c r="L96" s="231">
        <f t="shared" si="8"/>
        <v>1286380</v>
      </c>
    </row>
    <row r="97" spans="1:12" s="27" customFormat="1" ht="21" customHeight="1" hidden="1">
      <c r="A97" s="77"/>
      <c r="B97" s="77">
        <v>92604</v>
      </c>
      <c r="C97" s="77"/>
      <c r="D97" s="127" t="s">
        <v>197</v>
      </c>
      <c r="E97" s="128">
        <f aca="true" t="shared" si="14" ref="E97:G98">SUM(E98)</f>
        <v>400000</v>
      </c>
      <c r="F97" s="128">
        <f t="shared" si="14"/>
        <v>-250000</v>
      </c>
      <c r="G97" s="128">
        <f t="shared" si="14"/>
        <v>0</v>
      </c>
      <c r="H97" s="229">
        <f t="shared" si="2"/>
        <v>150000</v>
      </c>
      <c r="I97" s="229">
        <f>SUM(I98)</f>
        <v>0</v>
      </c>
      <c r="J97" s="229">
        <f t="shared" si="13"/>
        <v>150000</v>
      </c>
      <c r="K97" s="229">
        <f>SUM(K98)</f>
        <v>0</v>
      </c>
      <c r="L97" s="229">
        <f>SUM(J97:K97)</f>
        <v>150000</v>
      </c>
    </row>
    <row r="98" spans="1:12" s="27" customFormat="1" ht="45" hidden="1">
      <c r="A98" s="77"/>
      <c r="B98" s="77"/>
      <c r="C98" s="77">
        <v>6010</v>
      </c>
      <c r="D98" s="14" t="s">
        <v>284</v>
      </c>
      <c r="E98" s="128">
        <f t="shared" si="14"/>
        <v>400000</v>
      </c>
      <c r="F98" s="128">
        <f t="shared" si="14"/>
        <v>-250000</v>
      </c>
      <c r="G98" s="128">
        <f t="shared" si="14"/>
        <v>0</v>
      </c>
      <c r="H98" s="229">
        <f t="shared" si="2"/>
        <v>150000</v>
      </c>
      <c r="I98" s="229">
        <f>SUM(I99)</f>
        <v>0</v>
      </c>
      <c r="J98" s="229">
        <f t="shared" si="13"/>
        <v>150000</v>
      </c>
      <c r="K98" s="229">
        <f>SUM(K99)</f>
        <v>0</v>
      </c>
      <c r="L98" s="229">
        <f>SUM(J98:K98)</f>
        <v>150000</v>
      </c>
    </row>
    <row r="99" spans="1:12" s="169" customFormat="1" ht="21.75" customHeight="1" hidden="1">
      <c r="A99" s="202"/>
      <c r="B99" s="202"/>
      <c r="C99" s="202"/>
      <c r="D99" s="197" t="s">
        <v>337</v>
      </c>
      <c r="E99" s="199">
        <v>400000</v>
      </c>
      <c r="F99" s="199">
        <v>-250000</v>
      </c>
      <c r="G99" s="199"/>
      <c r="H99" s="231">
        <f t="shared" si="2"/>
        <v>150000</v>
      </c>
      <c r="I99" s="231"/>
      <c r="J99" s="231">
        <f t="shared" si="13"/>
        <v>150000</v>
      </c>
      <c r="K99" s="231"/>
      <c r="L99" s="231">
        <f>SUM(J99:K99)</f>
        <v>150000</v>
      </c>
    </row>
    <row r="100" spans="1:12" s="8" customFormat="1" ht="21" customHeight="1">
      <c r="A100" s="10"/>
      <c r="B100" s="10"/>
      <c r="C100" s="10"/>
      <c r="D100" s="118" t="s">
        <v>68</v>
      </c>
      <c r="E100" s="56">
        <f>SUM(E91,E77,E73,E57,E51,E41,E29,E11,E37,E33)</f>
        <v>10548980</v>
      </c>
      <c r="F100" s="56">
        <f>SUM(F91,F77,F73,F57,F51,F41,F29,F11,F37,F33)</f>
        <v>-2211184</v>
      </c>
      <c r="G100" s="56">
        <f>SUM(G91,G77,G73,G57,G51,G41,G29,G11,G37,G33)</f>
        <v>2685000</v>
      </c>
      <c r="H100" s="56">
        <f>SUM(H91,H77,H73,H57,H51,H41,H37,H33,H29,H11)</f>
        <v>11022796</v>
      </c>
      <c r="I100" s="56">
        <f>SUM(I91,I77,I73,I57,I51,I41,I37,I33,I29,I11)</f>
        <v>-326150</v>
      </c>
      <c r="J100" s="56">
        <f>SUM(J91,J77,J73,J57,J51,J41,J37,J33,J29,J11,J7)</f>
        <v>10696646</v>
      </c>
      <c r="K100" s="56">
        <f>SUM(K91,K77,K73,K57,K51,K41,K37,K33,K29,K11,K7)</f>
        <v>127220</v>
      </c>
      <c r="L100" s="56">
        <f>SUM(L91,L77,L73,L57,L51,L41,L37,L33,L29,L11,L7)</f>
        <v>10823866</v>
      </c>
    </row>
    <row r="102" ht="12.75">
      <c r="F102" s="53"/>
    </row>
    <row r="103" spans="5:12" ht="12.75">
      <c r="E103" s="53"/>
      <c r="F103" s="53"/>
      <c r="G103" s="53"/>
      <c r="H103" s="53"/>
      <c r="I103" s="53"/>
      <c r="J103" s="53"/>
      <c r="K103" s="53"/>
      <c r="L103" s="53"/>
    </row>
    <row r="105" spans="9:11" ht="12.75">
      <c r="I105" s="53">
        <v>-897000</v>
      </c>
      <c r="J105" t="s">
        <v>419</v>
      </c>
      <c r="K105" s="53"/>
    </row>
    <row r="106" spans="9:11" ht="12.75">
      <c r="I106" s="53">
        <v>63850</v>
      </c>
      <c r="J106" t="s">
        <v>420</v>
      </c>
      <c r="K106" s="53"/>
    </row>
    <row r="107" spans="9:11" ht="12.75">
      <c r="I107" s="53">
        <v>90000</v>
      </c>
      <c r="J107" t="s">
        <v>424</v>
      </c>
      <c r="K107" s="53"/>
    </row>
    <row r="108" spans="9:11" ht="12.75">
      <c r="I108" s="53">
        <v>15000</v>
      </c>
      <c r="J108" t="s">
        <v>423</v>
      </c>
      <c r="K108" s="53"/>
    </row>
    <row r="109" spans="9:11" ht="12.75">
      <c r="I109" s="260">
        <f>SUM(I105:I108)</f>
        <v>-728150</v>
      </c>
      <c r="K109" s="260"/>
    </row>
    <row r="113" spans="5:8" ht="12.75">
      <c r="E113" t="s">
        <v>207</v>
      </c>
      <c r="F113" t="s">
        <v>207</v>
      </c>
      <c r="G113" t="s">
        <v>207</v>
      </c>
      <c r="H113" t="s">
        <v>207</v>
      </c>
    </row>
    <row r="114" spans="5:8" ht="12.75">
      <c r="E114" t="s">
        <v>208</v>
      </c>
      <c r="F114" t="s">
        <v>208</v>
      </c>
      <c r="G114" t="s">
        <v>208</v>
      </c>
      <c r="H114" t="s">
        <v>208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.125" style="8" customWidth="1"/>
    <col min="2" max="2" width="7.00390625" style="8" customWidth="1"/>
    <col min="3" max="3" width="4.375" style="8" bestFit="1" customWidth="1"/>
    <col min="4" max="4" width="30.875" style="8" customWidth="1"/>
    <col min="5" max="5" width="13.625" style="8" hidden="1" customWidth="1"/>
    <col min="6" max="6" width="8.875" style="8" hidden="1" customWidth="1"/>
    <col min="7" max="7" width="14.25390625" style="8" customWidth="1"/>
    <col min="8" max="8" width="13.75390625" style="8" customWidth="1"/>
    <col min="9" max="9" width="14.25390625" style="8" customWidth="1"/>
  </cols>
  <sheetData>
    <row r="1" spans="5:9" ht="12.75">
      <c r="E1" s="61" t="s">
        <v>475</v>
      </c>
      <c r="F1" s="61"/>
      <c r="G1" s="61" t="s">
        <v>496</v>
      </c>
      <c r="H1" s="61"/>
      <c r="I1" s="61"/>
    </row>
    <row r="2" spans="5:9" ht="12.75">
      <c r="E2" s="61" t="s">
        <v>469</v>
      </c>
      <c r="F2" s="61"/>
      <c r="G2" s="61" t="s">
        <v>488</v>
      </c>
      <c r="H2" s="61"/>
      <c r="I2" s="61"/>
    </row>
    <row r="3" spans="5:9" ht="12.75">
      <c r="E3" s="61" t="s">
        <v>408</v>
      </c>
      <c r="F3" s="61"/>
      <c r="G3" s="61" t="s">
        <v>475</v>
      </c>
      <c r="H3" s="61"/>
      <c r="I3" s="61"/>
    </row>
    <row r="4" spans="5:9" ht="12.75">
      <c r="E4" s="61" t="s">
        <v>409</v>
      </c>
      <c r="F4" s="61"/>
      <c r="G4" s="61" t="s">
        <v>486</v>
      </c>
      <c r="H4" s="61"/>
      <c r="I4" s="61"/>
    </row>
    <row r="5" spans="1:9" ht="58.5" customHeight="1">
      <c r="A5" s="361" t="s">
        <v>407</v>
      </c>
      <c r="B5" s="361"/>
      <c r="C5" s="361"/>
      <c r="D5" s="361"/>
      <c r="E5" s="361"/>
      <c r="F5" s="361"/>
      <c r="G5" s="361"/>
      <c r="H5"/>
      <c r="I5"/>
    </row>
    <row r="6" spans="1:9" s="8" customFormat="1" ht="24.75" customHeight="1">
      <c r="A6" s="1" t="s">
        <v>0</v>
      </c>
      <c r="B6" s="1" t="s">
        <v>1</v>
      </c>
      <c r="C6" s="1" t="s">
        <v>2</v>
      </c>
      <c r="D6" s="1" t="s">
        <v>3</v>
      </c>
      <c r="E6" s="22" t="s">
        <v>400</v>
      </c>
      <c r="F6" s="22" t="s">
        <v>372</v>
      </c>
      <c r="G6" s="22" t="s">
        <v>143</v>
      </c>
      <c r="H6" s="22" t="s">
        <v>372</v>
      </c>
      <c r="I6" s="22" t="s">
        <v>385</v>
      </c>
    </row>
    <row r="7" spans="1:9" s="8" customFormat="1" ht="21" customHeight="1">
      <c r="A7" s="1">
        <v>801</v>
      </c>
      <c r="B7" s="1"/>
      <c r="C7" s="1"/>
      <c r="D7" s="125" t="s">
        <v>110</v>
      </c>
      <c r="E7" s="124">
        <f>SUM(E8,E13)</f>
        <v>4782</v>
      </c>
      <c r="F7" s="124">
        <f>SUM(F8,F13)</f>
        <v>4804</v>
      </c>
      <c r="G7" s="124">
        <f>SUM(G8,G13)</f>
        <v>9586</v>
      </c>
      <c r="H7" s="124">
        <f>SUM(H8,H13)</f>
        <v>0</v>
      </c>
      <c r="I7" s="124">
        <f>SUM(I8,I13)</f>
        <v>9586</v>
      </c>
    </row>
    <row r="8" spans="1:9" s="27" customFormat="1" ht="21" customHeight="1">
      <c r="A8" s="57"/>
      <c r="B8" s="57">
        <v>80101</v>
      </c>
      <c r="C8" s="57"/>
      <c r="D8" s="54" t="s">
        <v>51</v>
      </c>
      <c r="E8" s="144">
        <f>SUM(E9:E12)</f>
        <v>4782</v>
      </c>
      <c r="F8" s="144">
        <f>SUM(F9:F12)</f>
        <v>4204</v>
      </c>
      <c r="G8" s="144">
        <f>SUM(G9:G12)</f>
        <v>8986</v>
      </c>
      <c r="H8" s="144">
        <f>SUM(H9:H12)</f>
        <v>0</v>
      </c>
      <c r="I8" s="144">
        <f>SUM(I9:I12)</f>
        <v>8986</v>
      </c>
    </row>
    <row r="9" spans="1:9" s="27" customFormat="1" ht="21" customHeight="1">
      <c r="A9" s="57"/>
      <c r="B9" s="57"/>
      <c r="C9" s="90">
        <v>4010</v>
      </c>
      <c r="D9" s="41" t="s">
        <v>84</v>
      </c>
      <c r="E9" s="144">
        <v>4070</v>
      </c>
      <c r="F9" s="144">
        <v>2440</v>
      </c>
      <c r="G9" s="144">
        <f>SUM(E9:F9)</f>
        <v>6510</v>
      </c>
      <c r="H9" s="144"/>
      <c r="I9" s="144">
        <f>SUM(G9:H9)</f>
        <v>6510</v>
      </c>
    </row>
    <row r="10" spans="1:9" s="27" customFormat="1" ht="21" customHeight="1">
      <c r="A10" s="57"/>
      <c r="B10" s="57"/>
      <c r="C10" s="90">
        <v>4110</v>
      </c>
      <c r="D10" s="41" t="s">
        <v>86</v>
      </c>
      <c r="E10" s="144">
        <v>614</v>
      </c>
      <c r="F10" s="144">
        <v>401</v>
      </c>
      <c r="G10" s="144">
        <f>SUM(E10:F10)</f>
        <v>1015</v>
      </c>
      <c r="H10" s="144"/>
      <c r="I10" s="144">
        <f>SUM(G10:H10)</f>
        <v>1015</v>
      </c>
    </row>
    <row r="11" spans="1:9" s="27" customFormat="1" ht="21" customHeight="1">
      <c r="A11" s="57"/>
      <c r="B11" s="57"/>
      <c r="C11" s="90">
        <v>4120</v>
      </c>
      <c r="D11" s="41" t="s">
        <v>87</v>
      </c>
      <c r="E11" s="144">
        <v>98</v>
      </c>
      <c r="F11" s="144">
        <v>63</v>
      </c>
      <c r="G11" s="144">
        <f>SUM(E11:F11)</f>
        <v>161</v>
      </c>
      <c r="H11" s="144"/>
      <c r="I11" s="144">
        <f>SUM(G11:H11)</f>
        <v>161</v>
      </c>
    </row>
    <row r="12" spans="1:9" s="27" customFormat="1" ht="21" customHeight="1">
      <c r="A12" s="57"/>
      <c r="B12" s="57"/>
      <c r="C12" s="90">
        <v>4210</v>
      </c>
      <c r="D12" s="41" t="s">
        <v>72</v>
      </c>
      <c r="E12" s="144">
        <v>0</v>
      </c>
      <c r="F12" s="144">
        <f>300+500+500</f>
        <v>1300</v>
      </c>
      <c r="G12" s="144">
        <f>SUM(E12:F12)</f>
        <v>1300</v>
      </c>
      <c r="H12" s="144"/>
      <c r="I12" s="144">
        <f>SUM(G12:H12)</f>
        <v>1300</v>
      </c>
    </row>
    <row r="13" spans="1:9" s="27" customFormat="1" ht="21" customHeight="1">
      <c r="A13" s="57"/>
      <c r="B13" s="57">
        <v>80110</v>
      </c>
      <c r="C13" s="90"/>
      <c r="D13" s="41" t="s">
        <v>52</v>
      </c>
      <c r="E13" s="144">
        <f>SUM(E14)</f>
        <v>0</v>
      </c>
      <c r="F13" s="144">
        <f>SUM(F14)</f>
        <v>600</v>
      </c>
      <c r="G13" s="144">
        <f>SUM(G14)</f>
        <v>600</v>
      </c>
      <c r="H13" s="144">
        <f>SUM(H14)</f>
        <v>0</v>
      </c>
      <c r="I13" s="144">
        <f>SUM(I14)</f>
        <v>600</v>
      </c>
    </row>
    <row r="14" spans="1:9" s="27" customFormat="1" ht="21" customHeight="1">
      <c r="A14" s="57"/>
      <c r="B14" s="57"/>
      <c r="C14" s="90">
        <v>4210</v>
      </c>
      <c r="D14" s="41" t="s">
        <v>72</v>
      </c>
      <c r="E14" s="144">
        <v>0</v>
      </c>
      <c r="F14" s="144">
        <f>300+300</f>
        <v>600</v>
      </c>
      <c r="G14" s="144">
        <f>SUM(E14:F14)</f>
        <v>600</v>
      </c>
      <c r="H14" s="144"/>
      <c r="I14" s="144">
        <f>SUM(G14:H14)</f>
        <v>600</v>
      </c>
    </row>
    <row r="15" spans="1:9" s="7" customFormat="1" ht="32.25" customHeight="1">
      <c r="A15" s="34" t="s">
        <v>63</v>
      </c>
      <c r="B15" s="5"/>
      <c r="C15" s="5"/>
      <c r="D15" s="21" t="s">
        <v>69</v>
      </c>
      <c r="E15" s="19">
        <f>SUM(E16,E18,E20,)</f>
        <v>60000</v>
      </c>
      <c r="F15" s="19">
        <f>SUM(F16,F18,F20,)</f>
        <v>9500</v>
      </c>
      <c r="G15" s="19">
        <f>SUM(G16,G18,G20,)</f>
        <v>69500</v>
      </c>
      <c r="H15" s="19">
        <f>SUM(H16,H18,H20,)</f>
        <v>0</v>
      </c>
      <c r="I15" s="19">
        <f>SUM(I16,I18,I20,)</f>
        <v>69500</v>
      </c>
    </row>
    <row r="16" spans="1:9" s="147" customFormat="1" ht="21" customHeight="1">
      <c r="A16" s="149"/>
      <c r="B16" s="86" t="s">
        <v>138</v>
      </c>
      <c r="C16" s="90"/>
      <c r="D16" s="41" t="s">
        <v>151</v>
      </c>
      <c r="E16" s="158">
        <f>SUM(E17)</f>
        <v>0</v>
      </c>
      <c r="F16" s="158">
        <f>SUM(F17)</f>
        <v>4500</v>
      </c>
      <c r="G16" s="158">
        <f>SUM(G17)</f>
        <v>4500</v>
      </c>
      <c r="H16" s="158">
        <f>SUM(H17)</f>
        <v>0</v>
      </c>
      <c r="I16" s="158">
        <f>SUM(I17)</f>
        <v>4500</v>
      </c>
    </row>
    <row r="17" spans="1:9" s="147" customFormat="1" ht="22.5">
      <c r="A17" s="149"/>
      <c r="B17" s="86"/>
      <c r="C17" s="90">
        <v>2480</v>
      </c>
      <c r="D17" s="41" t="s">
        <v>188</v>
      </c>
      <c r="E17" s="158">
        <v>0</v>
      </c>
      <c r="F17" s="158">
        <f>1000+3500</f>
        <v>4500</v>
      </c>
      <c r="G17" s="158">
        <f>SUM(E17:F17)</f>
        <v>4500</v>
      </c>
      <c r="H17" s="158"/>
      <c r="I17" s="158">
        <f>SUM(G17:H17)</f>
        <v>4500</v>
      </c>
    </row>
    <row r="18" spans="1:9" s="27" customFormat="1" ht="21" customHeight="1">
      <c r="A18" s="77"/>
      <c r="B18" s="77" t="s">
        <v>64</v>
      </c>
      <c r="C18" s="51"/>
      <c r="D18" s="14" t="s">
        <v>65</v>
      </c>
      <c r="E18" s="89">
        <f>E19</f>
        <v>60000</v>
      </c>
      <c r="F18" s="89">
        <f>F19</f>
        <v>1000</v>
      </c>
      <c r="G18" s="89">
        <f>G19</f>
        <v>61000</v>
      </c>
      <c r="H18" s="89">
        <f>H19</f>
        <v>0</v>
      </c>
      <c r="I18" s="89">
        <f>I19</f>
        <v>61000</v>
      </c>
    </row>
    <row r="19" spans="1:9" s="27" customFormat="1" ht="22.5">
      <c r="A19" s="77"/>
      <c r="B19" s="77"/>
      <c r="C19" s="51">
        <v>2480</v>
      </c>
      <c r="D19" s="14" t="s">
        <v>188</v>
      </c>
      <c r="E19" s="89">
        <v>60000</v>
      </c>
      <c r="F19" s="89">
        <v>1000</v>
      </c>
      <c r="G19" s="89">
        <f>SUM(E19:F19)</f>
        <v>61000</v>
      </c>
      <c r="H19" s="89"/>
      <c r="I19" s="89">
        <f>SUM(G19:H19)</f>
        <v>61000</v>
      </c>
    </row>
    <row r="20" spans="1:9" s="27" customFormat="1" ht="21" customHeight="1">
      <c r="A20" s="77"/>
      <c r="B20" s="86" t="s">
        <v>139</v>
      </c>
      <c r="C20" s="90"/>
      <c r="D20" s="41" t="s">
        <v>140</v>
      </c>
      <c r="E20" s="89">
        <f>SUM(E21)</f>
        <v>0</v>
      </c>
      <c r="F20" s="89">
        <f>SUM(F21)</f>
        <v>4000</v>
      </c>
      <c r="G20" s="89">
        <f>SUM(G21)</f>
        <v>4000</v>
      </c>
      <c r="H20" s="89">
        <f>SUM(H21)</f>
        <v>0</v>
      </c>
      <c r="I20" s="89">
        <f>SUM(I21)</f>
        <v>4000</v>
      </c>
    </row>
    <row r="21" spans="1:9" s="27" customFormat="1" ht="22.5">
      <c r="A21" s="77"/>
      <c r="B21" s="86"/>
      <c r="C21" s="90">
        <v>2480</v>
      </c>
      <c r="D21" s="41" t="s">
        <v>188</v>
      </c>
      <c r="E21" s="89">
        <v>0</v>
      </c>
      <c r="F21" s="89">
        <f>1000+2000+1000</f>
        <v>4000</v>
      </c>
      <c r="G21" s="89">
        <f>SUM(E21:F21)</f>
        <v>4000</v>
      </c>
      <c r="H21" s="89"/>
      <c r="I21" s="89">
        <f>SUM(G21:H21)</f>
        <v>4000</v>
      </c>
    </row>
    <row r="22" spans="1:9" s="194" customFormat="1" ht="21" customHeight="1">
      <c r="A22" s="246">
        <v>926</v>
      </c>
      <c r="B22" s="246"/>
      <c r="C22" s="246"/>
      <c r="D22" s="206" t="s">
        <v>66</v>
      </c>
      <c r="E22" s="210">
        <f aca="true" t="shared" si="0" ref="E22:I23">SUM(E23)</f>
        <v>0</v>
      </c>
      <c r="F22" s="210">
        <f t="shared" si="0"/>
        <v>2200</v>
      </c>
      <c r="G22" s="210">
        <f t="shared" si="0"/>
        <v>2200</v>
      </c>
      <c r="H22" s="210">
        <f t="shared" si="0"/>
        <v>0</v>
      </c>
      <c r="I22" s="210">
        <f t="shared" si="0"/>
        <v>2200</v>
      </c>
    </row>
    <row r="23" spans="1:9" s="27" customFormat="1" ht="22.5">
      <c r="A23" s="77"/>
      <c r="B23" s="77">
        <v>92605</v>
      </c>
      <c r="C23" s="77"/>
      <c r="D23" s="14" t="s">
        <v>67</v>
      </c>
      <c r="E23" s="89">
        <f t="shared" si="0"/>
        <v>0</v>
      </c>
      <c r="F23" s="89">
        <f t="shared" si="0"/>
        <v>2200</v>
      </c>
      <c r="G23" s="89">
        <f t="shared" si="0"/>
        <v>2200</v>
      </c>
      <c r="H23" s="89">
        <f t="shared" si="0"/>
        <v>0</v>
      </c>
      <c r="I23" s="89">
        <f t="shared" si="0"/>
        <v>2200</v>
      </c>
    </row>
    <row r="24" spans="1:9" s="27" customFormat="1" ht="21" customHeight="1">
      <c r="A24" s="77"/>
      <c r="B24" s="77"/>
      <c r="C24" s="51">
        <v>4210</v>
      </c>
      <c r="D24" s="41" t="s">
        <v>72</v>
      </c>
      <c r="E24" s="89">
        <v>0</v>
      </c>
      <c r="F24" s="89">
        <f>700+1500</f>
        <v>2200</v>
      </c>
      <c r="G24" s="89">
        <f>SUM(E24:F24)</f>
        <v>2200</v>
      </c>
      <c r="H24" s="89"/>
      <c r="I24" s="89">
        <f>SUM(G24:H24)</f>
        <v>2200</v>
      </c>
    </row>
    <row r="25" spans="1:9" s="7" customFormat="1" ht="21" customHeight="1">
      <c r="A25" s="20"/>
      <c r="B25" s="20"/>
      <c r="C25" s="20"/>
      <c r="D25" s="5" t="s">
        <v>68</v>
      </c>
      <c r="E25" s="19">
        <f>SUM(E7,E15,E22)</f>
        <v>64782</v>
      </c>
      <c r="F25" s="19">
        <f>SUM(F7,F15,F22)</f>
        <v>16504</v>
      </c>
      <c r="G25" s="19">
        <f>SUM(G7,G15,G22)</f>
        <v>81286</v>
      </c>
      <c r="H25" s="19">
        <f>SUM(H7,H15,H22)</f>
        <v>0</v>
      </c>
      <c r="I25" s="19">
        <f>SUM(I7,I15,I22)</f>
        <v>81286</v>
      </c>
    </row>
    <row r="28" spans="5:9" ht="12.75">
      <c r="E28" s="28"/>
      <c r="F28" s="28"/>
      <c r="G28" s="28"/>
      <c r="H28" s="28"/>
      <c r="I28" s="28"/>
    </row>
    <row r="29" spans="5:9" ht="12.75">
      <c r="E29" s="28"/>
      <c r="F29" s="28">
        <v>13600</v>
      </c>
      <c r="G29" s="28" t="s">
        <v>411</v>
      </c>
      <c r="H29" s="28">
        <v>13600</v>
      </c>
      <c r="I29" s="28" t="s">
        <v>411</v>
      </c>
    </row>
    <row r="30" spans="5:9" ht="12.75">
      <c r="E30" s="42"/>
      <c r="F30" s="42">
        <v>2904</v>
      </c>
      <c r="G30" s="267" t="s">
        <v>432</v>
      </c>
      <c r="H30" s="42">
        <v>2904</v>
      </c>
      <c r="I30" s="267" t="s">
        <v>432</v>
      </c>
    </row>
    <row r="31" spans="5:9" ht="12.75">
      <c r="E31" s="28"/>
      <c r="F31" s="266">
        <f>SUM(F29:F30)</f>
        <v>16504</v>
      </c>
      <c r="G31" s="28"/>
      <c r="H31" s="266">
        <f>SUM(H29:H30)</f>
        <v>16504</v>
      </c>
      <c r="I31" s="28"/>
    </row>
    <row r="32" spans="5:9" ht="12.75">
      <c r="E32" s="28"/>
      <c r="F32" s="28"/>
      <c r="G32" s="28"/>
      <c r="H32" s="28"/>
      <c r="I32" s="28"/>
    </row>
  </sheetData>
  <sheetProtection/>
  <mergeCells count="1">
    <mergeCell ref="A5:G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7.25390625" style="8" customWidth="1"/>
    <col min="2" max="2" width="8.00390625" style="8" customWidth="1"/>
    <col min="3" max="3" width="6.375" style="8" customWidth="1"/>
    <col min="4" max="4" width="40.00390625" style="8" customWidth="1"/>
    <col min="5" max="5" width="22.25390625" style="8" customWidth="1"/>
    <col min="6" max="6" width="11.00390625" style="8" hidden="1" customWidth="1"/>
  </cols>
  <sheetData>
    <row r="1" spans="5:6" ht="12.75">
      <c r="E1" s="61" t="s">
        <v>435</v>
      </c>
      <c r="F1" s="61"/>
    </row>
    <row r="2" spans="5:6" ht="12.75">
      <c r="E2" s="61" t="s">
        <v>476</v>
      </c>
      <c r="F2" s="61"/>
    </row>
    <row r="3" spans="5:6" ht="12.75">
      <c r="E3" s="61" t="s">
        <v>146</v>
      </c>
      <c r="F3" s="61"/>
    </row>
    <row r="4" spans="5:6" ht="12.75">
      <c r="E4" s="61" t="s">
        <v>477</v>
      </c>
      <c r="F4" s="61"/>
    </row>
    <row r="5" spans="1:6" ht="30" customHeight="1">
      <c r="A5" s="364" t="s">
        <v>426</v>
      </c>
      <c r="B5" s="364"/>
      <c r="C5" s="364"/>
      <c r="D5" s="364"/>
      <c r="E5" s="364"/>
      <c r="F5"/>
    </row>
    <row r="6" spans="1:6" ht="21" customHeight="1">
      <c r="A6" s="363" t="s">
        <v>427</v>
      </c>
      <c r="B6" s="363"/>
      <c r="C6" s="363"/>
      <c r="D6" s="363"/>
      <c r="E6" s="363"/>
      <c r="F6"/>
    </row>
    <row r="7" spans="1:6" ht="21" customHeight="1">
      <c r="A7" s="12" t="s">
        <v>0</v>
      </c>
      <c r="B7" s="12" t="s">
        <v>1</v>
      </c>
      <c r="C7" s="12" t="s">
        <v>2</v>
      </c>
      <c r="D7" s="12" t="s">
        <v>3</v>
      </c>
      <c r="E7" s="130" t="s">
        <v>142</v>
      </c>
      <c r="F7" s="130" t="s">
        <v>195</v>
      </c>
    </row>
    <row r="8" spans="1:6" ht="48">
      <c r="A8" s="12">
        <v>756</v>
      </c>
      <c r="B8" s="18"/>
      <c r="C8" s="12"/>
      <c r="D8" s="33" t="s">
        <v>153</v>
      </c>
      <c r="E8" s="43">
        <f>SUM(E9)</f>
        <v>122117</v>
      </c>
      <c r="F8" s="130"/>
    </row>
    <row r="9" spans="1:6" s="171" customFormat="1" ht="36">
      <c r="A9" s="268"/>
      <c r="B9" s="2" t="s">
        <v>38</v>
      </c>
      <c r="C9" s="4"/>
      <c r="D9" s="261" t="s">
        <v>39</v>
      </c>
      <c r="E9" s="257">
        <f>SUM(E10)</f>
        <v>122117</v>
      </c>
      <c r="F9" s="270"/>
    </row>
    <row r="10" spans="1:6" s="171" customFormat="1" ht="21" customHeight="1">
      <c r="A10" s="268"/>
      <c r="B10" s="269"/>
      <c r="C10" s="271" t="s">
        <v>163</v>
      </c>
      <c r="D10" s="41" t="s">
        <v>12</v>
      </c>
      <c r="E10" s="257">
        <v>122117</v>
      </c>
      <c r="F10" s="270"/>
    </row>
    <row r="11" spans="1:6" s="7" customFormat="1" ht="21" customHeight="1">
      <c r="A11" s="34" t="s">
        <v>127</v>
      </c>
      <c r="B11" s="6"/>
      <c r="C11" s="5"/>
      <c r="D11" s="21" t="s">
        <v>61</v>
      </c>
      <c r="E11" s="19">
        <f>SUM(E12)</f>
        <v>200000</v>
      </c>
      <c r="F11" s="19">
        <f>SUM(F12)</f>
        <v>0</v>
      </c>
    </row>
    <row r="12" spans="1:6" s="7" customFormat="1" ht="36">
      <c r="A12" s="2"/>
      <c r="B12" s="131">
        <v>90019</v>
      </c>
      <c r="C12" s="3"/>
      <c r="D12" s="261" t="s">
        <v>412</v>
      </c>
      <c r="E12" s="129">
        <f>SUM(E13:E13)</f>
        <v>200000</v>
      </c>
      <c r="F12" s="129">
        <f>SUM(F13:F13)</f>
        <v>0</v>
      </c>
    </row>
    <row r="13" spans="1:6" s="8" customFormat="1" ht="21" customHeight="1">
      <c r="A13" s="2"/>
      <c r="B13" s="131"/>
      <c r="C13" s="134" t="s">
        <v>183</v>
      </c>
      <c r="D13" s="132" t="s">
        <v>144</v>
      </c>
      <c r="E13" s="129">
        <v>200000</v>
      </c>
      <c r="F13" s="129"/>
    </row>
    <row r="14" spans="1:6" ht="21" customHeight="1">
      <c r="A14" s="135"/>
      <c r="B14" s="20"/>
      <c r="C14" s="20"/>
      <c r="D14" s="12" t="s">
        <v>68</v>
      </c>
      <c r="E14" s="19">
        <f>SUM(E11,E8,)</f>
        <v>322117</v>
      </c>
      <c r="F14" s="19">
        <f>SUM(F11)</f>
        <v>0</v>
      </c>
    </row>
    <row r="15" spans="1:6" ht="21" customHeight="1">
      <c r="A15" s="362" t="s">
        <v>425</v>
      </c>
      <c r="B15" s="362"/>
      <c r="C15" s="362"/>
      <c r="D15" s="362"/>
      <c r="E15" s="362"/>
      <c r="F15"/>
    </row>
    <row r="16" spans="1:6" ht="21" customHeight="1">
      <c r="A16" s="12" t="s">
        <v>0</v>
      </c>
      <c r="B16" s="12" t="s">
        <v>1</v>
      </c>
      <c r="C16" s="12" t="s">
        <v>2</v>
      </c>
      <c r="D16" s="12" t="s">
        <v>3</v>
      </c>
      <c r="E16" s="130" t="s">
        <v>142</v>
      </c>
      <c r="F16" s="130" t="s">
        <v>195</v>
      </c>
    </row>
    <row r="17" spans="1:6" s="7" customFormat="1" ht="21" customHeight="1">
      <c r="A17" s="34" t="s">
        <v>127</v>
      </c>
      <c r="B17" s="6"/>
      <c r="C17" s="5"/>
      <c r="D17" s="21" t="s">
        <v>61</v>
      </c>
      <c r="E17" s="19">
        <f>SUM(E18)</f>
        <v>322117</v>
      </c>
      <c r="F17" s="19">
        <f>SUM(F18)</f>
        <v>0</v>
      </c>
    </row>
    <row r="18" spans="1:6" s="7" customFormat="1" ht="36.75" customHeight="1">
      <c r="A18" s="2"/>
      <c r="B18" s="131">
        <v>90019</v>
      </c>
      <c r="C18" s="3"/>
      <c r="D18" s="261" t="s">
        <v>412</v>
      </c>
      <c r="E18" s="129">
        <f>SUM(E19,E25)</f>
        <v>322117</v>
      </c>
      <c r="F18" s="129">
        <f>SUM(F19,F25,F23)</f>
        <v>0</v>
      </c>
    </row>
    <row r="19" spans="1:6" s="8" customFormat="1" ht="21" customHeight="1">
      <c r="A19" s="2"/>
      <c r="B19" s="131"/>
      <c r="C19" s="3">
        <v>4210</v>
      </c>
      <c r="D19" s="132" t="s">
        <v>72</v>
      </c>
      <c r="E19" s="129">
        <v>85517</v>
      </c>
      <c r="F19" s="129">
        <f>SUM(F20:F22)</f>
        <v>0</v>
      </c>
    </row>
    <row r="20" spans="1:6" ht="21" customHeight="1" hidden="1">
      <c r="A20" s="296"/>
      <c r="B20" s="297"/>
      <c r="C20" s="298"/>
      <c r="D20" s="49" t="s">
        <v>268</v>
      </c>
      <c r="E20" s="50">
        <f>3000+117</f>
        <v>3117</v>
      </c>
      <c r="F20" s="50"/>
    </row>
    <row r="21" spans="1:6" ht="21" customHeight="1" hidden="1">
      <c r="A21" s="296"/>
      <c r="B21" s="297"/>
      <c r="C21" s="298"/>
      <c r="D21" s="49" t="s">
        <v>269</v>
      </c>
      <c r="E21" s="50">
        <f>10000+40000</f>
        <v>50000</v>
      </c>
      <c r="F21" s="50"/>
    </row>
    <row r="22" spans="1:6" ht="21" customHeight="1" hidden="1">
      <c r="A22" s="296"/>
      <c r="B22" s="297"/>
      <c r="C22" s="298"/>
      <c r="D22" s="49" t="s">
        <v>270</v>
      </c>
      <c r="E22" s="50">
        <v>3000</v>
      </c>
      <c r="F22" s="50"/>
    </row>
    <row r="23" spans="1:6" ht="21" customHeight="1" hidden="1">
      <c r="A23" s="296"/>
      <c r="B23" s="297"/>
      <c r="C23" s="298"/>
      <c r="D23" s="49" t="s">
        <v>332</v>
      </c>
      <c r="E23" s="50">
        <v>3000</v>
      </c>
      <c r="F23" s="50"/>
    </row>
    <row r="24" spans="1:6" ht="21" customHeight="1" hidden="1">
      <c r="A24" s="296"/>
      <c r="B24" s="297"/>
      <c r="C24" s="298"/>
      <c r="D24" s="49" t="s">
        <v>433</v>
      </c>
      <c r="E24" s="50">
        <v>47000</v>
      </c>
      <c r="F24" s="50"/>
    </row>
    <row r="25" spans="1:6" s="8" customFormat="1" ht="21" customHeight="1">
      <c r="A25" s="2"/>
      <c r="B25" s="131"/>
      <c r="C25" s="134">
        <v>4300</v>
      </c>
      <c r="D25" s="132" t="s">
        <v>79</v>
      </c>
      <c r="E25" s="129">
        <v>236600</v>
      </c>
      <c r="F25" s="129">
        <f>SUM(F26:F28)</f>
        <v>0</v>
      </c>
    </row>
    <row r="26" spans="1:6" ht="21" customHeight="1" hidden="1">
      <c r="A26" s="296"/>
      <c r="B26" s="297"/>
      <c r="C26" s="298"/>
      <c r="D26" s="49" t="s">
        <v>271</v>
      </c>
      <c r="E26" s="50">
        <f>163600-50000</f>
        <v>113600</v>
      </c>
      <c r="F26" s="50"/>
    </row>
    <row r="27" spans="1:6" ht="21" customHeight="1" hidden="1">
      <c r="A27" s="296"/>
      <c r="B27" s="297"/>
      <c r="C27" s="298"/>
      <c r="D27" s="49" t="s">
        <v>272</v>
      </c>
      <c r="E27" s="50">
        <v>10000</v>
      </c>
      <c r="F27" s="50"/>
    </row>
    <row r="28" spans="1:6" ht="21" customHeight="1" hidden="1">
      <c r="A28" s="296"/>
      <c r="B28" s="133"/>
      <c r="C28" s="133"/>
      <c r="D28" s="49" t="s">
        <v>273</v>
      </c>
      <c r="E28" s="50">
        <f>15000+5000</f>
        <v>20000</v>
      </c>
      <c r="F28" s="50"/>
    </row>
    <row r="29" spans="1:6" ht="21" customHeight="1" hidden="1">
      <c r="A29" s="296"/>
      <c r="B29" s="133"/>
      <c r="C29" s="133"/>
      <c r="D29" s="49" t="s">
        <v>274</v>
      </c>
      <c r="E29" s="50">
        <f>12000+30000</f>
        <v>42000</v>
      </c>
      <c r="F29" s="50"/>
    </row>
    <row r="30" spans="1:6" ht="21" customHeight="1" hidden="1">
      <c r="A30" s="296"/>
      <c r="B30" s="133"/>
      <c r="C30" s="133"/>
      <c r="D30" s="49" t="s">
        <v>275</v>
      </c>
      <c r="E30" s="50">
        <v>10000</v>
      </c>
      <c r="F30" s="50"/>
    </row>
    <row r="31" spans="1:6" ht="21" customHeight="1" hidden="1">
      <c r="A31" s="296"/>
      <c r="B31" s="133"/>
      <c r="C31" s="133"/>
      <c r="D31" s="49" t="s">
        <v>276</v>
      </c>
      <c r="E31" s="50">
        <v>20000</v>
      </c>
      <c r="F31" s="50"/>
    </row>
    <row r="32" spans="1:6" ht="21" customHeight="1" hidden="1">
      <c r="A32" s="296"/>
      <c r="B32" s="133"/>
      <c r="C32" s="133"/>
      <c r="D32" s="49" t="s">
        <v>277</v>
      </c>
      <c r="E32" s="50">
        <v>400</v>
      </c>
      <c r="F32" s="50"/>
    </row>
    <row r="33" spans="1:6" ht="21" customHeight="1">
      <c r="A33" s="2"/>
      <c r="B33" s="3"/>
      <c r="C33" s="3"/>
      <c r="D33" s="12" t="s">
        <v>68</v>
      </c>
      <c r="E33" s="19">
        <f>SUM(E18)</f>
        <v>322117</v>
      </c>
      <c r="F33" s="19">
        <f>SUM(F18)</f>
        <v>0</v>
      </c>
    </row>
    <row r="34" spans="1:6" ht="0.75" customHeight="1" hidden="1">
      <c r="A34" s="136"/>
      <c r="B34" s="137"/>
      <c r="C34" s="133"/>
      <c r="D34" s="138" t="s">
        <v>228</v>
      </c>
      <c r="E34" s="19">
        <f>SUM(E14-E33)</f>
        <v>0</v>
      </c>
      <c r="F34" s="19"/>
    </row>
  </sheetData>
  <sheetProtection/>
  <mergeCells count="3">
    <mergeCell ref="A15:E15"/>
    <mergeCell ref="A6:E6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JA</cp:lastModifiedBy>
  <cp:lastPrinted>2010-05-17T09:55:47Z</cp:lastPrinted>
  <dcterms:created xsi:type="dcterms:W3CDTF">2002-10-21T08:56:44Z</dcterms:created>
  <dcterms:modified xsi:type="dcterms:W3CDTF">2011-04-11T15:24:19Z</dcterms:modified>
  <cp:category/>
  <cp:version/>
  <cp:contentType/>
  <cp:contentStatus/>
</cp:coreProperties>
</file>