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3630" windowHeight="2100" tabRatio="606" activeTab="0"/>
  </bookViews>
  <sheets>
    <sheet name="dochody 2009 zał.1" sheetId="1" r:id="rId1"/>
    <sheet name="wydatki 2009 zał.2" sheetId="2" r:id="rId2"/>
    <sheet name="dot. otrzym.2009 " sheetId="3" r:id="rId3"/>
    <sheet name="zał.  dotacje przek.4" sheetId="4" r:id="rId4"/>
    <sheet name="wyd.admin. zał. 5" sheetId="5" r:id="rId5"/>
    <sheet name="wyd.maj.zał 6 " sheetId="6" r:id="rId6"/>
    <sheet name="poroz. zał 7" sheetId="7" r:id="rId7"/>
    <sheet name="zal_08" sheetId="8" r:id="rId8"/>
    <sheet name="GKRPA zał.9" sheetId="9" r:id="rId9"/>
    <sheet name="deficyt zał.10 " sheetId="10" r:id="rId10"/>
    <sheet name="zakł. budż.11" sheetId="11" r:id="rId11"/>
    <sheet name="doch.admin zał. 12" sheetId="12" r:id="rId12"/>
    <sheet name="zał.14 GFOŚiGW" sheetId="13" r:id="rId13"/>
  </sheets>
  <definedNames>
    <definedName name="_xlnm.Print_Titles" localSheetId="0">'dochody 2009 zał.1'!$6:$7</definedName>
    <definedName name="_xlnm.Print_Titles" localSheetId="2">'dot. otrzym.2009 '!$6:$7</definedName>
    <definedName name="_xlnm.Print_Titles" localSheetId="8">'GKRPA zał.9'!$14:$15</definedName>
    <definedName name="_xlnm.Print_Titles" localSheetId="6">'poroz. zał 7'!$6:$7</definedName>
    <definedName name="_xlnm.Print_Titles" localSheetId="4">'wyd.admin. zał. 5'!$6:$7</definedName>
    <definedName name="_xlnm.Print_Titles" localSheetId="5">'wyd.maj.zał 6 '!$6:$7</definedName>
    <definedName name="_xlnm.Print_Titles" localSheetId="1">'wydatki 2009 zał.2'!$6:$7</definedName>
  </definedNames>
  <calcPr fullCalcOnLoad="1"/>
</workbook>
</file>

<file path=xl/comments8.xml><?xml version="1.0" encoding="utf-8"?>
<comments xmlns="http://schemas.openxmlformats.org/spreadsheetml/2006/main">
  <authors>
    <author>epamula</author>
    <author>aaa</author>
  </authors>
  <commentList>
    <comment ref="L11" authorId="0">
      <text>
        <r>
          <rPr>
            <b/>
            <sz val="8"/>
            <rFont val="Tahoma"/>
            <family val="0"/>
          </rPr>
          <t xml:space="preserve">epamula:
(-4.980 zł) </t>
        </r>
        <r>
          <rPr>
            <sz val="8"/>
            <rFont val="Tahoma"/>
            <family val="2"/>
          </rPr>
          <t xml:space="preserve">ponieważ:
</t>
        </r>
        <r>
          <rPr>
            <b/>
            <i/>
            <sz val="8"/>
            <rFont val="Tahoma"/>
            <family val="2"/>
          </rPr>
          <t xml:space="preserve">Budżet ogólny:
</t>
        </r>
        <r>
          <rPr>
            <sz val="8"/>
            <rFont val="Tahoma"/>
            <family val="2"/>
          </rPr>
          <t xml:space="preserve">
* 600-60016-4210&gt;&gt;&gt; (-4.980 zł)
* 600-60016-4300&gt;&gt;&gt;&gt; (+4.980 zł)
</t>
        </r>
        <r>
          <rPr>
            <b/>
            <i/>
            <sz val="8"/>
            <rFont val="Tahoma"/>
            <family val="2"/>
          </rPr>
          <t xml:space="preserve">Budżet szczegółowy:
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* 600-60016-4210&gt;&gt;&gt; (-4.980 zł)</t>
        </r>
        <r>
          <rPr>
            <sz val="8"/>
            <rFont val="Tahoma"/>
            <family val="2"/>
          </rPr>
          <t xml:space="preserve">
A) (-5.000 zł) z zakupu pospółki
B) (- 480 zł) z zakupu oleju napędowego do wyrówniarki
C) (+ 500 zł) na zakup polbruku i cementu do wykonania podstawy pod pojemniki na szkło i plastik
</t>
        </r>
        <r>
          <rPr>
            <u val="single"/>
            <sz val="8"/>
            <rFont val="Tahoma"/>
            <family val="2"/>
          </rPr>
          <t xml:space="preserve">* 600-60016-4300&gt;&gt;&gt;&gt; (+4.980 zł)
</t>
        </r>
        <r>
          <rPr>
            <sz val="8"/>
            <rFont val="Tahoma"/>
            <family val="2"/>
          </rPr>
          <t>A) (+4.980 zł) na profilowanie dróg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
A) </t>
        </r>
        <r>
          <rPr>
            <u val="single"/>
            <sz val="8"/>
            <rFont val="Tahoma"/>
            <family val="2"/>
          </rPr>
          <t>(-5.000 zł)</t>
        </r>
        <r>
          <rPr>
            <b/>
            <sz val="8"/>
            <rFont val="Tahoma"/>
            <family val="2"/>
          </rPr>
          <t xml:space="preserve">
(- 5.000 zł ) </t>
        </r>
        <r>
          <rPr>
            <sz val="8"/>
            <rFont val="Tahoma"/>
            <family val="2"/>
          </rPr>
          <t xml:space="preserve">z 600-60016-4210 z zakupu pospółki na:
</t>
        </r>
        <r>
          <rPr>
            <b/>
            <sz val="8"/>
            <rFont val="Tahoma"/>
            <family val="2"/>
          </rPr>
          <t xml:space="preserve">(+ 20 zł) </t>
        </r>
        <r>
          <rPr>
            <sz val="8"/>
            <rFont val="Tahoma"/>
            <family val="2"/>
          </rPr>
          <t>na 600-60016-4210 na zakup polbruku i cementu do wykonania podstawy pod pojemniki na szkło i plastik,</t>
        </r>
        <r>
          <rPr>
            <b/>
            <sz val="8"/>
            <rFont val="Tahoma"/>
            <family val="2"/>
          </rPr>
          <t xml:space="preserve">
(+ 4.980 zł ) </t>
        </r>
        <r>
          <rPr>
            <sz val="8"/>
            <rFont val="Tahoma"/>
            <family val="2"/>
          </rPr>
          <t>na 600-60016-4300 na profilowanie dróg.</t>
        </r>
        <r>
          <rPr>
            <b/>
            <sz val="8"/>
            <rFont val="Tahoma"/>
            <family val="2"/>
          </rPr>
          <t xml:space="preserve">
B) </t>
        </r>
        <r>
          <rPr>
            <u val="single"/>
            <sz val="8"/>
            <rFont val="Tahoma"/>
            <family val="2"/>
          </rPr>
          <t>(-480 zł)</t>
        </r>
        <r>
          <rPr>
            <b/>
            <sz val="8"/>
            <rFont val="Tahoma"/>
            <family val="2"/>
          </rPr>
          <t xml:space="preserve">
(-480 zł ) </t>
        </r>
        <r>
          <rPr>
            <sz val="8"/>
            <rFont val="Tahoma"/>
            <family val="2"/>
          </rPr>
          <t>z 600-60016-4210 z z zakupu oleju napędowego do wyrówniarki na:</t>
        </r>
        <r>
          <rPr>
            <b/>
            <sz val="8"/>
            <rFont val="Tahoma"/>
            <family val="2"/>
          </rPr>
          <t xml:space="preserve">
(+480 zł)</t>
        </r>
        <r>
          <rPr>
            <sz val="8"/>
            <rFont val="Tahoma"/>
            <family val="2"/>
          </rPr>
          <t xml:space="preserve"> na 600-60016-4210 na zakup polbruku i cementu do wykonania podstawy pod pojemniki na szkło i plastik.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A) + B) = &lt;&lt;&gt;&gt; - 5.000 zł - 480 zł = -5.480 zł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C) </t>
        </r>
        <r>
          <rPr>
            <u val="single"/>
            <sz val="8"/>
            <rFont val="Tahoma"/>
            <family val="2"/>
          </rPr>
          <t>(+500 zł)</t>
        </r>
        <r>
          <rPr>
            <b/>
            <sz val="8"/>
            <rFont val="Tahoma"/>
            <family val="2"/>
          </rPr>
          <t xml:space="preserve">
(+ 500 zł ) </t>
        </r>
        <r>
          <rPr>
            <sz val="8"/>
            <rFont val="Tahoma"/>
            <family val="2"/>
          </rPr>
          <t xml:space="preserve">na 600-60016-4210 na zakup polbruku i cementu do wykonania podstawy pod pojemniki na szkło i plastik z:
</t>
        </r>
        <r>
          <rPr>
            <b/>
            <sz val="8"/>
            <rFont val="Tahoma"/>
            <family val="2"/>
          </rPr>
          <t>(-20 zł)</t>
        </r>
        <r>
          <rPr>
            <sz val="8"/>
            <rFont val="Tahoma"/>
            <family val="2"/>
          </rPr>
          <t xml:space="preserve"> z 600-60016-4210 z zakupu pospółki,
</t>
        </r>
        <r>
          <rPr>
            <b/>
            <sz val="8"/>
            <rFont val="Tahoma"/>
            <family val="2"/>
          </rPr>
          <t>(-480 zł)</t>
        </r>
        <r>
          <rPr>
            <sz val="8"/>
            <rFont val="Tahoma"/>
            <family val="2"/>
          </rPr>
          <t xml:space="preserve"> z 600-60016-4210 z zakupu oleju napędowego do wyrówniarki.
</t>
        </r>
        <r>
          <rPr>
            <b/>
            <i/>
            <sz val="11"/>
            <color indexed="10"/>
            <rFont val="Tahoma"/>
            <family val="2"/>
          </rPr>
          <t>A) + B) + C) &lt;&lt;&gt;&gt; -5.000 zł -480 zł + 500 zł= -4.980 zł.</t>
        </r>
      </text>
    </comment>
    <comment ref="M1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 przeniesienie z działu 600-60016-4210 z zakupu polbruku i cementu do wykonania podstawy pod pojemniki na szkło i plastik do działu 900-90004-4210 na zakupu polbruku i cementu do wykonania podstawy pod pojemniki na szkło i plastik</t>
        </r>
        <r>
          <rPr>
            <b/>
            <sz val="8"/>
            <rFont val="Tahoma"/>
            <family val="2"/>
          </rPr>
          <t xml:space="preserve">  (+500 zł)</t>
        </r>
      </text>
    </comment>
    <comment ref="K1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600-60016-4210 na zakup szlaki wraz z transportem z działu 600-60016-4300  z odśnieżania (-1.000 zł)</t>
        </r>
      </text>
    </comment>
    <comment ref="N1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 zł)</t>
        </r>
        <r>
          <rPr>
            <sz val="8"/>
            <rFont val="Tahoma"/>
            <family val="0"/>
          </rPr>
          <t xml:space="preserve"> przeniesienie z działu 600-60016-4210 z zakupu farb do odnowienia przystanku autobusowego do działu 900-90004-4210 na zakup kosy spalinowej (+100 zł).</t>
        </r>
      </text>
    </comment>
    <comment ref="L1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(-6.240 zł)</t>
        </r>
        <r>
          <rPr>
            <sz val="8"/>
            <rFont val="Tahoma"/>
            <family val="0"/>
          </rPr>
          <t xml:space="preserve"> przeniesienie z działu 600-60016-4210 z zakupu materiałów do naprawy dróg do działu 600-60016-4300 na profilowanie dróg (utwardzanie dróg gminnych gruzem) (+6.240 zł)</t>
        </r>
      </text>
    </comment>
    <comment ref="N1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(+927 zł) </t>
        </r>
        <r>
          <rPr>
            <sz val="8"/>
            <rFont val="Tahoma"/>
            <family val="0"/>
          </rPr>
          <t>przeniesiono do działu 600-60016-4210 na zakup pospółki z działów:
&gt;&gt;(-800 zł) z 750-75095-4300 z oprawy muzycznej,
&gt;&gt;(-32 zł) z 854-85412-4210 z zakupu materiałów do ogrodzenia placu zabaw (drewno),
&gt;&gt;(-95 zł) z 900-90003-4300 z wywozu nieczystości.</t>
        </r>
      </text>
    </comment>
    <comment ref="J1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(+300 zł)</t>
        </r>
        <r>
          <rPr>
            <sz val="8"/>
            <rFont val="Tahoma"/>
            <family val="0"/>
          </rPr>
          <t xml:space="preserve"> przeniesiono do działu 600-60016-4210 na zakup farby do odnowienia przystanków autobusowych z działu 900-90004-4300 z przeglądu i naprawy sprzętu </t>
        </r>
        <r>
          <rPr>
            <sz val="8"/>
            <rFont val="Tahoma"/>
            <family val="2"/>
          </rPr>
          <t>(-300 zł)</t>
        </r>
      </text>
    </comment>
    <comment ref="O1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(+616 zł) </t>
        </r>
        <r>
          <rPr>
            <sz val="8"/>
            <rFont val="Tahoma"/>
            <family val="0"/>
          </rPr>
          <t>przeniesiono do działu 600-60016-4210 na zakup paliwa do równiarki z działów:
&gt;&gt;&gt;750-75095-4210 z dożynek (-100 zł)
&gt;&gt;&gt;900-90003-4300 z wywozu nieczystości (-516 zł)</t>
        </r>
      </text>
    </comment>
    <comment ref="K2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(-1.440 zł)</t>
        </r>
        <r>
          <rPr>
            <sz val="8"/>
            <rFont val="Tahoma"/>
            <family val="0"/>
          </rPr>
          <t xml:space="preserve"> przeniesienie z działu 600-60016-4210 z zakupu pospółki do działu 600-60016-4300 na budowę chodnika (+1.440 zł)</t>
        </r>
      </text>
    </comment>
    <comment ref="M2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(-2.000 zł)</t>
        </r>
        <r>
          <rPr>
            <sz val="8"/>
            <rFont val="Tahoma"/>
            <family val="0"/>
          </rPr>
          <t xml:space="preserve"> przeniesienie z działu 600-60016-4300 z zimowego utrzymania dróg do działu 921-92109-4270 na zakup i montaż okien w sali wiejskiej</t>
        </r>
        <r>
          <rPr>
            <b/>
            <sz val="8"/>
            <rFont val="Tahoma"/>
            <family val="2"/>
          </rPr>
          <t xml:space="preserve"> (+2.000 zł)</t>
        </r>
      </text>
    </comment>
    <comment ref="L2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(+4.980 zł)</t>
        </r>
        <r>
          <rPr>
            <sz val="8"/>
            <rFont val="Tahoma"/>
            <family val="0"/>
          </rPr>
          <t xml:space="preserve"> przeniesiono do działu 600-60016-4300 na profilowanie dróg
 z działu 600-60016-4210 z zakupu pospółki.
</t>
        </r>
      </text>
    </comment>
    <comment ref="M26" authorId="0">
      <text>
        <r>
          <rPr>
            <b/>
            <sz val="8"/>
            <rFont val="Tahoma"/>
            <family val="0"/>
          </rPr>
          <t xml:space="preserve">epamula:
(0 zł) tzn.:
&gt;&gt;(-2.000 zł) </t>
        </r>
        <r>
          <rPr>
            <sz val="8"/>
            <rFont val="Tahoma"/>
            <family val="2"/>
          </rPr>
          <t>przeniesienie z działu 600-60016-4300 z odśnieżania do działu 600-60016-4300 na zakup tłucznia z wbudowaniem</t>
        </r>
        <r>
          <rPr>
            <u val="single"/>
            <sz val="8"/>
            <rFont val="Tahoma"/>
            <family val="2"/>
          </rPr>
          <t xml:space="preserve"> (+2.000 zł)</t>
        </r>
        <r>
          <rPr>
            <b/>
            <sz val="8"/>
            <rFont val="Tahoma"/>
            <family val="0"/>
          </rPr>
          <t xml:space="preserve">
&gt;&gt;</t>
        </r>
        <r>
          <rPr>
            <b/>
            <sz val="8"/>
            <rFont val="Tahoma"/>
            <family val="2"/>
          </rPr>
          <t xml:space="preserve">(+2.000 zł) </t>
        </r>
        <r>
          <rPr>
            <sz val="8"/>
            <rFont val="Tahoma"/>
            <family val="0"/>
          </rPr>
          <t xml:space="preserve">przeniesiono  do działu 600-60016-4300 na zakup tłucznia z wbudowaniem z działu 600-60016-4300 z odśnieżania </t>
        </r>
        <r>
          <rPr>
            <u val="single"/>
            <sz val="8"/>
            <rFont val="Tahoma"/>
            <family val="2"/>
          </rPr>
          <t>(-2.000 zł).
-2.000 zł +2.000 zł=0 zł</t>
        </r>
      </text>
    </comment>
    <comment ref="O2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(-3.000 zł)</t>
        </r>
        <r>
          <rPr>
            <sz val="8"/>
            <rFont val="Tahoma"/>
            <family val="0"/>
          </rPr>
          <t xml:space="preserve"> przeniesienie z działu 600-60016-4300 z profilowania do działu 754-75412-4210 na dofinansowanie OSP Niekursko (-3.000 zł)</t>
        </r>
      </text>
    </comment>
    <comment ref="K2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 z działu 600-60016-4300  z odśnieżania do działu 600-60016-4210 na zakup szlaki wraz z transportem (+1.000 zł)</t>
        </r>
      </text>
    </comment>
    <comment ref="L2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(+6.240 zł)</t>
        </r>
        <r>
          <rPr>
            <sz val="8"/>
            <rFont val="Tahoma"/>
            <family val="0"/>
          </rPr>
          <t xml:space="preserve"> przeniesiono do działu 600-60016-4300 na profilowanie dróg (utwardzanie dróg gminnych gruzem) z działu 600-60016-4210 z zakupu materiałów do naprawy dróg  (-6.240 zł)</t>
        </r>
      </text>
    </comment>
    <comment ref="K3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>(+1.440 zł)</t>
        </r>
        <r>
          <rPr>
            <sz val="8"/>
            <rFont val="Tahoma"/>
            <family val="0"/>
          </rPr>
          <t xml:space="preserve"> przeniesiono do działu 600-60016-4300 na budowę chodnika z działu 600-60016-4210 z zakupu pospółki (-1.440 zł)
</t>
        </r>
        <r>
          <rPr>
            <u val="single"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przeniesienie z działu 600-60016-4300 z odśnieżania do działu 900-90004-4210 na zakup krzewów ozdobnych (+300 zł)
</t>
        </r>
        <r>
          <rPr>
            <sz val="11"/>
            <rFont val="Tahoma"/>
            <family val="2"/>
          </rPr>
          <t xml:space="preserve">w efekcie tych przesunięć w budżecie ogólnym zmianę wprowadzono na kwote </t>
        </r>
        <r>
          <rPr>
            <b/>
            <u val="single"/>
            <sz val="11"/>
            <rFont val="Tahoma"/>
            <family val="2"/>
          </rPr>
          <t>(+1.140 zł)</t>
        </r>
        <r>
          <rPr>
            <sz val="11"/>
            <rFont val="Tahoma"/>
            <family val="2"/>
          </rPr>
          <t xml:space="preserve">,
ponieważ </t>
        </r>
        <r>
          <rPr>
            <b/>
            <sz val="11"/>
            <rFont val="Tahoma"/>
            <family val="2"/>
          </rPr>
          <t>(+1.440 zł) - 300 zł = 1.140 zł.</t>
        </r>
      </text>
    </comment>
    <comment ref="P3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600-60016-4300 z odśnieżania do działu 921-92109-4260 na zakup energii i wody na salę wiejską (+1.000 zł)</t>
        </r>
      </text>
    </comment>
    <comment ref="N3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(+3.222 zł) </t>
        </r>
        <r>
          <rPr>
            <sz val="8"/>
            <rFont val="Tahoma"/>
            <family val="0"/>
          </rPr>
          <t xml:space="preserve">przeniesiono do działu 600-60016-6050 na budowę chodnika z działów:
&gt;&gt;926-92605-4210 z zakupu sprzętu sportowego 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
&gt;&gt;921-92109-4210 z zakupu apteczki </t>
        </r>
        <r>
          <rPr>
            <b/>
            <sz val="8"/>
            <rFont val="Tahoma"/>
            <family val="2"/>
          </rPr>
          <t>(-19 zł)</t>
        </r>
        <r>
          <rPr>
            <sz val="8"/>
            <rFont val="Tahoma"/>
            <family val="0"/>
          </rPr>
          <t xml:space="preserve">
&gt;&gt;921-92109-4260 z zakupu energii 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
&gt;&gt;921-92109-4300 z budowy przyłącza energetycznego-salka </t>
        </r>
        <r>
          <rPr>
            <b/>
            <sz val="8"/>
            <rFont val="Tahoma"/>
            <family val="2"/>
          </rPr>
          <t>(-1.500 zł)</t>
        </r>
        <r>
          <rPr>
            <sz val="8"/>
            <rFont val="Tahoma"/>
            <family val="0"/>
          </rPr>
          <t xml:space="preserve">
&gt;&gt;750-75095-4210 z festynu wiejskiego </t>
        </r>
        <r>
          <rPr>
            <b/>
            <sz val="8"/>
            <rFont val="Tahoma"/>
            <family val="2"/>
          </rPr>
          <t>(-101 zł)</t>
        </r>
        <r>
          <rPr>
            <sz val="8"/>
            <rFont val="Tahoma"/>
            <family val="0"/>
          </rPr>
          <t xml:space="preserve">
&gt;&gt;900-90003-4300 z wywozu nieczystości </t>
        </r>
        <r>
          <rPr>
            <b/>
            <sz val="8"/>
            <rFont val="Tahoma"/>
            <family val="2"/>
          </rPr>
          <t>(-52 zł)</t>
        </r>
        <r>
          <rPr>
            <sz val="8"/>
            <rFont val="Tahoma"/>
            <family val="0"/>
          </rPr>
          <t xml:space="preserve">
&gt;&gt;900-90004-4210 z zakupu paliwa i innych materiałów </t>
        </r>
        <r>
          <rPr>
            <b/>
            <sz val="8"/>
            <rFont val="Tahoma"/>
            <family val="2"/>
          </rPr>
          <t>(-50 zł)</t>
        </r>
      </text>
    </comment>
    <comment ref="N3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(-848 zł)</t>
        </r>
        <r>
          <rPr>
            <sz val="8"/>
            <rFont val="Tahoma"/>
            <family val="0"/>
          </rPr>
          <t xml:space="preserve"> przeniesienie z działu 600-60016-6060 z zakupu równiarki do działu 900-90004-4210 na zakup kosy spalinowej (+848 zł).</t>
        </r>
      </text>
    </comment>
    <comment ref="P4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(+55  zł)</t>
        </r>
        <r>
          <rPr>
            <sz val="8"/>
            <rFont val="Tahoma"/>
            <family val="0"/>
          </rPr>
          <t xml:space="preserve"> przeniesiono do działu 700-70095-4260 na zakup energii-przychodnia z działu 926-92605-4300 ze składki ligi piłki nożnej-halowej (-55 zł)</t>
        </r>
      </text>
    </comment>
    <comment ref="P4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(-7 zł)</t>
        </r>
        <r>
          <rPr>
            <sz val="8"/>
            <rFont val="Tahoma"/>
            <family val="0"/>
          </rPr>
          <t xml:space="preserve"> przeniesienie z działu 700-70095-4300 z wywozu nieczystości -przychodnia do działu 900-90003-4300 na wywóz nieczystości z terenu sołectwa (+7 zł)</t>
        </r>
      </text>
    </comment>
    <comment ref="M5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(-167 zł)</t>
        </r>
        <r>
          <rPr>
            <sz val="8"/>
            <rFont val="Tahoma"/>
            <family val="0"/>
          </rPr>
          <t xml:space="preserve"> przeniesienie z działu 710-71035-4260 z zakupu energii do kaplicy do działu 921-92109-4210 na zakup butli z gazem </t>
        </r>
        <r>
          <rPr>
            <b/>
            <sz val="8"/>
            <rFont val="Tahoma"/>
            <family val="2"/>
          </rPr>
          <t>(+167 zł)</t>
        </r>
      </text>
    </comment>
    <comment ref="M5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750-75095-4210 z organizacji festynu na zakończenie roku szkolnego oraz Dnia Dziecka do działu 921-92109-4210 na zakup materiałów budowlanych, tj. zaprawy tynkowej, farby, kleju, tynku itp. celem pomalowania pomieszczeń w klubie w Biernatowie </t>
        </r>
        <r>
          <rPr>
            <b/>
            <sz val="8"/>
            <rFont val="Tahoma"/>
            <family val="2"/>
          </rPr>
          <t>(-1.000 zł)</t>
        </r>
      </text>
    </comment>
    <comment ref="N5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(-22 zł)</t>
        </r>
        <r>
          <rPr>
            <sz val="8"/>
            <rFont val="Tahoma"/>
            <family val="0"/>
          </rPr>
          <t xml:space="preserve"> przeniesienie z działu 750-75095-4210 z zakupu prasy do działu 921-92109-4260 na zakup energii elektrycznej (+22 zł)</t>
        </r>
      </text>
    </comment>
    <comment ref="J5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(-800 zł)</t>
        </r>
        <r>
          <rPr>
            <sz val="8"/>
            <rFont val="Tahoma"/>
            <family val="0"/>
          </rPr>
          <t xml:space="preserve"> przeniesienie z działu 750-75095-4210, tzn.:
&gt;&gt; </t>
        </r>
        <r>
          <rPr>
            <u val="single"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z Dnia Dziecka,
&gt;&gt;</t>
        </r>
        <r>
          <rPr>
            <u val="single"/>
            <sz val="8"/>
            <rFont val="Tahoma"/>
            <family val="2"/>
          </rPr>
          <t xml:space="preserve"> (-500 zł)</t>
        </r>
        <r>
          <rPr>
            <sz val="8"/>
            <rFont val="Tahoma"/>
            <family val="0"/>
          </rPr>
          <t xml:space="preserve"> z Dożynek 
do działu 900-90015-4300 na wykonanie projektu zainstalowania lamp oświetleniowych na terenie wsi Górnica przy posesjach nr. 20,21,41(+800zł)</t>
        </r>
      </text>
    </comment>
    <comment ref="M5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(+400 zł)</t>
        </r>
        <r>
          <rPr>
            <sz val="8"/>
            <rFont val="Tahoma"/>
            <family val="0"/>
          </rPr>
          <t xml:space="preserve"> przeniesiono do działu 750-75095-4210 na dofinansowanie imprezy "Mikołaj 2009 r." z działu 921-92109-4210 z zakupu materiałów i wyposażenia do świetlicy (-400 zł)</t>
        </r>
      </text>
    </comment>
    <comment ref="N6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(-301 zł) </t>
        </r>
        <r>
          <rPr>
            <sz val="8"/>
            <rFont val="Tahoma"/>
            <family val="0"/>
          </rPr>
          <t xml:space="preserve">przeniesienie z działu 750-75095-4210 z festynu wiejskiego do działów:
&gt;&gt;900-90004-4210 na zakup kory drzewnej </t>
        </r>
        <r>
          <rPr>
            <b/>
            <sz val="8"/>
            <rFont val="Tahoma"/>
            <family val="2"/>
          </rPr>
          <t>(+200 zł)</t>
        </r>
        <r>
          <rPr>
            <sz val="8"/>
            <rFont val="Tahoma"/>
            <family val="0"/>
          </rPr>
          <t xml:space="preserve">
&gt;&gt;600-60016-6050 na budowę chodnika </t>
        </r>
        <r>
          <rPr>
            <b/>
            <sz val="8"/>
            <rFont val="Tahoma"/>
            <family val="2"/>
          </rPr>
          <t>(+101 zł)</t>
        </r>
      </text>
    </comment>
    <comment ref="O6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 zł)</t>
        </r>
        <r>
          <rPr>
            <sz val="8"/>
            <rFont val="Tahoma"/>
            <family val="0"/>
          </rPr>
          <t xml:space="preserve"> przeniesienie z działu 750-75095-4210 z dożynek do działu 600-60016-4210 na zakup paliwa do równiarki (+100 zł)</t>
        </r>
      </text>
    </comment>
    <comment ref="K6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Zmiana polegała na przeniesieniu (-100 zł) z działu 750-75095-4210 z "Dnia Dziecka"  do działu 750-75095-4210 na "Pożegnanie lata" (+100 zł). 
Ze względu na fakt, że zmiany dokonano w tym samym </t>
        </r>
        <r>
          <rPr>
            <b/>
            <sz val="8"/>
            <rFont val="Arial"/>
            <family val="0"/>
          </rPr>
          <t>§</t>
        </r>
        <r>
          <rPr>
            <b/>
            <sz val="8"/>
            <rFont val="Tahoma"/>
            <family val="2"/>
          </rPr>
          <t xml:space="preserve"> tylko między zadaniami:
&gt;&gt; w budżecie ogólnym wpisujemy zmianę na kwotę 0 zł, 
&gt;&gt; a w budżecie szczegółowym (100 zł zdejmujemy z zadania "Dzień Dziecka"
i przenosimy je na drugie zadanie "Pożegnanie lata")
dwa zadania są w tym samym </t>
        </r>
        <r>
          <rPr>
            <b/>
            <sz val="8"/>
            <rFont val="Arial"/>
            <family val="0"/>
          </rPr>
          <t>§.</t>
        </r>
      </text>
    </comment>
    <comment ref="P6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 zł)</t>
        </r>
        <r>
          <rPr>
            <sz val="8"/>
            <rFont val="Tahoma"/>
            <family val="0"/>
          </rPr>
          <t xml:space="preserve"> przeniesienie z działu 750-75095-4210 z zakupu prasy do działu 900-90003-4300 na wywóz nieczystości z terenu sołectwa (+2 zł)</t>
        </r>
      </text>
    </comment>
    <comment ref="N7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(-19 zł)</t>
        </r>
        <r>
          <rPr>
            <sz val="8"/>
            <rFont val="Tahoma"/>
            <family val="0"/>
          </rPr>
          <t xml:space="preserve"> przeniesienie z działu 750-75095-4210 z festynu do działu 921-92109-4260 na zakup energii i wody (+19 zł).</t>
        </r>
      </text>
    </comment>
    <comment ref="P7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 zł)</t>
        </r>
        <r>
          <rPr>
            <sz val="8"/>
            <rFont val="Tahoma"/>
            <family val="0"/>
          </rPr>
          <t xml:space="preserve"> przeniesienia z działu 750-75095-4210 z zakupu prasy do działu 921-92109-4260 na zakup energii (+2 zł)</t>
        </r>
      </text>
    </comment>
    <comment ref="N7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(-800 zł)</t>
        </r>
        <r>
          <rPr>
            <sz val="8"/>
            <rFont val="Tahoma"/>
            <family val="0"/>
          </rPr>
          <t xml:space="preserve"> przeniesienie z działu 750-75095-4300 z oprawy muzycznek do działu 600-60016-4210 na zakup pospółki (+800 zł).</t>
        </r>
      </text>
    </comment>
    <comment ref="O7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 zł)</t>
        </r>
        <r>
          <rPr>
            <sz val="8"/>
            <rFont val="Tahoma"/>
            <family val="0"/>
          </rPr>
          <t xml:space="preserve"> przeniesienie z działu 750-75095-4300 z obsługi sanitarnej do działu 921-92109-4260 na zakup energii elektrycznej (+50 zł)</t>
        </r>
      </text>
    </comment>
    <comment ref="M8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(+2.200 zł)</t>
        </r>
        <r>
          <rPr>
            <sz val="8"/>
            <rFont val="Tahoma"/>
            <family val="0"/>
          </rPr>
          <t xml:space="preserve"> przeniesiono do działu 754-75412-3020 na dofinansowaie OSP Niekursko z działu 754-75412-4210 z dofinansowaia OSP Niekursko  (-2.200 zł)</t>
        </r>
      </text>
    </comment>
    <comment ref="M8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(-2.200 zł)</t>
        </r>
        <r>
          <rPr>
            <sz val="8"/>
            <rFont val="Tahoma"/>
            <family val="0"/>
          </rPr>
          <t xml:space="preserve"> przeniesienie z działu 754-75412-4210 z dofinansowaia OSP Niekursko do działu 754-75412-3020 na dofinansowaie OSP Niekursko (+2.200 zł)</t>
        </r>
      </text>
    </comment>
    <comment ref="O8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(+3.000 zł)</t>
        </r>
        <r>
          <rPr>
            <sz val="8"/>
            <rFont val="Tahoma"/>
            <family val="0"/>
          </rPr>
          <t xml:space="preserve"> przeniesiono do działu 754-75412-4210 na dofinansowanie OSP Niekursko z działu 600-60016-4300 z profilowania (+3.000 zł)</t>
        </r>
      </text>
    </comment>
    <comment ref="H9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(-1.500 zł) z 801-80101-4210 z zakupu materiałów i wyposażenia do 801-80101-4240 na zakup pomocy naukowych, dydaktycznych i książek (+1.500 zł)</t>
        </r>
      </text>
    </comment>
    <comment ref="H9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(-200 zł) z 801-80101-4210 z zakupu materiałów i wyposażenia do 801-80101-4240 na zakup pomocy naukowych, dydaktycznych i książek (+200 zł)</t>
        </r>
      </text>
    </comment>
    <comment ref="H10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(+1.500 zł) do 801-80101-4240 na zakup pomocy naukowych, dydaktycznych i książek z 801-80101-4210 z zakupu materiałów i wyposażenia (-1.500 zł)</t>
        </r>
      </text>
    </comment>
    <comment ref="H10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(+200 zł) do 801-80101-4240 na zakup pomocy naukowych, dydaktycznych i książek z 801-80101-4210 z zakupu materiałów i wyposażenia (-200 zł)</t>
        </r>
      </text>
    </comment>
    <comment ref="H10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(-700 zł) z 801-80103-4210 z zakupu materiałów i wyposażenia do 801-80103-4240 na zakup pomocy naukowych, dydaktycznych i książek (+700 zł)</t>
        </r>
      </text>
    </comment>
    <comment ref="H10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(-200 zł) z 801-80103-4210 z zakupu materiałów i wyposażenia do 801-80103-4240 na zakup pomocy naukowych, dydaktycznych i książek (+200 zł)</t>
        </r>
      </text>
    </comment>
    <comment ref="H10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(-500 zł) z 801-80103-4210 z zakupu materiałów i wyposażenia do 801-80103-4240 na zakup pomocy naukowych, dydaktycznych i książek (+500 zł)</t>
        </r>
      </text>
    </comment>
    <comment ref="H11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(+700 zł) do 801-80103-4240 na zakup pomocy naukowych, dydaktycznych i książek z 801-80103-4210 z zakupu materiałów i wyposażenia (-700 zł)</t>
        </r>
      </text>
    </comment>
    <comment ref="H11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(+200 zł) do 801-80103-4240 na zakup pomocy naukowych, dydaktycznych i książek z 801-80103-4210 z zakupu materiałów i wyposażenia (-200 zł)</t>
        </r>
      </text>
    </comment>
    <comment ref="H11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(+500 zł) do 801-80103-4240 na zakup pomocy naukowych, dydaktycznych i książek z 801-80103-4210 z zakupu materiałów i wyposażenia (-500 zł)</t>
        </r>
      </text>
    </comment>
    <comment ref="O12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(+32 zł)</t>
        </r>
        <r>
          <rPr>
            <sz val="8"/>
            <rFont val="Tahoma"/>
            <family val="0"/>
          </rPr>
          <t xml:space="preserve"> przeniesiono do działu 851-85154-4350 na opłaty za abonament internetowy z działu 926-92605-4260 z zakupu energii-boisko (-32 zł)</t>
        </r>
      </text>
    </comment>
    <comment ref="N12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(-32 zł)</t>
        </r>
        <r>
          <rPr>
            <sz val="8"/>
            <rFont val="Tahoma"/>
            <family val="0"/>
          </rPr>
          <t xml:space="preserve"> przeniesienia z działu 854-85412-4210 z zakupu materiałów na ogrodzenie placu zabaw (drewno) do działu 600-60016-4210 na zkaup pospółki (+32 zł).</t>
        </r>
      </text>
    </comment>
    <comment ref="N13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(+600 zł)</t>
        </r>
        <r>
          <rPr>
            <sz val="8"/>
            <rFont val="Tahoma"/>
            <family val="0"/>
          </rPr>
          <t xml:space="preserve"> przeniesiono do działu 854-85412-4210 na zakup ławek na plac zabaw z działu 921-92109-4270 z elewacji sali wiejskiej (-600 zł).</t>
        </r>
      </text>
    </comment>
    <comment ref="N13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(-92 zł)</t>
        </r>
        <r>
          <rPr>
            <sz val="8"/>
            <rFont val="Tahoma"/>
            <family val="0"/>
          </rPr>
          <t xml:space="preserve"> przeniesienie z działu 854-85412-4300 z organizacji wyjazdu dla dzieci i młodzieży do działu 900-90004-4210 na zakup kosy spalinowej (+92 zł).</t>
        </r>
      </text>
    </comment>
    <comment ref="N13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(-940 zł) </t>
        </r>
        <r>
          <rPr>
            <sz val="8"/>
            <rFont val="Tahoma"/>
            <family val="0"/>
          </rPr>
          <t>przeniesienie z działu 854-85412-4300 z wynajmu autokaru do działów:
&gt;&gt;921-92109-4210 na zakup krzeseł naświetlicę wiejską (+540 zł),
&gt;&gt;921-92109-4210 na zakup piecyka gazowego na salę wiejską (400 zł)</t>
        </r>
      </text>
    </comment>
    <comment ref="P13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(-98 zł)</t>
        </r>
        <r>
          <rPr>
            <sz val="8"/>
            <rFont val="Tahoma"/>
            <family val="0"/>
          </rPr>
          <t xml:space="preserve"> przeniesienie z działu 854-85412-6050 z zakupu wyposażenia na plac zabaw (Suszarnia) do działu 921-92109-4260 na zakup energii-sala wiejska (+98 zł)</t>
        </r>
      </text>
    </comment>
    <comment ref="N14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(+35 zł) </t>
        </r>
        <r>
          <rPr>
            <sz val="8"/>
            <rFont val="Tahoma"/>
            <family val="0"/>
          </rPr>
          <t>przeniesiono do działu 900-90003-4300 na wywóz nieczystości z działu 921-92109-4260 z zakupu wody (-35 zł).</t>
        </r>
      </text>
    </comment>
    <comment ref="N14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(</t>
        </r>
        <r>
          <rPr>
            <b/>
            <sz val="8"/>
            <rFont val="Tahoma"/>
            <family val="2"/>
          </rPr>
          <t>-52 zł)</t>
        </r>
        <r>
          <rPr>
            <sz val="8"/>
            <rFont val="Tahoma"/>
            <family val="0"/>
          </rPr>
          <t xml:space="preserve"> przeniesienie z działu 900-90003-4300 z wywozu nieczystości do działu 600-60016-6050 na budowę chodnika (+52 zł)</t>
        </r>
      </text>
    </comment>
    <comment ref="N14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(-95 zł)</t>
        </r>
        <r>
          <rPr>
            <sz val="8"/>
            <rFont val="Tahoma"/>
            <family val="0"/>
          </rPr>
          <t xml:space="preserve"> przeniesienia z działu 900-90003-4300 z wywozu nieczystości do działu 600-60016-4210 na zakup pospółki (+95 zł).</t>
        </r>
      </text>
    </comment>
    <comment ref="O14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(-516 zł)</t>
        </r>
        <r>
          <rPr>
            <sz val="8"/>
            <rFont val="Tahoma"/>
            <family val="0"/>
          </rPr>
          <t xml:space="preserve"> przeniesienie z działu 900-90003-4300 z wywozu nieczystości do działu 600-60016-4210 na zakup paliwa do równiarki (+516 zł)</t>
        </r>
      </text>
    </comment>
    <comment ref="P14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(+30 zł)</t>
        </r>
        <r>
          <rPr>
            <sz val="8"/>
            <rFont val="Tahoma"/>
            <family val="0"/>
          </rPr>
          <t xml:space="preserve"> przeniesiono do działu 900-90003-4300 na wywóz nieczystości z terenu sołectwa z działów:
&gt;&gt;700-70095-4300 z wywozu nieczystości-przychodnia </t>
        </r>
        <r>
          <rPr>
            <u val="single"/>
            <sz val="8"/>
            <rFont val="Tahoma"/>
            <family val="2"/>
          </rPr>
          <t>(-7 zł),</t>
        </r>
        <r>
          <rPr>
            <sz val="8"/>
            <rFont val="Tahoma"/>
            <family val="0"/>
          </rPr>
          <t xml:space="preserve">
&gt;&gt;750-75095-4210 z zakupu prasy </t>
        </r>
        <r>
          <rPr>
            <u val="single"/>
            <sz val="8"/>
            <rFont val="Tahoma"/>
            <family val="2"/>
          </rPr>
          <t>(-2 zł),</t>
        </r>
        <r>
          <rPr>
            <sz val="8"/>
            <rFont val="Tahoma"/>
            <family val="0"/>
          </rPr>
          <t xml:space="preserve">
&gt;&gt;921-92109-4210 z zakupu butli z gazem (-20 zł)+wyposażenia (sprzętu AGD) (-1 zł) do sali wiejskiej </t>
        </r>
        <r>
          <rPr>
            <u val="single"/>
            <sz val="8"/>
            <rFont val="Tahoma"/>
            <family val="2"/>
          </rPr>
          <t>(-21 zł)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7 zł+2 zł+21 zł=30 zł</t>
        </r>
      </text>
    </comment>
    <comment ref="M15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 zł)</t>
        </r>
        <r>
          <rPr>
            <sz val="8"/>
            <rFont val="Tahoma"/>
            <family val="0"/>
          </rPr>
          <t xml:space="preserve"> przeniesienie z działu 900-90004-4210 z zakupu paliwa do kosiarki do działu 900-90004-4300 na naprawę kosiarki </t>
        </r>
        <r>
          <rPr>
            <b/>
            <sz val="8"/>
            <rFont val="Tahoma"/>
            <family val="2"/>
          </rPr>
          <t>(+100 zł)</t>
        </r>
      </text>
    </comment>
    <comment ref="J15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(-200 zł)</t>
        </r>
        <r>
          <rPr>
            <sz val="8"/>
            <rFont val="Tahoma"/>
            <family val="0"/>
          </rPr>
          <t xml:space="preserve"> przeniesienie z działu 900-90004-4210 z zakupu trawy do obsiania placu zabaw do działu 900-90015-4300 na wykonanie projektu zainstalowania lamp oświetleniowych na terenie wsi Górnica przy posesjach nr. 20,21,41(+200zł)</t>
        </r>
      </text>
    </comment>
    <comment ref="M15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(+500 zł)</t>
        </r>
        <r>
          <rPr>
            <sz val="8"/>
            <rFont val="Tahoma"/>
            <family val="0"/>
          </rPr>
          <t xml:space="preserve"> przeniesiono  do działu 900-90004-4210 na zakupu polbruku i cementu do wykonania podstawy pod pojemniki na szkło i plastik z działu 600-60016-4210 z zakupu polbruku i cementu do wykonania podstawy pod pojemniki na szkło i plastik </t>
        </r>
        <r>
          <rPr>
            <b/>
            <sz val="8"/>
            <rFont val="Tahoma"/>
            <family val="2"/>
          </rPr>
          <t>(-500 zł)</t>
        </r>
      </text>
    </comment>
    <comment ref="N15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(+2.040 zł)</t>
        </r>
        <r>
          <rPr>
            <sz val="8"/>
            <rFont val="Tahoma"/>
            <family val="0"/>
          </rPr>
          <t xml:space="preserve"> przeniesiono do działu 900-90004-4210 na zakup kosy spalinowej z działów:
&gt;&gt;(-100 zł) z 600-60016-4210 z zakupu farb do odnowienia przystanku autobusowego,
&gt;&gt;(-1.000 zł) z 921-92109-4210 z zakupu opału do świetlicy "Caritas",
&gt;&gt;(-848 zł) z 600-60016-6060 z zakupu równiarki,
&gt;&gt;(-92 zł) z 854-85412-4300 z organizacji wyjazdu dla dzieci i młodzieży.</t>
        </r>
      </text>
    </comment>
    <comment ref="M15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(+2.100 zł)</t>
        </r>
        <r>
          <rPr>
            <sz val="8"/>
            <rFont val="Tahoma"/>
            <family val="0"/>
          </rPr>
          <t xml:space="preserve"> przeniesiono do działu 900-90004-4210 na zakup kosiarki spalinowej (żyłkowej) oraz osprzętu i oleju z działów:
&gt;&gt;900-90004-4300 z utrzymania terenów zielonych (-1.000 zł), 
&gt;&gt;921-92109-4210 z zakupu materiałów i wyposażenia do świetlicy (-900 zł)
&gt;&gt;926-92605-4210 z zakupu sprzęu sportowego (-200 zł)
</t>
        </r>
      </text>
    </comment>
    <comment ref="N15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(+118 zł)</t>
        </r>
        <r>
          <rPr>
            <sz val="8"/>
            <rFont val="Tahoma"/>
            <family val="0"/>
          </rPr>
          <t>, ponieważ
&gt;&gt;</t>
        </r>
        <r>
          <rPr>
            <u val="single"/>
            <sz val="8"/>
            <rFont val="Tahoma"/>
            <family val="2"/>
          </rPr>
          <t>(+200 zł)</t>
        </r>
        <r>
          <rPr>
            <sz val="8"/>
            <rFont val="Tahoma"/>
            <family val="0"/>
          </rPr>
          <t xml:space="preserve"> przeniesieono do działu 900-90004-4210 na zakup kory drzewnej z działu 750-75095-4210 z festynu wiejskiego, 
&gt;&gt;</t>
        </r>
        <r>
          <rPr>
            <u val="single"/>
            <sz val="8"/>
            <rFont val="Tahoma"/>
            <family val="2"/>
          </rPr>
          <t>(-82 zł)</t>
        </r>
        <r>
          <rPr>
            <sz val="8"/>
            <rFont val="Tahoma"/>
            <family val="0"/>
          </rPr>
          <t xml:space="preserve"> przeniesienie z działu 900-90004-4210 z zakupu paliwa i innych materiałów do działów:
-600-60016-6050 na budowę chdnika (+50 zł),
-900-90004-4260 na zakup wody do utrzymania zieleni (+32 zł)
</t>
        </r>
        <r>
          <rPr>
            <b/>
            <sz val="8"/>
            <rFont val="Tahoma"/>
            <family val="2"/>
          </rPr>
          <t>200 zł-82 zł=118 zł</t>
        </r>
      </text>
    </comment>
    <comment ref="K16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(+300 zł)</t>
        </r>
        <r>
          <rPr>
            <sz val="8"/>
            <rFont val="Tahoma"/>
            <family val="0"/>
          </rPr>
          <t xml:space="preserve"> przeniesiono  do działu 900-90004-4210 na zakup krzewów ozdobnych z działu 600-60016-4300 z odśnieżania  (-300 zł)</t>
        </r>
      </text>
    </comment>
    <comment ref="N16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(+2.000 zł)</t>
        </r>
        <r>
          <rPr>
            <sz val="8"/>
            <rFont val="Tahoma"/>
            <family val="0"/>
          </rPr>
          <t xml:space="preserve"> przeniesiono do działu 900-90004-4210 na zakup kosiarki z działu 921-92109-4270 z elewacji sali wiejskiej (-2.000 zł)</t>
        </r>
      </text>
    </comment>
    <comment ref="N16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(+32 zł)</t>
        </r>
        <r>
          <rPr>
            <sz val="8"/>
            <rFont val="Tahoma"/>
            <family val="0"/>
          </rPr>
          <t xml:space="preserve"> przeniesiono do działu 900-90004-4260 na zakup wody do utrzymania zieleni z działu 900-90004-4210 z zakupu paliwa i innych materiałów (-32 zł)</t>
        </r>
      </text>
    </comment>
    <comment ref="M16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(+227 zł)</t>
        </r>
        <r>
          <rPr>
            <sz val="8"/>
            <rFont val="Tahoma"/>
            <family val="0"/>
          </rPr>
          <t xml:space="preserve"> przeniesiono do działu 900-90004-4300 na naprawę kosiarki z działów:
&gt;&gt;900-90004-4210 z zakupu paliwa do kosiarki </t>
        </r>
        <r>
          <rPr>
            <b/>
            <sz val="8"/>
            <rFont val="Tahoma"/>
            <family val="2"/>
          </rPr>
          <t>(-100 zł),
&gt;&gt;</t>
        </r>
        <r>
          <rPr>
            <sz val="8"/>
            <rFont val="Tahoma"/>
            <family val="2"/>
          </rPr>
          <t>921-92109-4270 z remontu podłogi na sali wiejskiej</t>
        </r>
        <r>
          <rPr>
            <b/>
            <sz val="8"/>
            <rFont val="Tahoma"/>
            <family val="2"/>
          </rPr>
          <t xml:space="preserve"> (-127 zł)</t>
        </r>
      </text>
    </comment>
    <comment ref="M17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900-90004-4300 z utrzymania terenów zielonych do działu 900-90004-4210 na zakup kosiarki spalinowej (żyłkowej) oraz osprzętu i oleju (+1.000 zł).</t>
        </r>
      </text>
    </comment>
    <comment ref="J17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przeniesienie z działu 900-90004-4300 z przeglądu i naprawy sprzętu do działu       600-60016-4210 na zakup farby do odnowienia przystanków autobusowych </t>
        </r>
        <r>
          <rPr>
            <sz val="8"/>
            <rFont val="Tahoma"/>
            <family val="2"/>
          </rPr>
          <t>(+300 zł)</t>
        </r>
      </text>
    </comment>
    <comment ref="J17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900-90015-4300 na wykonanie projektu zainstalowania lamp oświetleniowych na terenie wsi Górnica przy posesjach nr 20,21,41 z działów:
</t>
        </r>
        <r>
          <rPr>
            <u val="single"/>
            <sz val="8"/>
            <rFont val="Tahoma"/>
            <family val="2"/>
          </rPr>
          <t xml:space="preserve">&gt;&gt; 750-75095-4210 </t>
        </r>
        <r>
          <rPr>
            <b/>
            <u val="single"/>
            <sz val="8"/>
            <rFont val="Tahoma"/>
            <family val="2"/>
          </rPr>
          <t>(- 800 zł</t>
        </r>
        <r>
          <rPr>
            <i/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 tzn.:
- (-300 zł) z Dnia Dziecka,
-  (-500 zł) z Dożynek,
</t>
        </r>
        <r>
          <rPr>
            <u val="single"/>
            <sz val="8"/>
            <rFont val="Tahoma"/>
            <family val="2"/>
          </rPr>
          <t xml:space="preserve">&gt;&gt; 900-90004-4210  </t>
        </r>
        <r>
          <rPr>
            <b/>
            <u val="single"/>
            <sz val="8"/>
            <rFont val="Tahoma"/>
            <family val="2"/>
          </rPr>
          <t>(-200 zł)</t>
        </r>
        <r>
          <rPr>
            <b/>
            <i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z zakupu trawy do obsiania placu zabaw.
</t>
        </r>
      </text>
    </comment>
    <comment ref="M17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(+1.600 zł)</t>
        </r>
        <r>
          <rPr>
            <sz val="8"/>
            <rFont val="Tahoma"/>
            <family val="0"/>
          </rPr>
          <t xml:space="preserve"> przeniesiono do działu 900-90015-4300 na rozbudowę oświetlenia w Łomincy z działu 921-92109-4210 z zakupu materiałów i wyposażenia do świetlicy</t>
        </r>
        <r>
          <rPr>
            <b/>
            <sz val="8"/>
            <rFont val="Tahoma"/>
            <family val="2"/>
          </rPr>
          <t xml:space="preserve"> (1.600 zł)</t>
        </r>
      </text>
    </comment>
    <comment ref="N17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900-90015-4300 z rozbudowy oświetlenia w Przyłękach do działu 921-92109-4210 na zakup mebli kuchennych do sali wiejskiej (pomieszczenia gospodarczego (+1.000 zł).</t>
        </r>
      </text>
    </comment>
    <comment ref="I18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(+50 zł)</t>
        </r>
        <r>
          <rPr>
            <sz val="8"/>
            <rFont val="Tahoma"/>
            <family val="0"/>
          </rPr>
          <t xml:space="preserve"> przeniesiono do działu 921-92109-4210 na zakup paliwa do pieca w sali wiejskiej  z działu 921-92109-4260 z zakupu energii elektrycznej (-50 zł).</t>
        </r>
      </text>
    </comment>
    <comment ref="M18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921-92109-4210 na zakup materiałów budowlanych, tj. zaprawy tynkowej, farby, kleju, tynku itp. celem pomalowania pomieszczeń w klubie w Biernatowie z działu 750-75095-4210 z organizacji festynu na zakończenie roku szkolnego oraz Dnia Dziecka </t>
        </r>
        <r>
          <rPr>
            <b/>
            <sz val="8"/>
            <rFont val="Tahoma"/>
            <family val="2"/>
          </rPr>
          <t>(-1.000 zł)</t>
        </r>
      </text>
    </comment>
    <comment ref="N18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(-205 zł)</t>
        </r>
        <r>
          <rPr>
            <sz val="8"/>
            <rFont val="Tahoma"/>
            <family val="0"/>
          </rPr>
          <t xml:space="preserve"> przeniesienie z działu 921-92109-4210 z zakupu materiałów budowlanych do działu 921-92109-4260 na zakup energii elektrycznej (+205 zł).</t>
        </r>
      </text>
    </comment>
    <comment ref="M18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(-2.000 zł) </t>
        </r>
        <r>
          <rPr>
            <sz val="8"/>
            <rFont val="Tahoma"/>
            <family val="0"/>
          </rPr>
          <t xml:space="preserve">przeniesienie z działu 921-92109-4210 z zakupu materiałów i wyposażenia do świetlicy do działów:
&gt;&gt;750-75095-4210 na dofinansowanie imprezy "Mikołaj 2009 r." </t>
        </r>
        <r>
          <rPr>
            <u val="single"/>
            <sz val="8"/>
            <rFont val="Tahoma"/>
            <family val="2"/>
          </rPr>
          <t>(+400 zł)</t>
        </r>
        <r>
          <rPr>
            <sz val="8"/>
            <rFont val="Tahoma"/>
            <family val="0"/>
          </rPr>
          <t xml:space="preserve">
&gt;&gt;900-90015-4300 na rozbudowę oświetlenia w Łomnicy </t>
        </r>
        <r>
          <rPr>
            <u val="single"/>
            <sz val="8"/>
            <rFont val="Tahoma"/>
            <family val="2"/>
          </rPr>
          <t>(+1.600 zł)</t>
        </r>
      </text>
    </comment>
    <comment ref="P18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(+534 zł)</t>
        </r>
        <r>
          <rPr>
            <sz val="8"/>
            <rFont val="Tahoma"/>
            <family val="0"/>
          </rPr>
          <t xml:space="preserve"> przeniesiono do działu 921-92109-4210 na zakup oleju napędowego do nagrzewnicy z działu 921-92109-4260 z zakupu energii elektrycznej i wody na salę (-534 zł)</t>
        </r>
      </text>
    </comment>
    <comment ref="N18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921-92109-4210 z zakupu opału do świetlicy "Caritas" do działu 900-90004-4210 na zakup kosy spalinowej (+1.000 zł).</t>
        </r>
      </text>
    </comment>
    <comment ref="P18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(-22 zł)</t>
        </r>
        <r>
          <rPr>
            <sz val="8"/>
            <rFont val="Tahoma"/>
            <family val="0"/>
          </rPr>
          <t xml:space="preserve"> przeniesienie z działu 921-92109-4210 z zakupu materiałów budowlanych i wyposażenia do sali wiejskiej do działu 921-92109-4260 na zakup energii-sala wiejska (+22 zł)</t>
        </r>
      </text>
    </comment>
    <comment ref="M18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(-900 zł)</t>
        </r>
        <r>
          <rPr>
            <sz val="8"/>
            <rFont val="Tahoma"/>
            <family val="0"/>
          </rPr>
          <t xml:space="preserve"> przeniesienie z działu 921-92109-4210 z zakupu materiałów i wyposażenia do świetlicy do działu 900-90004-4210 na zakup kosiarki spalinowej (żyłkowej) oraz osprzętu i oleju (+900 zł)</t>
        </r>
      </text>
    </comment>
    <comment ref="L18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(-5.280 zł)</t>
        </r>
        <r>
          <rPr>
            <sz val="8"/>
            <rFont val="Tahoma"/>
            <family val="0"/>
          </rPr>
          <t xml:space="preserve"> przeniesienie z działu 921-92109-4210 z zakupu materiałów budowlanych i wyposażenia na salę wiejską do działu 921-92109-4270 na remontu sali wiejskiej (na zakup potrzebnych materiałów i wyposażenia,  tzn. okien i drzwi wraz z ich demontażem i montażem (+5.280 zł).</t>
        </r>
      </text>
    </comment>
    <comment ref="N18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921-92109-4210 na zakup mebli kuchennych do sali wiejskiej (pomieszczenia gospodarczego) z działu 900-90015-4300 z rozbudowy oświetlenia w Przyłękach (-1.000 zł).</t>
        </r>
      </text>
    </comment>
    <comment ref="N19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(-19 zł)</t>
        </r>
        <r>
          <rPr>
            <sz val="8"/>
            <rFont val="Tahoma"/>
            <family val="0"/>
          </rPr>
          <t xml:space="preserve"> przeniesienie z działu 921-92109-4210 z zakupu apteczki do działu 600-60016-6050 na budowę chodnika (+19 zł)</t>
        </r>
      </text>
    </comment>
    <comment ref="N19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(+1.410 zł)</t>
        </r>
        <r>
          <rPr>
            <sz val="8"/>
            <rFont val="Tahoma"/>
            <family val="0"/>
          </rPr>
          <t xml:space="preserve"> przeniesiono do działu 921-92109-4210 na zakup stołu gastronomicznego na salę wiejską z działów:
&gt;&gt;(-1.200 zł) z 926-92605-4210 z zakupu sprzętu sportowego,
&gt;&gt;(-210 zł) z 921-92109-4260 z zakupu energii.</t>
        </r>
      </text>
    </comment>
    <comment ref="M19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(+167 zł)</t>
        </r>
        <r>
          <rPr>
            <sz val="8"/>
            <rFont val="Tahoma"/>
            <family val="0"/>
          </rPr>
          <t xml:space="preserve"> przeniesiono do działu 921-92109-4210 na zakup butli z gazem z działu 710-71035-4260 z zakupu energii do kaplicy </t>
        </r>
        <r>
          <rPr>
            <b/>
            <sz val="8"/>
            <rFont val="Tahoma"/>
            <family val="2"/>
          </rPr>
          <t>(-167 zł)</t>
        </r>
      </text>
    </comment>
    <comment ref="P19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(-21 zł)</t>
        </r>
        <r>
          <rPr>
            <sz val="8"/>
            <rFont val="Tahoma"/>
            <family val="0"/>
          </rPr>
          <t xml:space="preserve"> przeniesienie z działu 921-92109-4210 z zakupu butli z gazem (-20 zł) + wyposażenia (sprzętu AGD) (-1 zł) na salę wiejską do działu 900-90003-4300 na wywóz nieczystości z terenu sołectwa (+21 zł)</t>
        </r>
      </text>
    </comment>
    <comment ref="N19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(+2.040 zł)</t>
        </r>
        <r>
          <rPr>
            <sz val="8"/>
            <rFont val="Tahoma"/>
            <family val="0"/>
          </rPr>
          <t xml:space="preserve"> przeniesiono do działu 921-92109-4210 na zakup stołów i krzeseł z działu 921-92109-4300 z modernizacji wejścia i ogrodzenia w obrębie sali (-2.120 zł).</t>
        </r>
      </text>
    </comment>
    <comment ref="N19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(+2.220 zł)</t>
        </r>
        <r>
          <rPr>
            <sz val="8"/>
            <rFont val="Tahoma"/>
            <family val="0"/>
          </rPr>
          <t xml:space="preserve"> przeniesiono do działu 921-92109-4210 na zadania:
</t>
        </r>
        <r>
          <rPr>
            <u val="single"/>
            <sz val="8"/>
            <rFont val="Tahoma"/>
            <family val="2"/>
          </rPr>
          <t>zakup krzeseł na świetlicę wiejską (+1.820 zł</t>
        </r>
        <r>
          <rPr>
            <sz val="8"/>
            <rFont val="Tahoma"/>
            <family val="0"/>
          </rPr>
          <t xml:space="preserve">) z działów:
&gt;&gt;921-92109-4270 z elewacji sali wiejskiej (-1.280 zł),
&gt;&gt;854-85412-4300 z wynajmu autokaru (-540 zł)
</t>
        </r>
        <r>
          <rPr>
            <u val="single"/>
            <sz val="8"/>
            <rFont val="Tahoma"/>
            <family val="2"/>
          </rPr>
          <t>zakup piecyka gazowego (+400 zł) z działu</t>
        </r>
        <r>
          <rPr>
            <sz val="8"/>
            <rFont val="Tahoma"/>
            <family val="0"/>
          </rPr>
          <t xml:space="preserve">
&gt;&gt;854-85412-4300 z wynajmu autokaru (-400 zł).</t>
        </r>
      </text>
    </comment>
    <comment ref="P19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(-18 zł)</t>
        </r>
        <r>
          <rPr>
            <sz val="8"/>
            <rFont val="Tahoma"/>
            <family val="0"/>
          </rPr>
          <t xml:space="preserve"> przeniesienie z działu 921-92109-4210 z zakupu butli z gazem (-6 zł)+krzeseł i piecyka gazowego (-12 zł) na sale wiejską do działu 921-92109-4260 na zakup energii </t>
        </r>
        <r>
          <rPr>
            <u val="single"/>
            <sz val="8"/>
            <rFont val="Tahoma"/>
            <family val="2"/>
          </rPr>
          <t>(+18 zł)</t>
        </r>
      </text>
    </comment>
    <comment ref="I19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 zł)</t>
        </r>
        <r>
          <rPr>
            <sz val="8"/>
            <rFont val="Tahoma"/>
            <family val="0"/>
          </rPr>
          <t xml:space="preserve"> przeniesienie z działu 921-92109-4260 z zakupu energii elektrycznej  do działu 921-92109-4210 na zakup paliwa do pieca w sali wiejskiej (+50 zł).</t>
        </r>
      </text>
    </comment>
    <comment ref="J19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(+500 zł)</t>
        </r>
        <r>
          <rPr>
            <sz val="8"/>
            <rFont val="Tahoma"/>
            <family val="0"/>
          </rPr>
          <t xml:space="preserve"> przeniesiono do działu 921-92109-4260 na zakup energii elektrycznej z działu 921-92109-4270 z remontu podłogi na sali wiejskiej (-500 zł)</t>
        </r>
      </text>
    </comment>
    <comment ref="N19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(+750 zł)</t>
        </r>
        <r>
          <rPr>
            <sz val="8"/>
            <rFont val="Tahoma"/>
            <family val="0"/>
          </rPr>
          <t xml:space="preserve"> przeniesiono do działu 921-92109-4260 na zakup energii z działu 921-92109-4270 z zakupu i montażu okien w sali wiejskiej (-750 zł).</t>
        </r>
      </text>
    </comment>
    <comment ref="N19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(+227 zł)</t>
        </r>
        <r>
          <rPr>
            <sz val="8"/>
            <rFont val="Tahoma"/>
            <family val="0"/>
          </rPr>
          <t xml:space="preserve"> przeniesiono do działu 921-92109-4260 na zakup energii elektrycznej z działów:
&gt;&gt;(-22 zł) z 750-75095-4210 z zakupu prasy,
&gt;&gt;(-205 zł) z 921-92109-4210 z zakupu materiałów budowlanych</t>
        </r>
      </text>
    </comment>
    <comment ref="P20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(-534 zł)</t>
        </r>
        <r>
          <rPr>
            <sz val="8"/>
            <rFont val="Tahoma"/>
            <family val="0"/>
          </rPr>
          <t xml:space="preserve"> przeniesienie z działu 921-92109-4260 z zakupu energii elektrycznej i wody na salę wiejską do działu 921-92109-4210 na zakup oleju napędowego do nagrzewnicy (+534 zł)</t>
        </r>
      </text>
    </comment>
    <comment ref="N20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(+265 zł)</t>
        </r>
        <r>
          <rPr>
            <sz val="8"/>
            <rFont val="Tahoma"/>
            <family val="0"/>
          </rPr>
          <t>, ponieważ
&gt;&gt;</t>
        </r>
        <r>
          <rPr>
            <u val="single"/>
            <sz val="8"/>
            <rFont val="Tahoma"/>
            <family val="2"/>
          </rPr>
          <t>(+300 zł)</t>
        </r>
        <r>
          <rPr>
            <sz val="8"/>
            <rFont val="Tahoma"/>
            <family val="0"/>
          </rPr>
          <t xml:space="preserve"> przeniesiono do działu 921-92109-4260 na zakup energii z działu 926-92605-4300 z utrzymania boiska sportowego,
&gt;&gt;</t>
        </r>
        <r>
          <rPr>
            <u val="single"/>
            <sz val="8"/>
            <rFont val="Tahoma"/>
            <family val="2"/>
          </rPr>
          <t>(-35 zł)</t>
        </r>
        <r>
          <rPr>
            <sz val="8"/>
            <rFont val="Tahoma"/>
            <family val="0"/>
          </rPr>
          <t xml:space="preserve"> przeniesienie z działu 921-92109-4260 z zakupu wody do działu 900-90003-4300 na wywóz nieczystości.
</t>
        </r>
        <r>
          <rPr>
            <b/>
            <sz val="8"/>
            <rFont val="Tahoma"/>
            <family val="2"/>
          </rPr>
          <t>300 zł-35 zł=265 zł</t>
        </r>
      </text>
    </comment>
    <comment ref="P20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(+22 zł)</t>
        </r>
        <r>
          <rPr>
            <sz val="8"/>
            <rFont val="Tahoma"/>
            <family val="0"/>
          </rPr>
          <t xml:space="preserve"> przeniesiono do działu 921-92109-4260 na zakup energii-sala wiejska z działu 921-92109-4210 z zakupu materiałów budowlanych i wyposażenia do sali wiejskiej (-22 zł)</t>
        </r>
      </text>
    </comment>
    <comment ref="N20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 przeniesienie z działu 921-92109-4260 z zakupu energii do działu 600-60016-6050 na budowę chodnika (+500 zł)</t>
        </r>
      </text>
    </comment>
    <comment ref="I20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(+1.990 zł)</t>
        </r>
        <r>
          <rPr>
            <sz val="8"/>
            <rFont val="Tahoma"/>
            <family val="0"/>
          </rPr>
          <t xml:space="preserve"> przeniesiono do działu 921-92109-4260 na zakup energii z działu 921-92109-4270 z remontu świetlicy (-1.990 zł)</t>
        </r>
      </text>
    </comment>
    <comment ref="N20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(-210 zł)</t>
        </r>
        <r>
          <rPr>
            <sz val="8"/>
            <rFont val="Tahoma"/>
            <family val="0"/>
          </rPr>
          <t xml:space="preserve"> przeniesienie z działu 921-92109-4260 z zakupu energii do działu 921-92109-4210 na zakup stołu gastronomicznego na salę wiejską (+210 zł).</t>
        </r>
      </text>
    </comment>
    <comment ref="O207" authorId="0">
      <text>
        <r>
          <rPr>
            <b/>
            <sz val="8"/>
            <rFont val="Tahoma"/>
            <family val="0"/>
          </rPr>
          <t xml:space="preserve">epamula:
(+50 zł), ponieważ:
</t>
        </r>
        <r>
          <rPr>
            <b/>
            <u val="single"/>
            <sz val="8"/>
            <rFont val="Tahoma"/>
            <family val="2"/>
          </rPr>
          <t>(+450 zł)</t>
        </r>
        <r>
          <rPr>
            <sz val="8"/>
            <rFont val="Tahoma"/>
            <family val="0"/>
          </rPr>
          <t xml:space="preserve"> przeniesiono do działu 921-92109-4260 na zakup energii elektrycznej z działów:
&gt;&gt;&gt;750-75095-4300 z obsługi sanitarnej (-50 zł)
&gt;&gt;&gt;921-92109-4260 z zakupu wody (-400 zł)
</t>
        </r>
        <r>
          <rPr>
            <b/>
            <u val="single"/>
            <sz val="8"/>
            <rFont val="Tahoma"/>
            <family val="2"/>
          </rPr>
          <t>(-400 zł)</t>
        </r>
        <r>
          <rPr>
            <sz val="8"/>
            <rFont val="Tahoma"/>
            <family val="0"/>
          </rPr>
          <t xml:space="preserve"> przeniesienie z działu 921-92109-4260 z zakupu wody do działu 921-92109-4260 na zakup energii elektrycznej (+400 zł)
450 zł -400 zł=50 zł</t>
        </r>
      </text>
    </comment>
    <comment ref="P20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(+320 zł)</t>
        </r>
        <r>
          <rPr>
            <sz val="8"/>
            <rFont val="Tahoma"/>
            <family val="0"/>
          </rPr>
          <t xml:space="preserve"> przeniesiono do działu 921-92109-4260 na zakup energii-sala wiejska z działów:
&gt;&gt;854-85412-6050 z zakupu wyposażenia na plac zabaw (Suszarnia)  (-98 zł),
&gt;&gt;926-92609-4300 ze składki ligi piłki nożnej-halowej (-222 zł)
</t>
        </r>
        <r>
          <rPr>
            <b/>
            <sz val="8"/>
            <rFont val="Tahoma"/>
            <family val="2"/>
          </rPr>
          <t>98 zł+222 zł=320 zł</t>
        </r>
      </text>
    </comment>
    <comment ref="P20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921-92109-4260 na zakup energii i wody na salę wiejską z działu 600-60016-4300 z odśnieżania (-1.000 zł)</t>
        </r>
      </text>
    </comment>
    <comment ref="N21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(+79 zł)</t>
        </r>
        <r>
          <rPr>
            <sz val="8"/>
            <rFont val="Tahoma"/>
            <family val="0"/>
          </rPr>
          <t xml:space="preserve"> przeniesiono do działu 921-92109-4260 na zakup energii i wody z działów:
&gt;&gt;(-19 zł) z 750-75095-4210 z festynu,
&gt;&gt;(-60 zł) z 926-92605-4210 z zakupu piłek oraz impreganatu do konserwacji ławek (+79 zł).</t>
        </r>
      </text>
    </comment>
    <comment ref="N21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(+80 zł)</t>
        </r>
        <r>
          <rPr>
            <sz val="8"/>
            <rFont val="Tahoma"/>
            <family val="0"/>
          </rPr>
          <t xml:space="preserve"> przeniesiono do działu 921-92109-4260 na zakup energii z działu 921-92109-4300 z modernizacji wejścia i ogrodzenia w obrębie sali (-2.120 zł).</t>
        </r>
      </text>
    </comment>
    <comment ref="P21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(+20 zł) </t>
        </r>
        <r>
          <rPr>
            <sz val="8"/>
            <rFont val="Tahoma"/>
            <family val="0"/>
          </rPr>
          <t xml:space="preserve">przeniesiono do działu 921-92109-4260 na zakup energii z działów:
&gt;&gt;750-75095-4210 z zakupu prasy </t>
        </r>
        <r>
          <rPr>
            <u val="single"/>
            <sz val="8"/>
            <rFont val="Tahoma"/>
            <family val="2"/>
          </rPr>
          <t>(-2 zł)</t>
        </r>
        <r>
          <rPr>
            <sz val="8"/>
            <rFont val="Tahoma"/>
            <family val="0"/>
          </rPr>
          <t xml:space="preserve">
&gt;&gt;921-92109-4210 z zakupu butli z gazem (6 zł)+krzeseł i piecyka gazowego (-12 zł) na salę wiejską </t>
        </r>
        <r>
          <rPr>
            <u val="single"/>
            <sz val="8"/>
            <rFont val="Tahoma"/>
            <family val="2"/>
          </rPr>
          <t>(-18 zł)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zł + 18 zł =20 zł</t>
        </r>
      </text>
    </comment>
    <comment ref="J21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 przeniesienie z działu 921-92109-4270 z remontu podłogi na sali wiejskiej do działu 921-92109-4260 na zakup energii elektrycznej.
</t>
        </r>
      </text>
    </comment>
    <comment ref="M214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(+1.873 zł)</t>
        </r>
        <r>
          <rPr>
            <sz val="8"/>
            <rFont val="Tahoma"/>
            <family val="0"/>
          </rPr>
          <t xml:space="preserve"> tzn.:
&gt;&gt; </t>
        </r>
        <r>
          <rPr>
            <b/>
            <u val="single"/>
            <sz val="8"/>
            <rFont val="Tahoma"/>
            <family val="2"/>
          </rPr>
          <t>(+2.000 zł)</t>
        </r>
        <r>
          <rPr>
            <sz val="8"/>
            <rFont val="Tahoma"/>
            <family val="0"/>
          </rPr>
          <t xml:space="preserve"> przeniesiono do działu 921-92109-4270 na zakup i montaż okien w sali wiejskiej z działu 600-60016-4300 z zimowego utrzymania dróg 
&gt;&gt;</t>
        </r>
        <r>
          <rPr>
            <b/>
            <u val="single"/>
            <sz val="8"/>
            <rFont val="Tahoma"/>
            <family val="2"/>
          </rPr>
          <t>(-127 zł)</t>
        </r>
        <r>
          <rPr>
            <sz val="8"/>
            <rFont val="Tahoma"/>
            <family val="0"/>
          </rPr>
          <t xml:space="preserve"> przeniesienie z działu 921-92109-4270 z remontu podłogi na sali wiejskiej do działu 900-90004-4300 na naprawę kosiarki.
(+2.000 zł) -127 zł= 1.873 zł</t>
        </r>
      </text>
    </comment>
    <comment ref="N21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(-750 zł) </t>
        </r>
        <r>
          <rPr>
            <sz val="8"/>
            <rFont val="Tahoma"/>
            <family val="0"/>
          </rPr>
          <t>przeniesienie z działu 921-92109-4270 z zakupu i montażu okien w sali wiejskiej do działu 921-92109-4260 na zakup energii (+750 zł).</t>
        </r>
      </text>
    </comment>
    <comment ref="L21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(+5.280 zł)</t>
        </r>
        <r>
          <rPr>
            <sz val="8"/>
            <rFont val="Tahoma"/>
            <family val="0"/>
          </rPr>
          <t xml:space="preserve"> przeniesiono do działu 921-92109-4270 na remont sali wiejskiej (na zakup potrzebnych materiałów i wyposażenia,  tzn. okien i drzwi wraz z ich demontażem i montażem) z działu 921-92109-4210 z zakupu materiałów budowlanych i wyposażenia na salę wiejską (-5.280 zł)</t>
        </r>
      </text>
    </comment>
    <comment ref="I21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(-1.990 zł)</t>
        </r>
        <r>
          <rPr>
            <sz val="8"/>
            <rFont val="Tahoma"/>
            <family val="0"/>
          </rPr>
          <t xml:space="preserve"> przeniesienie z działu 921-92109-4270 z remontu świetlicy do działu 921-92109-4260 na zakup energii (+1.990 zł)</t>
        </r>
      </text>
    </comment>
    <comment ref="L21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(-220 zł)</t>
        </r>
        <r>
          <rPr>
            <sz val="8"/>
            <rFont val="Tahoma"/>
            <family val="0"/>
          </rPr>
          <t xml:space="preserve"> przeniesienie z działu 921-92109-4270 z zakupu usług remontowych, tzn. z naprawy rynien i komina oraz przerobienia instalacji wodociągowej na sali wiejskiej do działu 921-92109-4300 na zakup usług pozostałych, tzn. na przerobienie instalacji wodosiągowej na sali wiejskiej (+220 zł)</t>
        </r>
      </text>
    </comment>
    <comment ref="N21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(-3.880 zł)</t>
        </r>
        <r>
          <rPr>
            <sz val="8"/>
            <rFont val="Tahoma"/>
            <family val="0"/>
          </rPr>
          <t xml:space="preserve"> przeniesienie z działu 921-92109-4270 z elewacji sali wiejskiej do działów:
&gt;&gt;900-90004-4210 na zakup kosiarki (+2.000 zł),
&gt;&gt;854-85412-4210 na zakup ławek na plac zabaw (+600 zł)
&gt;&gt;921-92109-4210 na zakup krzeseł na świetlicę wiejską (+1.280 zł)</t>
        </r>
      </text>
    </comment>
    <comment ref="M22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(</t>
        </r>
        <r>
          <rPr>
            <b/>
            <sz val="8"/>
            <rFont val="Tahoma"/>
            <family val="2"/>
          </rPr>
          <t>+720 zł)</t>
        </r>
        <r>
          <rPr>
            <sz val="8"/>
            <rFont val="Tahoma"/>
            <family val="0"/>
          </rPr>
          <t xml:space="preserve"> przeniesiono do działu 921-92109-4300 na naprawę sprzętu nagłaśniającego na świetlicy z działu 926-92605-4210 z zakupu sprzętu sportowego (-720 zł)</t>
        </r>
      </text>
    </comment>
    <comment ref="N22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(-1.500 zł)</t>
        </r>
        <r>
          <rPr>
            <sz val="8"/>
            <rFont val="Tahoma"/>
            <family val="0"/>
          </rPr>
          <t xml:space="preserve"> przeniesienie z działu 921-92109-4300 z budowy przyłącza energetycznego-salka do działu 600-60016-6050 na budowę chodnika (+1.500 zł)</t>
        </r>
      </text>
    </comment>
    <comment ref="L22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(+220 zł)</t>
        </r>
        <r>
          <rPr>
            <sz val="8"/>
            <rFont val="Tahoma"/>
            <family val="0"/>
          </rPr>
          <t xml:space="preserve"> przeniesiono do działu 921-92109-4300 na zakup usług pozostałych, tzn. na przerobienie instalacji wodosiągowej na sali wiejskiej z działu 921-92109-4270 z zakupu usług remontowych, tzn. z naprawy rynien i komina oraz przerobienia instalacji wodociągowej na sali wiejskiej (-211 zł).</t>
        </r>
      </text>
    </comment>
    <comment ref="N22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(-2.120 zł)</t>
        </r>
        <r>
          <rPr>
            <sz val="8"/>
            <rFont val="Tahoma"/>
            <family val="0"/>
          </rPr>
          <t xml:space="preserve"> przeniesienie z działu 921-92109-4300 z modernizacji wejścia i ogrodzenia w obrębie sali do działów:
&gt;&gt;(+2.040 zł) 921-92109-4210 na zakup stołów i krzeseł, 
&gt;&gt;(+80 zł) 921-92109-4260 na zakup energii (+80 zł).</t>
        </r>
      </text>
    </comment>
    <comment ref="M24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(-920 zł)</t>
        </r>
        <r>
          <rPr>
            <sz val="8"/>
            <rFont val="Tahoma"/>
            <family val="0"/>
          </rPr>
          <t xml:space="preserve"> przeniesienie z działu 926-92605-4210 z zakupu sprzętu spotrowego do działów:
&gt;&gt; 900-90004-4210 na zakup kosiarki spalinowej (żyłkowej) oraz osprzętuu i oleju </t>
        </r>
        <r>
          <rPr>
            <b/>
            <sz val="8"/>
            <rFont val="Tahoma"/>
            <family val="2"/>
          </rPr>
          <t>(+200 zł),</t>
        </r>
        <r>
          <rPr>
            <sz val="8"/>
            <rFont val="Tahoma"/>
            <family val="0"/>
          </rPr>
          <t xml:space="preserve">
&gt;&gt;921-92109-4300 na naprawę sprzętu nagłaśniającego na świetlicy </t>
        </r>
        <r>
          <rPr>
            <b/>
            <sz val="8"/>
            <rFont val="Tahoma"/>
            <family val="2"/>
          </rPr>
          <t>(+720 zł)</t>
        </r>
        <r>
          <rPr>
            <sz val="8"/>
            <rFont val="Tahoma"/>
            <family val="0"/>
          </rPr>
          <t xml:space="preserve">
</t>
        </r>
      </text>
    </comment>
    <comment ref="N25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z działu 926-92605-4210 z zakupu sprzętu sportowego do działu 600-60016-6050 na budowę chodnika (+1.000 zł)</t>
        </r>
      </text>
    </comment>
    <comment ref="N25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(-1.200 zł)</t>
        </r>
        <r>
          <rPr>
            <sz val="8"/>
            <rFont val="Tahoma"/>
            <family val="0"/>
          </rPr>
          <t xml:space="preserve"> przeniesienie z działu 926-92605-4210 z zakupu sprzętu sportowego do działu 921-92109-4210 na zakup stołu gastronomicznego na salę wiejską (+1.200 zł).</t>
        </r>
      </text>
    </comment>
    <comment ref="O25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(+1.200 zł)</t>
        </r>
        <r>
          <rPr>
            <sz val="8"/>
            <rFont val="Tahoma"/>
            <family val="0"/>
          </rPr>
          <t xml:space="preserve"> przeniesiono do działu 926-92605-4210 na zakup sprzętu sportowego z działu 926-9265-4300 z montażu licznika elektrycznego na placu sporowym (-1.200 zł)</t>
        </r>
      </text>
    </comment>
    <comment ref="N25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(-1.590 zł)</t>
        </r>
        <r>
          <rPr>
            <sz val="8"/>
            <rFont val="Tahoma"/>
            <family val="0"/>
          </rPr>
          <t xml:space="preserve"> przeniesienie z działu 926-92605-4210 z zakupu sprzętu sportowego-siłownia do działu 926-92605-4300 na składkę ligi piłki nożnj halowej (+1.590 zł).</t>
        </r>
      </text>
    </comment>
    <comment ref="N25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(-60 zł)</t>
        </r>
        <r>
          <rPr>
            <sz val="8"/>
            <rFont val="Tahoma"/>
            <family val="0"/>
          </rPr>
          <t xml:space="preserve"> przeniesienie z działu 926-92605-4210 z zakupu piłek oraz impreganatu do konserwacji ławek do działu 921-92109-4260 na zakup energii i wody (+60 zł).</t>
        </r>
      </text>
    </comment>
    <comment ref="O25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(-32 zł)</t>
        </r>
        <r>
          <rPr>
            <sz val="8"/>
            <rFont val="Tahoma"/>
            <family val="0"/>
          </rPr>
          <t xml:space="preserve"> przeniesienie z działu 926-92605-4260 z zakupu energii-boisko do działu 851-85154-4350 na opłaty za abonament internetowy (+32 zł)</t>
        </r>
      </text>
    </comment>
    <comment ref="N25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przeniesienie z działu 926-92605-4300 z utrzymania boiska sportowego do działu 921-92109-4260 na zakup energii (+300 zł).</t>
        </r>
      </text>
    </comment>
    <comment ref="O26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(-1.200 zł)</t>
        </r>
        <r>
          <rPr>
            <sz val="8"/>
            <rFont val="Tahoma"/>
            <family val="0"/>
          </rPr>
          <t xml:space="preserve"> przeniesienie z działu 926-92605-4300 z montażu licznika elektrycznego na placu sportowym do działu 926-92605-4210 na zakup sprzętu sportowego (+1.200 zł)</t>
        </r>
      </text>
    </comment>
    <comment ref="N26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(+1.590 zł) przeniesiono do działu 926-92605-4300 na skłądkę ligi piłki nożnej halowej z działu 926-92605-4210 z zakupu sprzętu sportowego (-1.590 zł).</t>
        </r>
      </text>
    </comment>
    <comment ref="P262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(-277 zł)</t>
        </r>
        <r>
          <rPr>
            <sz val="8"/>
            <rFont val="Tahoma"/>
            <family val="0"/>
          </rPr>
          <t xml:space="preserve"> przeniesienie z działu 926-92605-4300 ze składki ligi piłki nożnej-halowej do działów:
&gt;&gt;921-92109-4260 na zakup energii-sala wiejska (+222 zł),
&gt;&gt;700-70095-4260 na zakup energii przychodnia (+55 zł)</t>
        </r>
      </text>
    </comment>
  </commentList>
</comments>
</file>

<file path=xl/comments9.xml><?xml version="1.0" encoding="utf-8"?>
<comments xmlns="http://schemas.openxmlformats.org/spreadsheetml/2006/main">
  <authors>
    <author>izawalniak</author>
  </authors>
  <commentList>
    <comment ref="E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E31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E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E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E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E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E21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</commentList>
</comments>
</file>

<file path=xl/sharedStrings.xml><?xml version="1.0" encoding="utf-8"?>
<sst xmlns="http://schemas.openxmlformats.org/spreadsheetml/2006/main" count="1905" uniqueCount="613">
  <si>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</si>
  <si>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</si>
  <si>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</si>
  <si>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</si>
  <si>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</si>
  <si>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</si>
  <si>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</si>
  <si>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</si>
  <si>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</si>
  <si>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</si>
  <si>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</si>
  <si>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</si>
  <si>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</si>
  <si>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</si>
  <si>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</si>
  <si>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</si>
  <si>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</si>
  <si>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</si>
  <si>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</si>
  <si>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</si>
  <si>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</si>
  <si>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</si>
  <si>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</si>
  <si>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</si>
  <si>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</si>
  <si>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</si>
  <si>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</si>
  <si>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</si>
  <si>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</si>
  <si>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</si>
  <si>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</si>
  <si>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</si>
  <si>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</si>
  <si>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</si>
  <si>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</si>
  <si>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</si>
  <si>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</si>
  <si>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</si>
  <si>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</si>
  <si>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</si>
  <si>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</si>
  <si>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</si>
  <si>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</si>
  <si>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</si>
  <si>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</si>
  <si>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</si>
  <si>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</si>
  <si>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</si>
  <si>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</si>
  <si>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</si>
  <si>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</si>
  <si>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</si>
  <si>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</si>
  <si>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</si>
  <si>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</si>
  <si>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</si>
  <si>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</si>
  <si>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</si>
  <si>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ośrodki pomocy społecznej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</si>
  <si>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</si>
  <si>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</si>
  <si>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</si>
  <si>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</si>
  <si>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</si>
  <si>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</si>
  <si>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</si>
  <si>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</si>
  <si>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</si>
  <si>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</si>
  <si>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</si>
  <si>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</si>
  <si>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</si>
  <si>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</si>
  <si>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</si>
  <si>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</si>
  <si>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</si>
  <si>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</si>
  <si>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</si>
  <si>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</si>
  <si>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</si>
  <si>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</si>
  <si>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</si>
  <si>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</si>
  <si>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</si>
  <si>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</si>
  <si>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</si>
  <si>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</si>
  <si>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</si>
  <si>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</si>
  <si>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</si>
  <si>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</si>
  <si>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ochotnicze straże pożarne</t>
  </si>
  <si>
    <t>75495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</si>
  <si>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</si>
  <si>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</si>
  <si>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</si>
  <si>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</si>
  <si>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</si>
  <si>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</si>
  <si>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85154</t>
  </si>
  <si>
    <t>składki na ubezpieczenia zdrowotne</t>
  </si>
  <si>
    <t>854</t>
  </si>
  <si>
    <t>zakup pomocy naukowych, dydaktycznych i książek</t>
  </si>
  <si>
    <t xml:space="preserve">przedszkola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</si>
  <si>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</si>
  <si>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</si>
  <si>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</si>
  <si>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</si>
  <si>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</si>
  <si>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</si>
  <si>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</si>
  <si>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90015</t>
  </si>
  <si>
    <t>oświetlenie ulic, placów i dróg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</si>
  <si>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</si>
  <si>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</si>
  <si>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</si>
  <si>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</si>
  <si>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</si>
  <si>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</si>
  <si>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</si>
  <si>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</si>
  <si>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</si>
  <si>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</si>
  <si>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</si>
  <si>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</si>
  <si>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</si>
  <si>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</si>
  <si>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</si>
  <si>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</si>
  <si>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</si>
  <si>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</si>
  <si>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</si>
  <si>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</si>
  <si>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</si>
  <si>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</si>
  <si>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</si>
  <si>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</si>
  <si>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</si>
  <si>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</si>
  <si>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</si>
  <si>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</si>
  <si>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</si>
  <si>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</si>
  <si>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</si>
  <si>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</si>
  <si>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</si>
  <si>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</si>
  <si>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</si>
  <si>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</si>
  <si>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</si>
  <si>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</si>
  <si>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</si>
  <si>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</si>
  <si>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</si>
  <si>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</si>
  <si>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</si>
  <si>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</si>
  <si>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zakup środków żywności</t>
  </si>
  <si>
    <t>Towarzystwa budownictwa społecznego</t>
  </si>
  <si>
    <t>koszty postępowania sądowego i prokuratorskiego</t>
  </si>
  <si>
    <t>0690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</si>
  <si>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</si>
  <si>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</si>
  <si>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</si>
  <si>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</si>
  <si>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</si>
  <si>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</si>
  <si>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</si>
  <si>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</si>
  <si>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</si>
  <si>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</si>
  <si>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</si>
  <si>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</si>
  <si>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instytucje kultury fizycznej</t>
  </si>
  <si>
    <t>wykup innych papierów wartościowych</t>
  </si>
  <si>
    <t>odsetki od nieterminowych wpłat 
z tytułu podatków i opłat</t>
  </si>
  <si>
    <t xml:space="preserve">pozostała działalność </t>
  </si>
  <si>
    <t>oddziały przedszkolne w szkołach podstawowych</t>
  </si>
  <si>
    <t xml:space="preserve">zasiłki i pomoc w naturze oraz składki na ubezpieczenia emerytalne i rentowe </t>
  </si>
  <si>
    <t>zakup usług dostępu do sieci Internet</t>
  </si>
  <si>
    <t xml:space="preserve"> </t>
  </si>
  <si>
    <t xml:space="preserve">       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</si>
  <si>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</si>
  <si>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</si>
  <si>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</si>
  <si>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</si>
  <si>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</si>
  <si>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</si>
  <si>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 xml:space="preserve">      Ochrona zdrowia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</si>
  <si>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</si>
  <si>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</si>
  <si>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</si>
  <si>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</si>
  <si>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</si>
  <si>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</si>
  <si>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</si>
  <si>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 xml:space="preserve">pomoc materialna dla uczniów </t>
  </si>
  <si>
    <t>dotacje celowe otrzymane z gminy na zadania bieżące realizowane na podstawie porozumień  (umów) między jednostkami samorządu terytorialnego</t>
  </si>
  <si>
    <t>Załącznik Nr 6</t>
  </si>
  <si>
    <t xml:space="preserve">Przychody Gminnego Funduszu Ochrony Środowiska i Gospodarki Wodnej </t>
  </si>
  <si>
    <t>plan po
zmianach</t>
  </si>
  <si>
    <t>Fundusz Ochrony Środowiska i Gospodarki Wodnej</t>
  </si>
  <si>
    <t xml:space="preserve">Wydatki Gminnego Funduszu Ochrony Środowiska i Gospodarki Wodnej 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</si>
  <si>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</si>
  <si>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</si>
  <si>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</si>
  <si>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</si>
  <si>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</si>
  <si>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</si>
  <si>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</si>
  <si>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</si>
  <si>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I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</si>
  <si>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</si>
  <si>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</si>
  <si>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</si>
  <si>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</si>
  <si>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</si>
  <si>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</si>
  <si>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</si>
  <si>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</si>
  <si>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</si>
  <si>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</si>
  <si>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</si>
  <si>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</si>
  <si>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</si>
  <si>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</si>
  <si>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</si>
  <si>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</si>
  <si>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realizacja programów o charakterze profilaktyczno - edukacyjnym</t>
  </si>
  <si>
    <t xml:space="preserve">organizacja wypoczynku 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</si>
  <si>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</si>
  <si>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</si>
  <si>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</si>
  <si>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</si>
  <si>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</si>
  <si>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</si>
  <si>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</si>
  <si>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</si>
  <si>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</si>
  <si>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stołówki szkolne</t>
  </si>
  <si>
    <t>obiekty sportowe</t>
  </si>
  <si>
    <t>szkolenia pracowników niebędących członkami korpusu służby cywilnej</t>
  </si>
  <si>
    <t>Rozdział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</si>
  <si>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</si>
  <si>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</si>
  <si>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</si>
  <si>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</si>
  <si>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Przychody i wydatki zakładów budżetowych oraz rachunek dochodów własnych - plan na rok 2009</t>
  </si>
  <si>
    <t>zakup akcesoriów komputerowych, w tym programów  i licencji</t>
  </si>
  <si>
    <t>Wydatki majątkowe - plan na rok 2009</t>
  </si>
  <si>
    <t>1) Zakłady budżetowe</t>
  </si>
  <si>
    <t xml:space="preserve">2) Niepubliczne jednostki systemu oświaty </t>
  </si>
  <si>
    <t xml:space="preserve">3) Samorządowe instytucje kultury </t>
  </si>
  <si>
    <t xml:space="preserve">5) Dotacje celowe na realizację porozumień  </t>
  </si>
  <si>
    <t>II.Dotacje na zadania inwestycyjne</t>
  </si>
  <si>
    <t>dotacja celowa z budżetu na finansowanie lub dofinansowanie zadań zleconych do realizacji stowarzyszeniom</t>
  </si>
  <si>
    <t>Budowa chodnika w Białej (wydatek sołecki)</t>
  </si>
  <si>
    <t>zakup równiarki na potrzeby sołectwa Nowa Wieś (wydatek sołecki)</t>
  </si>
  <si>
    <t xml:space="preserve">Publiczne Gimnazjum Katolickie </t>
  </si>
  <si>
    <t>prowadzenie gimnazjum</t>
  </si>
  <si>
    <t>zakup worków na nieczystości</t>
  </si>
  <si>
    <t>zakup drzew i krzewów</t>
  </si>
  <si>
    <t>popularyzacja wiedzy o środowisku</t>
  </si>
  <si>
    <t>zakup taśmy przeciwko szkodnikom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</si>
  <si>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</si>
  <si>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</si>
  <si>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</si>
  <si>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</si>
  <si>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</si>
  <si>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koszty prowadzenia rachunku bankowego</t>
  </si>
  <si>
    <t>0370</t>
  </si>
  <si>
    <t>opłata od posiadania psów</t>
  </si>
  <si>
    <t>przebudowa ulicy Matejki</t>
  </si>
  <si>
    <t>przebudowa placu przy Urzędzie Miejskim</t>
  </si>
  <si>
    <t>wykupy nieruchomości</t>
  </si>
  <si>
    <t>budowa placów zabaw</t>
  </si>
  <si>
    <t>budowa kanalizacji sanitarnej we Wrzącej</t>
  </si>
  <si>
    <t>budowa kanalizacji sanitarnej na "Osiedlu Kwiatowym" I etap</t>
  </si>
  <si>
    <t>budowa kanalizacji sanitarnej i deszczowej na Osiedlu Poniatowskiego</t>
  </si>
  <si>
    <t>budowa wodociągu w Runowie</t>
  </si>
  <si>
    <t>gaspodarka odpadami</t>
  </si>
  <si>
    <t>budowa piezometrów na wysypisku odpadów komunalnych</t>
  </si>
  <si>
    <t>budowa oświetlenia Wapniarnia III</t>
  </si>
  <si>
    <t>budowa oświetlenia w Siedlisku</t>
  </si>
  <si>
    <t>budowa oświetlenia we Wrzącej</t>
  </si>
  <si>
    <t>Pozostałe zadania w zakresie polityki społecznej</t>
  </si>
  <si>
    <t>wydatki na zakup i objęcie akcji, wniesienie wkładów do spółek prawa handlowego oraz na uzupełnienie funduszy statutowych banków państwowych i innych instytucji finansowych</t>
  </si>
  <si>
    <t>Parafia Rzymskokatolicka  pw. Trójcy Świętej w Róży Wielkiej</t>
  </si>
  <si>
    <t>4) Jednostki niezaliczane do sektora finansów publicznych</t>
  </si>
  <si>
    <t>Ochotnicze Straże Pożarne</t>
  </si>
  <si>
    <t>dofinansowanie działalności Warsztatów Terapii Zajęciowej</t>
  </si>
  <si>
    <t>6) Dotacje na pomoc finansową</t>
  </si>
  <si>
    <t>zakup wyposażenia na plac zabaw w Stobnie Suszarnia (wydatek sołecki)</t>
  </si>
  <si>
    <t>doposażenie jednostek</t>
  </si>
  <si>
    <t xml:space="preserve">wpływy z podatku rolnego, podatku leśnego,podatku od spadków i darowizn, podatku od czynności cywilnoprawnych oraz podatków i opłat lokalnych od osób fizycznych </t>
  </si>
  <si>
    <t>składki na ubezpieczenie zdrowotne opłacane za osoby pobierające niektóre świadczenia z pomocy społecznej, niektóre świadczenia rodzinne oraz za osoby uczestniczące w zajęciach w centrum integracji społecznej</t>
  </si>
  <si>
    <t>modernizacja kotłowni olejowej na gaz ziemny</t>
  </si>
  <si>
    <t>rozbudowa gimnazjum i sali sportowej przy Gimnazjum w Siedlisku</t>
  </si>
  <si>
    <t>Dotacje na zadania bieżące</t>
  </si>
  <si>
    <t>sprzęt komputerowy, oprogramowanie, zasilanie awaryjne</t>
  </si>
  <si>
    <t>różnica</t>
  </si>
  <si>
    <t>przebudowa drogi na ulicy Ogrodowej II etap</t>
  </si>
  <si>
    <t>zmiany</t>
  </si>
  <si>
    <t>zmiana</t>
  </si>
  <si>
    <t>budowa boiska wielofunkcyjnego przy Szkole Podstawowej nr 3</t>
  </si>
  <si>
    <t>przebudowa ulicy Spokojnej i Koziej</t>
  </si>
  <si>
    <t>wykonanie nakładki asfaltowej drogi do Kadłubka od drogi wojewódzkiej nr 180</t>
  </si>
  <si>
    <t>przebudowa ulic na osiedlu Grottgera I etap w ciągu posesji od numeru 7 do numeru 16 i od numeru 25 do numeru 34</t>
  </si>
  <si>
    <t>wniesienie dopłat do TTBS Sp. z o.o. na pokrycie wkładu do mieszkań wynajmowanych od TTBS</t>
  </si>
  <si>
    <t>rezerwa celowa na współpracę z Agencją Nieruchomości Rolnych przy przebudowie dróg na osiedlu XXX - Lecia w Trzciance</t>
  </si>
  <si>
    <t>opracowanie projektu technicznego wodociągu Siedlisko - wybudowanie do posesji nr 73, 73 a, 133, 135, 136, 137, 138</t>
  </si>
  <si>
    <t>budowa oświetlenia w Przyłękach 3 lampy przy posesji nr 52-53</t>
  </si>
  <si>
    <t>opracowanie projektu technicznego pływalni</t>
  </si>
  <si>
    <t>prace konserwatorskie i roboty budowlane przy kościele zabytkowym p.w. Matki Bożej Królowej Polski w Łomnicy</t>
  </si>
  <si>
    <t>projekty techniczne dróg i ulic ( w tym na: droga Przyłęki - Biernatowo Stacja PKP, droga Łomnica I - Łomnica, droga Stobno - Suszarnia, ulice we wsi Biała: Radolińska, 22 Lipca, Górne Podwórze, parking przy ulicy Kopernika, ulica Reymonta od ulicy Rzemieślniczej do ulicy Batorego, ulica Prosta od ulicy Dąbrowskiego do ulicy Konopnickiej, droga w Stobnie od hydroforni do dworca PKP)</t>
  </si>
  <si>
    <t>budowa ścieżki pieszo - rowerowej od ulicy Dąbrowskiego wzdłuż ulicy Wieleńskiej do zakrętu na ogrody działkowe, lewa strona, I etap,nawierzchnia typu polbruk</t>
  </si>
  <si>
    <t>budowa budynków gospodarczych na ul. Koszykowej</t>
  </si>
  <si>
    <t>opracowanie projektu budowy monitoringu miasta Trzcianki z zakresem obejmującym montaż dwóch kamer na Pl. Pocztowym i przy parkingu przy ul. Kościuszki</t>
  </si>
  <si>
    <t>termomodernizacja Szkoły Podstawowej Nr 3 (dokończenie wymiany okien, modernizacja instalacji c.o., całkowite ocieplenie stropo - dachu i pokrycie dachu papą termozgrzewną - I etap termomodernizacji)</t>
  </si>
  <si>
    <t xml:space="preserve">projekt techniczny kanalizacji sanitarnej i deszczowej ulic Reymonta, Królowej Jadwigi, Batorego, Chrobrego, Łokietka </t>
  </si>
  <si>
    <t>plan po zmianach</t>
  </si>
  <si>
    <t>utrzymanie hali sportowo-widowiskowej przy L.O. 
w Trzciance</t>
  </si>
  <si>
    <t>Załącznik Nr 4 do Zarządzenia Nr 26/09</t>
  </si>
  <si>
    <t>Stowarzyszenie "Pomagajmy Dzieciom"</t>
  </si>
  <si>
    <t>Caritas Parafii p.w. Św. Jana Chrzciciela                    w Trzciance</t>
  </si>
  <si>
    <t>MKS MDK</t>
  </si>
  <si>
    <t>MKS LUBUSZANIN</t>
  </si>
  <si>
    <t>Klub Sportów Motorowych i Motorowodnych</t>
  </si>
  <si>
    <t>UKS "Fortuna Biała"</t>
  </si>
  <si>
    <t>UKS "Relax" przy SP Nr 2</t>
  </si>
  <si>
    <t>UKS "Dysk" przy SP Nr 3</t>
  </si>
  <si>
    <t>UKS "Forma" przy Gimnazjum Nr 1</t>
  </si>
  <si>
    <t>UKS "Kajak" przy Gimnazjum Nr 1</t>
  </si>
  <si>
    <t>LKS "Zuch" Rychlik</t>
  </si>
  <si>
    <t>Trzcianeckie LZS</t>
  </si>
  <si>
    <t>Stowarzyszenie Przyjażni Niesłyszącym</t>
  </si>
  <si>
    <t>Sekcja Olimpiad Specjalnych "Olimpijczyk"</t>
  </si>
  <si>
    <t>Polska Federacja Podnoszenia Ciężarów "Masters"</t>
  </si>
  <si>
    <t>PTSS "Sprawni - Razem"</t>
  </si>
  <si>
    <t xml:space="preserve">ZHP </t>
  </si>
  <si>
    <t>TSD SPORT</t>
  </si>
  <si>
    <t>dotacja celowa z budżetu na finansowanie lub dofinansowanie zadań zleconych do realizacji pozostałym jednostkom niezaliczanym do sektora finansów publicznych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</si>
  <si>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</si>
  <si>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</si>
  <si>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</si>
  <si>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</si>
  <si>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</si>
  <si>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Zakłady budżetowe - zmiany</t>
  </si>
  <si>
    <t>01009</t>
  </si>
  <si>
    <t>podwyższenie udziałów w Spółce Z.I.K.</t>
  </si>
  <si>
    <t>zwiększenie udziałów do TTBS Sp. z o.o.</t>
  </si>
  <si>
    <t>opracowanie dokumentacji projektowej na rozbudowę strażnicy w Białej wraz z wyszacowaniem robót budowlanych</t>
  </si>
  <si>
    <t>Rejonowy Związek Spółek Wodnych w Trzciance</t>
  </si>
  <si>
    <t>dotacja na konserwację i remonty rowó malioracyjncyh będących własnością gminy Trzcianka</t>
  </si>
  <si>
    <t>Rady Miejskiej Trzcianki z dnia 23 marca 2009 r. zmieniający</t>
  </si>
  <si>
    <t>Załącznik Nr 4 do Uchwały Nr XXVIII/181/09</t>
  </si>
  <si>
    <t xml:space="preserve">budowa ścieżki pieszo - rowerowej od ulicy Wiosny Ludów wzdłuż ulicy Kopernika, przez przejazd PKP i dalej wzdłuż torów kolejowych i wiaduktu do ulicy asfaltowej przy cmentarzu komunalnym </t>
  </si>
  <si>
    <t>termomodernizacja Gimnazjum Nr 1 (I etap temomodernizacji - dokończenie wymiany stolarki okiennej, całkowite docieplenie ścian piwnic, wykonanie odwodniania naświetli przy oknach piwnicznych, pełna modernizacja c.o.)</t>
  </si>
  <si>
    <t xml:space="preserve">Rady Miejskiej Trzcianki z dnia 23 marca 2009 r. </t>
  </si>
  <si>
    <t>wybory do Parlamentu Europejskiego</t>
  </si>
  <si>
    <t>budowa oświetlenia na ul. Gorzowskiej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</si>
  <si>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</si>
  <si>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</si>
  <si>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</si>
  <si>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Gmina Piła</t>
  </si>
  <si>
    <t xml:space="preserve">usługi w zakresie profilaktyki świadczone przez Ośrodek Profilaktyki i Rozwiązywania Problemów Alkoholowych w Pile </t>
  </si>
  <si>
    <t>Razem plan dotacji I. + II.</t>
  </si>
  <si>
    <t>Załącznik Nr 3 do Uchwały Nr XXX/199/09</t>
  </si>
  <si>
    <t>Rady Miejskiej Trzcianki z dnia 28 maja 2009 r. zmieniający</t>
  </si>
  <si>
    <t>opracowanie dokumentacji technicznej budowy boiska w ramach programu ORLIK 2012</t>
  </si>
  <si>
    <t xml:space="preserve">Rady Miejskiej Trzcianki z dnia 28 maja 2009 r. </t>
  </si>
  <si>
    <t>Zakłady budżetowe - plan</t>
  </si>
  <si>
    <t xml:space="preserve">Zakłady budżetowe - plan </t>
  </si>
  <si>
    <t>drogi publiczne wojewódzkie</t>
  </si>
  <si>
    <t>dotacja celowa na pomoc finansową udzieloną między jednostkami samorzadu terytorialnego na dofinansowanie własnych zadań inwestycyjnych i zakupów inwestycyjnych</t>
  </si>
  <si>
    <t>pomoc finansowa dla Województwa Wielkopolskiego na wspólne sfinansowanie budowy sygnalizacji świetlnej w ciągu drogi wojewódzkiej nr 180 relacji Kocień Wielki - Piła w miejscowości Trzcianka</t>
  </si>
  <si>
    <t xml:space="preserve">środki na dofinansowanie własnych zadań bieżących gmin (związków gmin), powiatów (związków powiatów), samorzadów województw, pozyskane z innych źródeł </t>
  </si>
  <si>
    <t>Województwo Wielkopolskie</t>
  </si>
  <si>
    <t>dotacja na pomoc finansową dla Województwa Wielkopolskiego na wspólne sfinansowanie budowy sygnalizacji świetlnej w ciągu drogi wojewódzkiej nr 180 relacji Kocień Wielki - Piła w miejscowości Trzcianka</t>
  </si>
  <si>
    <t>Stan środków
obrotowych na początek okresu</t>
  </si>
  <si>
    <t>Stan środków obrotowych na koniec okresu</t>
  </si>
  <si>
    <t>I. Przychody i koszty zakładów budżetowych</t>
  </si>
  <si>
    <t>Stan środków
pieniężnych na początek okresu</t>
  </si>
  <si>
    <t>Stan środków pieniężnych na koniec okresu</t>
  </si>
  <si>
    <t>Zakłady budżetowe - 
plan po zmianach</t>
  </si>
  <si>
    <t>Rachunek dochodów własnych 
- plan</t>
  </si>
  <si>
    <t>Rachunek dochodów własnych 
- zmiany</t>
  </si>
  <si>
    <t>Rachunek dochodów własnych - plan po zmianach</t>
  </si>
  <si>
    <t>Rady Miejskiej Trzcianki z dnia 25 czerwca 2009 r. zmieniający</t>
  </si>
  <si>
    <t>Załącznik Nr 3 do Uchwały Nr XXXI/209/09</t>
  </si>
  <si>
    <t>dotacja na zakup samochodu dla Państwowej Straży Pożarnej w Czarnkowie (Jednostka Ratowniczo Gaśnicza w Trzciance)</t>
  </si>
  <si>
    <t>wpływy do budżetu nadwyżki dochodów własnych lub środków obrotowych</t>
  </si>
  <si>
    <t xml:space="preserve">Rady Miejskiej Trzcianki z dnia 25 czerwca 2009 r. </t>
  </si>
  <si>
    <t>Burmistrza Trzcianki z dnia 30 czerwca 2009 r. zmieniający</t>
  </si>
  <si>
    <t>Załącznik Nr 4 do Zarządzenia Nr 91/09</t>
  </si>
  <si>
    <t xml:space="preserve">Burmistrza Trzcianki z dnia 30 czerwca 2009 r. </t>
  </si>
  <si>
    <t xml:space="preserve">Zakłady budżetowe - 
plan </t>
  </si>
  <si>
    <t>dotacje celowe otrzymane z budżetu państwa na realizację zadań bieżących 
z zakresu administracji rządowej oraz innych zadań zleconych gminie (związkom gmin) ustawami</t>
  </si>
  <si>
    <t>2010</t>
  </si>
  <si>
    <t>dotacje celowe otrzymane z budżetu państwa na realizację zadań bieżących 
z zakresu administracji rządowej oraz innych zadań zleconych gminie (zwiazkom gmin) ustawami</t>
  </si>
  <si>
    <t>dotacje celowe otrzymane 
z budżetu państwa na realizację własnych zadań bieżących gmin (związków gmin)</t>
  </si>
  <si>
    <t>zasiłki i pomoc w naturze oraz składki na ubezpieczenia emerytalne i rentowe</t>
  </si>
  <si>
    <t>Załącznik Nr 2</t>
  </si>
  <si>
    <t>01030</t>
  </si>
  <si>
    <t>izby rolnicze</t>
  </si>
  <si>
    <t>01041</t>
  </si>
  <si>
    <t xml:space="preserve">Program Rozwoju Obszarów Wiejskich 2007-2013 </t>
  </si>
  <si>
    <t>Spółki wodne</t>
  </si>
  <si>
    <t>zakup akcesoriów komputerowych, w tym programów i licencji</t>
  </si>
  <si>
    <t>różne jednostki obsługi gospodarki mieszkaniowej</t>
  </si>
  <si>
    <t>opłaty na rzecz budżetu państwa</t>
  </si>
  <si>
    <t>dopłaty w spółkach prawa handlowego</t>
  </si>
  <si>
    <t>710</t>
  </si>
  <si>
    <t>71004</t>
  </si>
  <si>
    <t>zakup usług medycznych</t>
  </si>
  <si>
    <t>75022</t>
  </si>
  <si>
    <t>rady gmin (miast i miast na prawach powiatu)</t>
  </si>
  <si>
    <t>podróże służbowe zagraniczne</t>
  </si>
  <si>
    <t>zakup materiałów papierniczych do sprzętu drukarskiego i urządzeń kserograficznych</t>
  </si>
  <si>
    <t>zakup usług dostepu do sieci Internet</t>
  </si>
  <si>
    <t>opłaty z tytułu zakupu usług telekomunikacyjnych telefonii komórkowej</t>
  </si>
  <si>
    <t>promocja jednostek samorządu terytorialnego</t>
  </si>
  <si>
    <t>Urzędy naczelnych organów władzy państwowej, kontroli i ochrony prawa oraz sądownictwa</t>
  </si>
  <si>
    <t>składki na ubezpieczenie społeczne</t>
  </si>
  <si>
    <t>składki na fundusz pracy</t>
  </si>
  <si>
    <t>75412</t>
  </si>
  <si>
    <t>Dochody od osób prawnych, od osób fizycznych i od innych jednostek nieposiadających osobowości prawnej oraz wydatki związane 
z ich poborem</t>
  </si>
  <si>
    <t>pobór podatków, opłat i niepodatkowych należności budżetowych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</si>
  <si>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</si>
  <si>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</si>
  <si>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</si>
  <si>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</si>
  <si>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</si>
  <si>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 kredytów i pożyczek oraz innych instrumentów finansowych, związanych z obsługą długu krajowego</t>
  </si>
  <si>
    <t>75818</t>
  </si>
  <si>
    <t xml:space="preserve">dotacja podmiotowa z budżetu dla niepublicznej jednostki systemu oświaty </t>
  </si>
  <si>
    <t>wydatki osobowe niezaliczone do wynagrodzeń</t>
  </si>
  <si>
    <t>zakup leków, wyrobów medycznych i produktów biobójczych</t>
  </si>
  <si>
    <t>zakup usług zdrowotnych</t>
  </si>
  <si>
    <t>zakup usług obejmujących wykonanie ekspertyz, analiz i opinii</t>
  </si>
  <si>
    <t>odsetki od nieterminowych wpłat z tytułu pozostałych popdatków i opłat</t>
  </si>
  <si>
    <t>odpisy na zakłdowy fundusz świadczeń socjalnych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</si>
  <si>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</si>
  <si>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</si>
  <si>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</si>
  <si>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</si>
  <si>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80113</t>
  </si>
  <si>
    <t>dowożenie uczniów do szkół</t>
  </si>
  <si>
    <t>851</t>
  </si>
  <si>
    <t>świadczenia rodzinne, świadczenia 
z funduszu alimentacyjnego oraz składki na ubezpieczenia emerytalne i rentowe z ubezpieczenia społecznego</t>
  </si>
  <si>
    <t>dodatki mieszkaniowe</t>
  </si>
  <si>
    <t>usługi opiekuńcze i specjalistyczne usługi opiekuńcze</t>
  </si>
  <si>
    <t>85295</t>
  </si>
  <si>
    <t xml:space="preserve">rehabilitacja zawodowa i społeczna </t>
  </si>
  <si>
    <t>dotacja celowa na pomoc finansową udzielaną między jednostkami samorządu terytorialnego na dofinansowanie własnych zadań bieżących</t>
  </si>
  <si>
    <t>świetlice szkolne</t>
  </si>
  <si>
    <t>stypendia dla uczniów</t>
  </si>
  <si>
    <t>inne formy pomocy dla uczniów</t>
  </si>
  <si>
    <t>dotacje celowe przekazane dla powiatu na zadania bieżące realizowane na podstawie porozumień (umów) między jednostkami samorządu terytorialnego</t>
  </si>
  <si>
    <t>różne opłaty i skałdki</t>
  </si>
  <si>
    <t>gospodarka odpadami</t>
  </si>
  <si>
    <t>90013</t>
  </si>
  <si>
    <t>schroniska dla zwierząt</t>
  </si>
  <si>
    <t>90095</t>
  </si>
  <si>
    <t>dotacja podmiotowa z budżetu dla samorządowej instytucji kultury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</si>
  <si>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</si>
  <si>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</si>
  <si>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stypendia różne</t>
  </si>
  <si>
    <t>wynagrodzenie bezosobowe</t>
  </si>
  <si>
    <t>0360</t>
  </si>
  <si>
    <t>podatek od spadków i darowizn</t>
  </si>
  <si>
    <t>0400</t>
  </si>
  <si>
    <t xml:space="preserve">                   </t>
  </si>
  <si>
    <t>składki na ubezpieczenie zdrowotne opłacane za osoby pobierające niektóre świadczenia z pomocy społecznej, niektóre świadczenia rodzinne oraz  za osoby uczestniczące w zajęciach w centrum integracji społecznej</t>
  </si>
  <si>
    <t>przebudowa oświetlenia drogowego wzdłuż odcinka miejskiego modernizowanej drogi wojewódzkiej nr 178 w Trzciance</t>
  </si>
  <si>
    <t>zakup urządzenia do zasilania awaryjnego</t>
  </si>
  <si>
    <t>Rady Miejskiej Trzcianki z dnia 10 września 2009 r. zmieniający</t>
  </si>
  <si>
    <t>Załącznik Nr 4 do  Nr XXXII/217/09</t>
  </si>
  <si>
    <t xml:space="preserve">Rady Miejskiej Trzcianki z dnia 10 września 2009 r. </t>
  </si>
  <si>
    <t>wpływy z opłaty produktowej</t>
  </si>
  <si>
    <t>plan 
po zmianach</t>
  </si>
  <si>
    <t>Rady Miejskiej Trzcianki z dnia 24 września 2009 r. zmieniający</t>
  </si>
  <si>
    <t>Załącznik Nr 4 do  Uchwały Nr XXXIII/224/09</t>
  </si>
  <si>
    <t xml:space="preserve">Rady Miejskiej Trzcianki z dnia 24 września 2009 r. </t>
  </si>
  <si>
    <t>wpływy i wydatki związane z gromadzeniem środków z opłat produktowych</t>
  </si>
  <si>
    <t>Zarządzanie kryzysowe</t>
  </si>
  <si>
    <t>zarządzanie kryzysowe</t>
  </si>
  <si>
    <t>kary i odszkodowania wypłacane na rzecz osób fizycznych</t>
  </si>
  <si>
    <t>wniesienie udziałów do Spółki OSIR Sp z o.o. (remont bazy wypoczynkowej)</t>
  </si>
  <si>
    <t>Rady Miejskiej Trzcianki z dnia 29 października 2009 r. zmieniający</t>
  </si>
  <si>
    <t>Załącznik Nr 4 do  Uchwały Nr XXXIV/236/09</t>
  </si>
  <si>
    <t xml:space="preserve">Rady Miejskiej Trzcianki z dnia 29 października 2009 r. </t>
  </si>
  <si>
    <t>Rady Miejskiej Trzcianki z dnia 23 listopada 2009 r. zmieniający</t>
  </si>
  <si>
    <t>Załącznik Nr 3 do  Uchwały Nr XXXVI/251/09</t>
  </si>
  <si>
    <t xml:space="preserve">Rady Miejskiej Trzcianki z dnia 23 listopada 2009 r. </t>
  </si>
  <si>
    <t>dotacje celowe przekazane gminie na zadania bieżące realizowane na podstawie porozumień  (umów) między jednostkami samorządu terytorialnego</t>
  </si>
  <si>
    <t xml:space="preserve">refundacja kosztów ponoszonych przez gminę Piła na dzieci będące mieszkańcami gminy Trzcianka a uczęszczające do pilskich niepublicznych przedszkoli </t>
  </si>
  <si>
    <t xml:space="preserve">Rachunek dochodów własnych - plan </t>
  </si>
  <si>
    <t>II. Rachunek dochodów własnych</t>
  </si>
  <si>
    <t>Załącznik Nr 4 do  Uchwały Nr XXXVII/260/09</t>
  </si>
  <si>
    <t>Rady Miejskiej Trzcianki z dnia 17 grudnia  2009 r. zmieniający</t>
  </si>
  <si>
    <t>Dochody budżetu gminy Trzcianka - wykonanie za 2009 rok</t>
  </si>
  <si>
    <t xml:space="preserve">do Sprawozdania </t>
  </si>
  <si>
    <t>z wykonania budżetu</t>
  </si>
  <si>
    <t>gminy Trzcianka za 2009 rok</t>
  </si>
  <si>
    <t>realizacja</t>
  </si>
  <si>
    <t>zł</t>
  </si>
  <si>
    <t>%</t>
  </si>
  <si>
    <t>plan po 
zmianach</t>
  </si>
  <si>
    <t>do Sprawozdania</t>
  </si>
  <si>
    <t>Gminy Trzcianka za 2009 rok</t>
  </si>
  <si>
    <t>wpłaty gmin na rzecz izb rolniczych 
w wysokości 2% uzyskanych wpływów 
z podatku rolnego</t>
  </si>
  <si>
    <t xml:space="preserve">Wydatki  budżetu gminy Trzcianka - wykonanie za 2009 rok </t>
  </si>
  <si>
    <t>Załącznik Nr 3</t>
  </si>
  <si>
    <t xml:space="preserve">Dotacje otrzymywane do budżetu - wykonanie za 2009 rok                                    </t>
  </si>
  <si>
    <t>Wydatki związane z realizacją zadań z zakresu administracji rządowej i innych zadań zleconych ustawami - wykonanie za 2009 rok</t>
  </si>
  <si>
    <t>Dochody z tytułu opłat za wydawanie zezwoleń na sprzedaż napojów alkoholowych - 
wykonanie za 2009 rok</t>
  </si>
  <si>
    <t>Dochody i wydatki na rok 2009 z tytułu opłat za wydawanie zezwoleń na sprzedaż napojów alkoholowych oraz wydatki na realizację zadań określonych w programie profilaktyki i rozwiązywania problemów alkoholowych - wykonanie za 2009 rok</t>
  </si>
  <si>
    <t>Wydatki na realizację zadań określonych w programie profilaktyki i rozwiązywania problemów alkoholowych - wykonanie za 2009 rok</t>
  </si>
  <si>
    <t>wykonanie</t>
  </si>
  <si>
    <t>Wydatki związane z realizacją zadań wspólnych realizowanych w drodze umów lub porozumień między jednostkami samorządu terytorialnego - wykonanie za 2009 rok</t>
  </si>
  <si>
    <t>wniesienie udziałów do Spółki OSIR 
Sp. z o.o. (przeznacza się na modernizację boiska bocznego z zakresem prac: murawa trawiasta, nawodnienie, ogrodzenie i oświetlenie)</t>
  </si>
  <si>
    <t>budowa oświetlenia drogi od wsi Straduń 
w kierunku Trzcianki</t>
  </si>
  <si>
    <t>PT sieci wodociągowej i kanalizacji sanitarnej (os. Fałata, os. Poniatowskiego, os.Domańskiego) oraz projekt techniczny wodociągu  Siedlisko - wybudowanie do posesji nr 73,73 a, 133, 135, 136, 137, 138)</t>
  </si>
  <si>
    <t>rezerwa celowa na wniesienie udziałów do Spółki OSIR Sp. z o.o. z przeznaczeniem na remont hotelu "Nowy Ajaks", po podjęciu uchwały o kierunkach działania Burmistrza w sprawie restrukturyzacji Spółki OSIR 
Sp. z o.o.</t>
  </si>
  <si>
    <t>rezerwa na współpracę z WZDW i ZDP 
w Czarnkowie (PT i budowa ciągu pieszego Stobno - Spedex II etap; budowa chodnika we Wrzącej; PT oświetlenie Henkel - Stobno - Spedex; PT i budowa chodnika w Łomnicy od sali wiejskiej do posesji 2A w kierunku Wrzącej; PT i budowa chodnika od sali wiejskiej do SP w Łomnicy)</t>
  </si>
  <si>
    <t>rezerwa celowa na zakup samochodu dla Państwowej Straży Pożarnej w Czarnkowie (Jednostka Ratowniczo - Gaśnicza 
w Trzciance)</t>
  </si>
  <si>
    <t>dotacja dla Powiatu Czarnkowsko - Trzcianeckiego na zakup samochodu dla Państwowoej Straży Pożarnej w Czarnkowie (Jednostka Ratowniczo - Gaśnicza 
w Trzciance)</t>
  </si>
  <si>
    <t>budowa ulicy Parkowej na odcinku od ulicy P.Skargi do posesji nr 57 na ulicy P. Skargi wraz z kanalizacją deszczową i drogą wewnętrzną, w technologii polbruk</t>
  </si>
  <si>
    <t>przebudowa drogi 
Żurawiec-Łomnica I -I etap</t>
  </si>
  <si>
    <t>przebudowa ulicy P.Skargi od ulicy Parkowej do hotelu "Nowy Ajaks" - technologia nakładka asfaltowa, chodniki dwustronnie 
w technologii polbruk</t>
  </si>
  <si>
    <t>budowa ulicy Lelewela od ulicy Rzemieślniczej do ulicy Zielnej wraz 
z kanalizacją i jednostronnym chodnikiem, technologia polbruk</t>
  </si>
  <si>
    <t>Budowa chodnika w Radolinie 
(wydatek sołecki)</t>
  </si>
  <si>
    <t>Budowa chodnika w Siedlisku 
(wydatek sołecki)</t>
  </si>
  <si>
    <t>Dochody związane z realizacją zadań z zakresu administracji rządowej i innych zadań zleconych ustawami - wykonanie za 2009 rok</t>
  </si>
  <si>
    <t>*</t>
  </si>
  <si>
    <t>0580</t>
  </si>
  <si>
    <t>grzywny i inne kary pieniężne od osób prawnych i innych jednostek organizacyjnych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</si>
  <si>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wykonanie za 2009 rok</t>
  </si>
  <si>
    <t>przychody z tytułu innych rozliczeń krajowych</t>
  </si>
  <si>
    <t>Przychody i rozchody - wykonanie za 2009 rok</t>
  </si>
  <si>
    <t>wpływy do wyjaśnienia</t>
  </si>
  <si>
    <t>Zakłady budżetowe - 
wykonanie</t>
  </si>
  <si>
    <t>Rachunek dochodów własnych - wykonanie</t>
  </si>
  <si>
    <t>Rachunek dochodów własnych - plan</t>
  </si>
  <si>
    <t>Załącznik Nr 4</t>
  </si>
  <si>
    <t>Załącznik Nr 5</t>
  </si>
  <si>
    <t>Załącznik Nr 7</t>
  </si>
  <si>
    <t>świadczenia rodzinne, świadczenia 
z funduszu alimentacyjnego oraz składki na ubezpieczenia emerytalne i rentowe 
z ubezpieczenia społecznego</t>
  </si>
  <si>
    <t>dotacje celowe otrzymane z budżetu państwa na realizację zadań bieżących
 z zakresu administracji rządowej oraz innych zadań zleconych gminie(zwiazkom gmin) ustawami</t>
  </si>
  <si>
    <t>Załącznik Nr 9</t>
  </si>
  <si>
    <t>Załącznik Nr 10</t>
  </si>
  <si>
    <t>Załącznik Nr 11</t>
  </si>
  <si>
    <t>Załącznik Nr 12</t>
  </si>
  <si>
    <t>Przychody i wydatki Gminnego Funduszu Ochrony Środowiska i Gospodarki Wodnej - wykonanie za 2009 rok</t>
  </si>
  <si>
    <t xml:space="preserve">wywóz pojemników na szkło i i odpady typu PET, zbiórka makulatury </t>
  </si>
  <si>
    <t>Załącznik Nr 14</t>
  </si>
  <si>
    <t>Koszty</t>
  </si>
  <si>
    <t>Załącznik Nr 8</t>
  </si>
  <si>
    <t>Wydatki jednostek pomocniczych gminy - wykonanie za 2009 rok</t>
  </si>
  <si>
    <t>Załącznik Nr 8 do Uchwały Nr XXVIII/181/09 Rady Miejskiej Trzcianki z dnia 23 marca 2009 r. zmieniający Załącznik Nr 8 do Uchwały Nr XXVI/174/08 Rady Miejskiej Trzcianki z dnia 18 grudnia 2008 r.</t>
  </si>
  <si>
    <t xml:space="preserve">Załącznik Nr 5 do Zarządzenia Nr 56/09 Burmistrza Trzcianki z dnia 11 maja 2009 r. zmieniający Załącznik Nr 8 do Uchwały Nr XXVIII/181/09 Rady Miejskiej Trzcianki z dnia 23 marca 2009 r. </t>
  </si>
  <si>
    <t xml:space="preserve">Załącznik Nr 7 do Uchwały Nr XXX/199/09 Rady Miejskiej Trzcianki z dnia 28 maja 2009 r. zmieniający Załącznik Nr 5 do Zarządzenia Nr 56/09 Burmistrza Trzcianki z dnia 11 maja 2009 r. </t>
  </si>
  <si>
    <t xml:space="preserve">Załącznik Nr 7 do Uchwały Nr XXXI/209/09 Rady Miejskiej Trzcianki z dnia 25 czerwca 2009 r. zmieniający Załącznik Nr 7 do Uchwały Nr XXX/199/09 Rady Miejskiej Trzcianki z dnia 28 maja 2009 r. </t>
  </si>
  <si>
    <t>Załącznik Nr 6 do Zarządzenia Nr 91/09 Burmistrza Trzcianki z dnia 30 czerwca 2009 r. zmieniający Załącznik Nr 7 do Uchwały Nr XXXI/209/09 Rady Miejskiej Trzcianki z dnia 25 czerwca 2009 r.</t>
  </si>
  <si>
    <t>Załącznik Nr 8 do Uchwały Nr XXXII/217/09 Rady Miejskiej Trzcianki z dnia 10 września 2009 r. zmieniający Załącznik Nr 6 do Uchwały Nr 91/09 Burmistrza Trzcianki z dnia 30 czerwca 2009 r.</t>
  </si>
  <si>
    <t>Załącznik Nr 8 do Uchwały Nr XXXIV/236/09 Rady Miejskiej Trzcianki z dnia 29 października 2009 r. zmieniający Załącznik Nr 8 do Uchwały Nr XXXII/217/09 Rady MiejskiejTrzcianki z dnia 10 września 2009 r.</t>
  </si>
  <si>
    <t>Załącznik Nr 6 do Uchwały Nr XXXVI/251/09 Rady Miejskiej Trzcianki z dnia 23 listopada 2009 r. zmieniający Załącznik Nr 8 do Uchwały Nr XXXIV/236/09 Rady Miejskiej Trzcianki z dnia 29 października 2009 r.</t>
  </si>
  <si>
    <t>Załącznik Nr 8 do Uchwały Nr XXXVII/260/09 Rady Miejskiej Trzcianki z dnia 17 grudnia 2009 r. zmieniający Załącznik Nr 6 do Uchwały Nr XXXVI/251/09 Rady Miejskiej Trzcianki z dnia 23 listopada 2009 r.</t>
  </si>
  <si>
    <t>Wykonanie</t>
  </si>
  <si>
    <t>Pozostaje do wykorzystania</t>
  </si>
  <si>
    <t>zmiana 1</t>
  </si>
  <si>
    <t>zmiana 2</t>
  </si>
  <si>
    <t>zmiana 3</t>
  </si>
  <si>
    <t xml:space="preserve">zmiana 4 </t>
  </si>
  <si>
    <t>zmiana 5</t>
  </si>
  <si>
    <t>zmiana 6</t>
  </si>
  <si>
    <t xml:space="preserve">zmiana 7 </t>
  </si>
  <si>
    <t>zmiana 8</t>
  </si>
  <si>
    <t>zmiana 9</t>
  </si>
  <si>
    <t>w zł</t>
  </si>
  <si>
    <t>w %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</si>
  <si>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</si>
  <si>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</si>
  <si>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</si>
  <si>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</si>
  <si>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</si>
  <si>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</si>
  <si>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</si>
  <si>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</si>
  <si>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</si>
  <si>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</si>
  <si>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</si>
  <si>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Wapniarnia III</t>
  </si>
  <si>
    <t>Sołectwo Biała</t>
  </si>
  <si>
    <t>Sołectwo Niekursko</t>
  </si>
  <si>
    <t>Sołectwo Radolin</t>
  </si>
  <si>
    <t>Sołectwo Stobno</t>
  </si>
  <si>
    <t>Sołectwo Straduń</t>
  </si>
  <si>
    <t>Sołectw Nowa Wieś</t>
  </si>
  <si>
    <t>75095</t>
  </si>
  <si>
    <t>4210</t>
  </si>
  <si>
    <t>Sołectwo Biernatowo</t>
  </si>
  <si>
    <t>Sołectwo Teresin</t>
  </si>
  <si>
    <t>Sołectwo Wrząca</t>
  </si>
  <si>
    <t>oddziały przedszkolne 
w szkołach podstawowych</t>
  </si>
  <si>
    <t>4240</t>
  </si>
  <si>
    <t>zakup usług dostępu do sieci internet</t>
  </si>
  <si>
    <t>kolonie i obozy oraz inne formy wypoczynku dzieci i młodzieży</t>
  </si>
  <si>
    <t>utrzymanie zieleni w miastach                                              i gminach</t>
  </si>
  <si>
    <t>4260</t>
  </si>
  <si>
    <t>4300</t>
  </si>
  <si>
    <t>domy i ośrodki kultury, świetlice                                         i kluby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</si>
</sst>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#,##0.00;[Red]#,##0.00"/>
  </numFmts>
  <fonts count="73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8"/>
      <color indexed="8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1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b/>
      <i/>
      <sz val="12"/>
      <color indexed="10"/>
      <name val="Tahoma"/>
      <family val="2"/>
    </font>
    <font>
      <b/>
      <sz val="12"/>
      <name val="Tahoma"/>
      <family val="2"/>
    </font>
    <font>
      <b/>
      <i/>
      <sz val="11"/>
      <color indexed="10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name val="Tahoma"/>
      <family val="2"/>
    </font>
    <font>
      <b/>
      <sz val="8"/>
      <name val="Arial"/>
      <family val="0"/>
    </font>
    <font>
      <b/>
      <u val="single"/>
      <sz val="8"/>
      <name val="Tahoma"/>
      <family val="2"/>
    </font>
    <font>
      <i/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  <font>
      <sz val="8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5" fillId="1" borderId="10" xfId="0" applyFont="1" applyFill="1" applyBorder="1" applyAlignment="1">
      <alignment horizontal="center" vertical="center"/>
    </xf>
    <xf numFmtId="0" fontId="5" fillId="1" borderId="10" xfId="0" applyFont="1" applyFill="1" applyBorder="1" applyAlignment="1">
      <alignment horizontal="left" vertical="center" indent="1"/>
    </xf>
    <xf numFmtId="3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4" fontId="5" fillId="1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0" fillId="1" borderId="10" xfId="0" applyFont="1" applyFill="1" applyBorder="1" applyAlignment="1">
      <alignment horizontal="center" vertical="center"/>
    </xf>
    <xf numFmtId="4" fontId="5" fillId="1" borderId="10" xfId="0" applyNumberFormat="1" applyFont="1" applyFill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indent="1"/>
    </xf>
    <xf numFmtId="4" fontId="0" fillId="0" borderId="18" xfId="0" applyNumberFormat="1" applyFont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right" vertical="center" wrapText="1" indent="1"/>
    </xf>
    <xf numFmtId="4" fontId="5" fillId="1" borderId="10" xfId="0" applyNumberFormat="1" applyFont="1" applyFill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right" vertical="center" inden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indent="1"/>
    </xf>
    <xf numFmtId="0" fontId="5" fillId="1" borderId="10" xfId="0" applyFont="1" applyFill="1" applyBorder="1" applyAlignment="1">
      <alignment horizontal="left" vertical="center" wrapText="1" indent="1"/>
    </xf>
    <xf numFmtId="0" fontId="9" fillId="0" borderId="0" xfId="0" applyFont="1" applyAlignment="1">
      <alignment/>
    </xf>
    <xf numFmtId="4" fontId="5" fillId="34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5" fillId="1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/>
    </xf>
    <xf numFmtId="0" fontId="70" fillId="33" borderId="10" xfId="0" applyFont="1" applyFill="1" applyBorder="1" applyAlignment="1" quotePrefix="1">
      <alignment horizontal="center" vertical="center"/>
    </xf>
    <xf numFmtId="0" fontId="7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Alignment="1">
      <alignment vertical="center"/>
    </xf>
    <xf numFmtId="4" fontId="7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4" fontId="0" fillId="0" borderId="0" xfId="0" applyNumberFormat="1" applyFont="1" applyBorder="1" applyAlignment="1">
      <alignment horizontal="right" vertical="center" indent="1"/>
    </xf>
    <xf numFmtId="4" fontId="0" fillId="0" borderId="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10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left" vertical="center" wrapText="1" indent="1"/>
    </xf>
    <xf numFmtId="4" fontId="7" fillId="33" borderId="15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 quotePrefix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9" xfId="0" applyNumberFormat="1" applyFont="1" applyBorder="1" applyAlignment="1">
      <alignment horizontal="left" vertical="center" wrapText="1" indent="1"/>
    </xf>
    <xf numFmtId="0" fontId="72" fillId="33" borderId="10" xfId="0" applyFont="1" applyFill="1" applyBorder="1" applyAlignment="1" quotePrefix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 indent="1"/>
    </xf>
    <xf numFmtId="4" fontId="7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indent="1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 indent="1"/>
    </xf>
    <xf numFmtId="4" fontId="3" fillId="33" borderId="15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inden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" fontId="5" fillId="1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4" fontId="6" fillId="0" borderId="0" xfId="52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21" xfId="52" applyFont="1" applyFill="1" applyBorder="1" applyAlignment="1">
      <alignment/>
      <protection/>
    </xf>
    <xf numFmtId="0" fontId="0" fillId="0" borderId="21" xfId="0" applyFont="1" applyFill="1" applyBorder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70" fontId="36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" fontId="37" fillId="0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39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 quotePrefix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 vertical="center" wrapText="1" indent="2"/>
      <protection/>
    </xf>
    <xf numFmtId="0" fontId="2" fillId="0" borderId="10" xfId="0" applyFont="1" applyFill="1" applyBorder="1" applyAlignment="1">
      <alignment horizontal="left" vertical="center" indent="1"/>
    </xf>
    <xf numFmtId="4" fontId="3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F154" sqref="F154"/>
    </sheetView>
  </sheetViews>
  <sheetFormatPr defaultColWidth="9.00390625" defaultRowHeight="12.75"/>
  <cols>
    <col min="1" max="1" width="4.75390625" style="9" customWidth="1"/>
    <col min="2" max="2" width="7.25390625" style="9" bestFit="1" customWidth="1"/>
    <col min="3" max="3" width="4.375" style="9" bestFit="1" customWidth="1"/>
    <col min="4" max="4" width="32.125" style="9" customWidth="1"/>
    <col min="5" max="5" width="14.625" style="32" customWidth="1"/>
    <col min="6" max="6" width="13.375" style="32" customWidth="1"/>
    <col min="7" max="7" width="13.125" style="32" customWidth="1"/>
    <col min="8" max="8" width="7.625" style="348" customWidth="1"/>
    <col min="9" max="9" width="10.00390625" style="0" bestFit="1" customWidth="1"/>
  </cols>
  <sheetData>
    <row r="1" spans="1:7" ht="12.75">
      <c r="A1" s="67"/>
      <c r="B1" s="67"/>
      <c r="C1" s="67"/>
      <c r="D1" s="67"/>
      <c r="E1" s="68"/>
      <c r="F1" s="68" t="s">
        <v>166</v>
      </c>
      <c r="G1" s="68"/>
    </row>
    <row r="2" spans="1:7" ht="12.75">
      <c r="A2" s="67"/>
      <c r="B2" s="67"/>
      <c r="C2" s="67"/>
      <c r="D2" s="67"/>
      <c r="E2" s="68"/>
      <c r="F2" s="68" t="s">
        <v>502</v>
      </c>
      <c r="G2" s="68"/>
    </row>
    <row r="3" spans="1:7" ht="12.75">
      <c r="A3" s="67"/>
      <c r="B3" s="67"/>
      <c r="C3" s="67"/>
      <c r="D3" s="67"/>
      <c r="E3" s="68"/>
      <c r="F3" s="68" t="s">
        <v>503</v>
      </c>
      <c r="G3" s="68"/>
    </row>
    <row r="4" spans="1:7" ht="12.75">
      <c r="A4" s="67"/>
      <c r="B4" s="67"/>
      <c r="C4" s="67"/>
      <c r="D4" s="67"/>
      <c r="E4" s="68"/>
      <c r="F4" s="68" t="s">
        <v>504</v>
      </c>
      <c r="G4" s="68"/>
    </row>
    <row r="5" spans="1:7" ht="18.75" customHeight="1">
      <c r="A5" s="151" t="s">
        <v>501</v>
      </c>
      <c r="B5" s="151"/>
      <c r="C5" s="151"/>
      <c r="D5" s="151"/>
      <c r="E5" s="151"/>
      <c r="F5" s="151"/>
      <c r="G5" s="151"/>
    </row>
    <row r="6" spans="1:8" ht="18" customHeight="1">
      <c r="A6" s="404" t="s">
        <v>0</v>
      </c>
      <c r="B6" s="404" t="s">
        <v>1</v>
      </c>
      <c r="C6" s="404" t="s">
        <v>2</v>
      </c>
      <c r="D6" s="404" t="s">
        <v>3</v>
      </c>
      <c r="E6" s="406" t="s">
        <v>119</v>
      </c>
      <c r="F6" s="407" t="s">
        <v>508</v>
      </c>
      <c r="G6" s="405" t="s">
        <v>505</v>
      </c>
      <c r="H6" s="405"/>
    </row>
    <row r="7" spans="1:8" s="9" customFormat="1" ht="19.5" customHeight="1">
      <c r="A7" s="404"/>
      <c r="B7" s="404"/>
      <c r="C7" s="404"/>
      <c r="D7" s="404"/>
      <c r="E7" s="406"/>
      <c r="F7" s="405"/>
      <c r="G7" s="10" t="s">
        <v>506</v>
      </c>
      <c r="H7" s="347" t="s">
        <v>507</v>
      </c>
    </row>
    <row r="8" spans="1:8" s="9" customFormat="1" ht="21" customHeight="1">
      <c r="A8" s="343" t="s">
        <v>4</v>
      </c>
      <c r="B8" s="344"/>
      <c r="C8" s="345"/>
      <c r="D8" s="346" t="s">
        <v>5</v>
      </c>
      <c r="E8" s="64">
        <f>SUM(E9)</f>
        <v>639800</v>
      </c>
      <c r="F8" s="64">
        <f>SUM(F9)</f>
        <v>1191419</v>
      </c>
      <c r="G8" s="64">
        <f>SUM(G9)</f>
        <v>1071651.67</v>
      </c>
      <c r="H8" s="233">
        <f>G8/F8*100</f>
        <v>89.94750545358097</v>
      </c>
    </row>
    <row r="9" spans="1:8" s="28" customFormat="1" ht="21" customHeight="1">
      <c r="A9" s="81"/>
      <c r="B9" s="79" t="s">
        <v>234</v>
      </c>
      <c r="C9" s="83"/>
      <c r="D9" s="141" t="s">
        <v>6</v>
      </c>
      <c r="E9" s="87">
        <f>SUM(E10:E13)</f>
        <v>639800</v>
      </c>
      <c r="F9" s="87">
        <f>SUM(F10:F13)</f>
        <v>1191419</v>
      </c>
      <c r="G9" s="87">
        <f>SUM(G10:G13)</f>
        <v>1071651.67</v>
      </c>
      <c r="H9" s="100">
        <f aca="true" t="shared" si="0" ref="H9:H76">G9/F9*100</f>
        <v>89.94750545358097</v>
      </c>
    </row>
    <row r="10" spans="1:8" s="28" customFormat="1" ht="67.5">
      <c r="A10" s="81"/>
      <c r="B10" s="59"/>
      <c r="C10" s="82" t="s">
        <v>139</v>
      </c>
      <c r="D10" s="80" t="s">
        <v>56</v>
      </c>
      <c r="E10" s="87">
        <f>110000+9800</f>
        <v>119800</v>
      </c>
      <c r="F10" s="87">
        <v>119800</v>
      </c>
      <c r="G10" s="87">
        <v>124862.9</v>
      </c>
      <c r="H10" s="100">
        <f t="shared" si="0"/>
        <v>104.22612687813022</v>
      </c>
    </row>
    <row r="11" spans="1:9" s="28" customFormat="1" ht="33.75">
      <c r="A11" s="81"/>
      <c r="B11" s="59"/>
      <c r="C11" s="82" t="s">
        <v>235</v>
      </c>
      <c r="D11" s="80" t="s">
        <v>236</v>
      </c>
      <c r="E11" s="87">
        <v>520000</v>
      </c>
      <c r="F11" s="87">
        <v>520000</v>
      </c>
      <c r="G11" s="87">
        <v>261389.6</v>
      </c>
      <c r="H11" s="100">
        <f t="shared" si="0"/>
        <v>50.26723076923078</v>
      </c>
      <c r="I11" s="109"/>
    </row>
    <row r="12" spans="1:8" s="28" customFormat="1" ht="56.25">
      <c r="A12" s="81"/>
      <c r="B12" s="59"/>
      <c r="C12" s="82">
        <v>2010</v>
      </c>
      <c r="D12" s="80" t="s">
        <v>183</v>
      </c>
      <c r="E12" s="87">
        <v>0</v>
      </c>
      <c r="F12" s="87">
        <v>550419</v>
      </c>
      <c r="G12" s="87">
        <v>550417.64</v>
      </c>
      <c r="H12" s="100">
        <f t="shared" si="0"/>
        <v>99.99975291550619</v>
      </c>
    </row>
    <row r="13" spans="1:8" s="28" customFormat="1" ht="21" customHeight="1">
      <c r="A13" s="81"/>
      <c r="B13" s="59"/>
      <c r="C13" s="82" t="s">
        <v>140</v>
      </c>
      <c r="D13" s="80" t="s">
        <v>11</v>
      </c>
      <c r="E13" s="87">
        <v>0</v>
      </c>
      <c r="F13" s="87">
        <v>1200</v>
      </c>
      <c r="G13" s="87">
        <v>134981.53</v>
      </c>
      <c r="H13" s="100">
        <f t="shared" si="0"/>
        <v>11248.460833333333</v>
      </c>
    </row>
    <row r="14" spans="1:8" s="8" customFormat="1" ht="21" customHeight="1">
      <c r="A14" s="34" t="s">
        <v>8</v>
      </c>
      <c r="B14" s="4"/>
      <c r="C14" s="5"/>
      <c r="D14" s="35" t="s">
        <v>9</v>
      </c>
      <c r="E14" s="69">
        <f>SUM(E15,E22)</f>
        <v>5001700</v>
      </c>
      <c r="F14" s="69">
        <f>SUM(F15,F22)</f>
        <v>5080500</v>
      </c>
      <c r="G14" s="69">
        <f>SUM(G15,G22)</f>
        <v>3458086.07</v>
      </c>
      <c r="H14" s="233">
        <f t="shared" si="0"/>
        <v>68.06586103729948</v>
      </c>
    </row>
    <row r="15" spans="1:8" s="28" customFormat="1" ht="21" customHeight="1">
      <c r="A15" s="75"/>
      <c r="B15" s="76" t="s">
        <v>10</v>
      </c>
      <c r="C15" s="83"/>
      <c r="D15" s="80" t="s">
        <v>129</v>
      </c>
      <c r="E15" s="74">
        <f>SUM(E16:E21)</f>
        <v>5001700</v>
      </c>
      <c r="F15" s="74">
        <f>SUM(F16:F21)</f>
        <v>5080500</v>
      </c>
      <c r="G15" s="74">
        <f>SUM(G16:G21)</f>
        <v>3457484.8299999996</v>
      </c>
      <c r="H15" s="100">
        <f t="shared" si="0"/>
        <v>68.05402676901879</v>
      </c>
    </row>
    <row r="16" spans="1:8" s="28" customFormat="1" ht="24" customHeight="1">
      <c r="A16" s="75"/>
      <c r="B16" s="59"/>
      <c r="C16" s="82" t="s">
        <v>138</v>
      </c>
      <c r="D16" s="80" t="s">
        <v>182</v>
      </c>
      <c r="E16" s="74">
        <v>140000</v>
      </c>
      <c r="F16" s="74">
        <v>140000</v>
      </c>
      <c r="G16" s="74">
        <v>132798.16</v>
      </c>
      <c r="H16" s="100">
        <f t="shared" si="0"/>
        <v>94.85582857142857</v>
      </c>
    </row>
    <row r="17" spans="1:8" s="28" customFormat="1" ht="67.5">
      <c r="A17" s="75"/>
      <c r="B17" s="59"/>
      <c r="C17" s="77" t="s">
        <v>139</v>
      </c>
      <c r="D17" s="80" t="s">
        <v>56</v>
      </c>
      <c r="E17" s="74">
        <f>16000+82000+8000+4000+1420000+280000</f>
        <v>1810000</v>
      </c>
      <c r="F17" s="74">
        <v>1810000</v>
      </c>
      <c r="G17" s="74">
        <v>1907948.49</v>
      </c>
      <c r="H17" s="100">
        <f t="shared" si="0"/>
        <v>105.41151878453039</v>
      </c>
    </row>
    <row r="18" spans="1:9" s="28" customFormat="1" ht="45">
      <c r="A18" s="75"/>
      <c r="B18" s="59"/>
      <c r="C18" s="77" t="s">
        <v>193</v>
      </c>
      <c r="D18" s="80" t="s">
        <v>244</v>
      </c>
      <c r="E18" s="74">
        <v>30000</v>
      </c>
      <c r="F18" s="74">
        <v>104000</v>
      </c>
      <c r="G18" s="74">
        <v>325461.35</v>
      </c>
      <c r="H18" s="100">
        <f t="shared" si="0"/>
        <v>312.94360576923077</v>
      </c>
      <c r="I18" s="109"/>
    </row>
    <row r="19" spans="1:9" s="28" customFormat="1" ht="24" customHeight="1">
      <c r="A19" s="75"/>
      <c r="B19" s="59"/>
      <c r="C19" s="77" t="s">
        <v>235</v>
      </c>
      <c r="D19" s="80" t="s">
        <v>236</v>
      </c>
      <c r="E19" s="74">
        <v>3011700</v>
      </c>
      <c r="F19" s="74">
        <v>3013500</v>
      </c>
      <c r="G19" s="74">
        <v>1040842.51</v>
      </c>
      <c r="H19" s="100">
        <f t="shared" si="0"/>
        <v>34.53932337813174</v>
      </c>
      <c r="I19" s="109"/>
    </row>
    <row r="20" spans="1:9" s="28" customFormat="1" ht="21" customHeight="1">
      <c r="A20" s="75"/>
      <c r="B20" s="59"/>
      <c r="C20" s="77" t="s">
        <v>140</v>
      </c>
      <c r="D20" s="80" t="s">
        <v>11</v>
      </c>
      <c r="E20" s="74">
        <v>10000</v>
      </c>
      <c r="F20" s="74">
        <v>13000</v>
      </c>
      <c r="G20" s="74">
        <v>13283.17</v>
      </c>
      <c r="H20" s="100">
        <f t="shared" si="0"/>
        <v>102.17823076923077</v>
      </c>
      <c r="I20" s="328"/>
    </row>
    <row r="21" spans="1:9" s="28" customFormat="1" ht="21" customHeight="1">
      <c r="A21" s="75"/>
      <c r="B21" s="59"/>
      <c r="C21" s="77" t="s">
        <v>141</v>
      </c>
      <c r="D21" s="80" t="s">
        <v>12</v>
      </c>
      <c r="E21" s="74">
        <v>0</v>
      </c>
      <c r="F21" s="74">
        <v>0</v>
      </c>
      <c r="G21" s="74">
        <v>37151.15</v>
      </c>
      <c r="H21" s="100" t="s">
        <v>535</v>
      </c>
      <c r="I21" s="328"/>
    </row>
    <row r="22" spans="1:9" s="28" customFormat="1" ht="21" customHeight="1">
      <c r="A22" s="75"/>
      <c r="B22" s="59">
        <v>70095</v>
      </c>
      <c r="C22" s="77"/>
      <c r="D22" s="80" t="s">
        <v>6</v>
      </c>
      <c r="E22" s="74">
        <f>SUM(E23)</f>
        <v>0</v>
      </c>
      <c r="F22" s="74">
        <f>SUM(F23)</f>
        <v>0</v>
      </c>
      <c r="G22" s="74">
        <f>SUM(G23)</f>
        <v>601.24</v>
      </c>
      <c r="H22" s="100" t="s">
        <v>535</v>
      </c>
      <c r="I22" s="328"/>
    </row>
    <row r="23" spans="1:9" s="28" customFormat="1" ht="21" customHeight="1">
      <c r="A23" s="75"/>
      <c r="B23" s="59"/>
      <c r="C23" s="77" t="s">
        <v>141</v>
      </c>
      <c r="D23" s="80" t="s">
        <v>12</v>
      </c>
      <c r="E23" s="74">
        <v>0</v>
      </c>
      <c r="F23" s="74">
        <v>0</v>
      </c>
      <c r="G23" s="74">
        <v>601.24</v>
      </c>
      <c r="H23" s="100" t="s">
        <v>535</v>
      </c>
      <c r="I23" s="328"/>
    </row>
    <row r="24" spans="1:8" s="156" customFormat="1" ht="21" customHeight="1">
      <c r="A24" s="199">
        <v>710</v>
      </c>
      <c r="B24" s="200"/>
      <c r="C24" s="212"/>
      <c r="D24" s="215" t="s">
        <v>77</v>
      </c>
      <c r="E24" s="213">
        <f aca="true" t="shared" si="1" ref="E24:G25">SUM(E25)</f>
        <v>0</v>
      </c>
      <c r="F24" s="213">
        <f t="shared" si="1"/>
        <v>24400</v>
      </c>
      <c r="G24" s="213">
        <f t="shared" si="1"/>
        <v>24400</v>
      </c>
      <c r="H24" s="233">
        <f t="shared" si="0"/>
        <v>100</v>
      </c>
    </row>
    <row r="25" spans="1:8" s="28" customFormat="1" ht="21" customHeight="1">
      <c r="A25" s="75"/>
      <c r="B25" s="59">
        <v>71004</v>
      </c>
      <c r="C25" s="77"/>
      <c r="D25" s="80" t="s">
        <v>78</v>
      </c>
      <c r="E25" s="174">
        <f t="shared" si="1"/>
        <v>0</v>
      </c>
      <c r="F25" s="174">
        <f t="shared" si="1"/>
        <v>24400</v>
      </c>
      <c r="G25" s="174">
        <f t="shared" si="1"/>
        <v>24400</v>
      </c>
      <c r="H25" s="100">
        <f t="shared" si="0"/>
        <v>100</v>
      </c>
    </row>
    <row r="26" spans="1:8" s="28" customFormat="1" ht="22.5">
      <c r="A26" s="75"/>
      <c r="B26" s="59"/>
      <c r="C26" s="77" t="s">
        <v>344</v>
      </c>
      <c r="D26" s="80" t="s">
        <v>345</v>
      </c>
      <c r="E26" s="74">
        <v>0</v>
      </c>
      <c r="F26" s="74">
        <v>24400</v>
      </c>
      <c r="G26" s="74">
        <v>24400</v>
      </c>
      <c r="H26" s="100">
        <f t="shared" si="0"/>
        <v>100</v>
      </c>
    </row>
    <row r="27" spans="1:8" s="8" customFormat="1" ht="21" customHeight="1">
      <c r="A27" s="34" t="s">
        <v>14</v>
      </c>
      <c r="B27" s="4"/>
      <c r="C27" s="5"/>
      <c r="D27" s="35" t="s">
        <v>15</v>
      </c>
      <c r="E27" s="69">
        <f>SUM(E28,E31)</f>
        <v>172350</v>
      </c>
      <c r="F27" s="69">
        <f>SUM(F28,F31)</f>
        <v>190350</v>
      </c>
      <c r="G27" s="69">
        <f>SUM(G28,G31)</f>
        <v>189138.01</v>
      </c>
      <c r="H27" s="233">
        <f t="shared" si="0"/>
        <v>99.36328342526924</v>
      </c>
    </row>
    <row r="28" spans="1:8" s="28" customFormat="1" ht="21" customHeight="1">
      <c r="A28" s="75"/>
      <c r="B28" s="76">
        <v>75011</v>
      </c>
      <c r="C28" s="83"/>
      <c r="D28" s="80" t="s">
        <v>16</v>
      </c>
      <c r="E28" s="74">
        <f>SUM(E29:E30)</f>
        <v>160350</v>
      </c>
      <c r="F28" s="74">
        <f>SUM(F29:F30)</f>
        <v>160350</v>
      </c>
      <c r="G28" s="74">
        <f>SUM(G29:G30)</f>
        <v>158850.17</v>
      </c>
      <c r="H28" s="100">
        <f t="shared" si="0"/>
        <v>99.06465232304336</v>
      </c>
    </row>
    <row r="29" spans="1:8" s="28" customFormat="1" ht="56.25">
      <c r="A29" s="75"/>
      <c r="B29" s="59"/>
      <c r="C29" s="77">
        <v>2010</v>
      </c>
      <c r="D29" s="80" t="s">
        <v>183</v>
      </c>
      <c r="E29" s="87">
        <v>156600</v>
      </c>
      <c r="F29" s="87">
        <v>156600</v>
      </c>
      <c r="G29" s="87">
        <v>156599.16</v>
      </c>
      <c r="H29" s="100">
        <f t="shared" si="0"/>
        <v>99.99946360153257</v>
      </c>
    </row>
    <row r="30" spans="1:8" s="28" customFormat="1" ht="45">
      <c r="A30" s="75"/>
      <c r="B30" s="59"/>
      <c r="C30" s="77">
        <v>2360</v>
      </c>
      <c r="D30" s="80" t="s">
        <v>161</v>
      </c>
      <c r="E30" s="74">
        <v>3750</v>
      </c>
      <c r="F30" s="74">
        <v>3750</v>
      </c>
      <c r="G30" s="74">
        <v>2251.01</v>
      </c>
      <c r="H30" s="100">
        <f t="shared" si="0"/>
        <v>60.026933333333346</v>
      </c>
    </row>
    <row r="31" spans="1:8" s="28" customFormat="1" ht="24" customHeight="1">
      <c r="A31" s="75"/>
      <c r="B31" s="59">
        <v>75023</v>
      </c>
      <c r="C31" s="77"/>
      <c r="D31" s="43" t="s">
        <v>18</v>
      </c>
      <c r="E31" s="74">
        <f>SUM(E32)</f>
        <v>12000</v>
      </c>
      <c r="F31" s="74">
        <f>SUM(F32)</f>
        <v>30000</v>
      </c>
      <c r="G31" s="74">
        <f>SUM(G32)</f>
        <v>30287.84</v>
      </c>
      <c r="H31" s="100">
        <f t="shared" si="0"/>
        <v>100.95946666666666</v>
      </c>
    </row>
    <row r="32" spans="1:8" s="28" customFormat="1" ht="21" customHeight="1">
      <c r="A32" s="75"/>
      <c r="B32" s="59"/>
      <c r="C32" s="77" t="s">
        <v>141</v>
      </c>
      <c r="D32" s="80" t="s">
        <v>12</v>
      </c>
      <c r="E32" s="74">
        <f>8250+3750</f>
        <v>12000</v>
      </c>
      <c r="F32" s="74">
        <v>30000</v>
      </c>
      <c r="G32" s="74">
        <v>30287.84</v>
      </c>
      <c r="H32" s="100">
        <f t="shared" si="0"/>
        <v>100.95946666666666</v>
      </c>
    </row>
    <row r="33" spans="1:8" s="8" customFormat="1" ht="36">
      <c r="A33" s="34">
        <v>751</v>
      </c>
      <c r="B33" s="6"/>
      <c r="C33" s="26"/>
      <c r="D33" s="35" t="s">
        <v>19</v>
      </c>
      <c r="E33" s="69">
        <f>SUM(E34,E36)</f>
        <v>3910</v>
      </c>
      <c r="F33" s="69">
        <f>SUM(F34,F36)</f>
        <v>46082</v>
      </c>
      <c r="G33" s="69">
        <f>SUM(G34,G36)</f>
        <v>45914.9</v>
      </c>
      <c r="H33" s="233">
        <f t="shared" si="0"/>
        <v>99.63738553014193</v>
      </c>
    </row>
    <row r="34" spans="1:8" s="28" customFormat="1" ht="22.5">
      <c r="A34" s="81"/>
      <c r="B34" s="76">
        <v>75101</v>
      </c>
      <c r="C34" s="83"/>
      <c r="D34" s="80" t="s">
        <v>20</v>
      </c>
      <c r="E34" s="74">
        <f>SUM(E35)</f>
        <v>3910</v>
      </c>
      <c r="F34" s="74">
        <f>SUM(F35)</f>
        <v>3910</v>
      </c>
      <c r="G34" s="74">
        <f>SUM(G35)</f>
        <v>3910</v>
      </c>
      <c r="H34" s="100">
        <f t="shared" si="0"/>
        <v>100</v>
      </c>
    </row>
    <row r="35" spans="1:8" s="28" customFormat="1" ht="56.25">
      <c r="A35" s="81"/>
      <c r="B35" s="76"/>
      <c r="C35" s="83">
        <v>2010</v>
      </c>
      <c r="D35" s="80" t="s">
        <v>183</v>
      </c>
      <c r="E35" s="74">
        <v>3910</v>
      </c>
      <c r="F35" s="74">
        <v>3910</v>
      </c>
      <c r="G35" s="74">
        <v>3910</v>
      </c>
      <c r="H35" s="100">
        <f t="shared" si="0"/>
        <v>100</v>
      </c>
    </row>
    <row r="36" spans="1:8" s="28" customFormat="1" ht="21" customHeight="1">
      <c r="A36" s="81"/>
      <c r="B36" s="76">
        <v>75113</v>
      </c>
      <c r="C36" s="83"/>
      <c r="D36" s="80" t="s">
        <v>359</v>
      </c>
      <c r="E36" s="174">
        <f>SUM(E37)</f>
        <v>0</v>
      </c>
      <c r="F36" s="174">
        <f>SUM(F37)</f>
        <v>42172</v>
      </c>
      <c r="G36" s="174">
        <f>SUM(G37)</f>
        <v>42004.9</v>
      </c>
      <c r="H36" s="100">
        <f t="shared" si="0"/>
        <v>99.60376553163238</v>
      </c>
    </row>
    <row r="37" spans="1:8" s="28" customFormat="1" ht="56.25">
      <c r="A37" s="81"/>
      <c r="B37" s="76"/>
      <c r="C37" s="83">
        <v>2010</v>
      </c>
      <c r="D37" s="80" t="s">
        <v>183</v>
      </c>
      <c r="E37" s="74">
        <v>0</v>
      </c>
      <c r="F37" s="74">
        <v>42172</v>
      </c>
      <c r="G37" s="74">
        <v>42004.9</v>
      </c>
      <c r="H37" s="100">
        <f t="shared" si="0"/>
        <v>99.60376553163238</v>
      </c>
    </row>
    <row r="38" spans="1:8" s="8" customFormat="1" ht="30" customHeight="1">
      <c r="A38" s="34" t="s">
        <v>21</v>
      </c>
      <c r="B38" s="4"/>
      <c r="C38" s="5"/>
      <c r="D38" s="35" t="s">
        <v>22</v>
      </c>
      <c r="E38" s="69">
        <f>SUM(E39)</f>
        <v>5500</v>
      </c>
      <c r="F38" s="69">
        <f>SUM(F39)</f>
        <v>5500</v>
      </c>
      <c r="G38" s="69">
        <f>SUM(G39)</f>
        <v>5188.5</v>
      </c>
      <c r="H38" s="233">
        <f t="shared" si="0"/>
        <v>94.33636363636364</v>
      </c>
    </row>
    <row r="39" spans="1:8" s="28" customFormat="1" ht="21" customHeight="1">
      <c r="A39" s="81"/>
      <c r="B39" s="76" t="s">
        <v>23</v>
      </c>
      <c r="C39" s="83"/>
      <c r="D39" s="80" t="s">
        <v>24</v>
      </c>
      <c r="E39" s="74">
        <f>SUM(E40:E41)</f>
        <v>5500</v>
      </c>
      <c r="F39" s="74">
        <f>SUM(F40:F41)</f>
        <v>5500</v>
      </c>
      <c r="G39" s="74">
        <f>SUM(G40:G41)</f>
        <v>5188.5</v>
      </c>
      <c r="H39" s="100">
        <f t="shared" si="0"/>
        <v>94.33636363636364</v>
      </c>
    </row>
    <row r="40" spans="1:8" s="28" customFormat="1" ht="21.75" customHeight="1">
      <c r="A40" s="81"/>
      <c r="B40" s="59"/>
      <c r="C40" s="77" t="s">
        <v>142</v>
      </c>
      <c r="D40" s="80" t="s">
        <v>25</v>
      </c>
      <c r="E40" s="74">
        <v>5000</v>
      </c>
      <c r="F40" s="74">
        <v>5000</v>
      </c>
      <c r="G40" s="74">
        <v>4988.5</v>
      </c>
      <c r="H40" s="100">
        <f t="shared" si="0"/>
        <v>99.77000000000001</v>
      </c>
    </row>
    <row r="41" spans="1:8" s="28" customFormat="1" ht="21" customHeight="1">
      <c r="A41" s="81"/>
      <c r="B41" s="59"/>
      <c r="C41" s="77" t="s">
        <v>140</v>
      </c>
      <c r="D41" s="80" t="s">
        <v>11</v>
      </c>
      <c r="E41" s="74">
        <v>500</v>
      </c>
      <c r="F41" s="74">
        <v>500</v>
      </c>
      <c r="G41" s="74">
        <v>200</v>
      </c>
      <c r="H41" s="100">
        <f t="shared" si="0"/>
        <v>40</v>
      </c>
    </row>
    <row r="42" spans="1:8" s="8" customFormat="1" ht="60">
      <c r="A42" s="34" t="s">
        <v>26</v>
      </c>
      <c r="B42" s="4"/>
      <c r="C42" s="5"/>
      <c r="D42" s="35" t="s">
        <v>132</v>
      </c>
      <c r="E42" s="69">
        <f>SUM(E43,E46,E54,E65,E71,)</f>
        <v>23034971</v>
      </c>
      <c r="F42" s="69">
        <f>SUM(F43,F46,F54,F65,F71,)</f>
        <v>22010051</v>
      </c>
      <c r="G42" s="69">
        <f>SUM(G43,G46,G54,G65,G71,)</f>
        <v>21726780.72</v>
      </c>
      <c r="H42" s="233">
        <f t="shared" si="0"/>
        <v>98.71299580359899</v>
      </c>
    </row>
    <row r="43" spans="1:8" s="28" customFormat="1" ht="24" customHeight="1">
      <c r="A43" s="75"/>
      <c r="B43" s="59">
        <v>75601</v>
      </c>
      <c r="C43" s="83"/>
      <c r="D43" s="80" t="s">
        <v>28</v>
      </c>
      <c r="E43" s="74">
        <f>SUM(E44:E45)</f>
        <v>52500</v>
      </c>
      <c r="F43" s="74">
        <f>SUM(F44:F45)</f>
        <v>52500</v>
      </c>
      <c r="G43" s="74">
        <f>SUM(G44:G45)</f>
        <v>45778.25</v>
      </c>
      <c r="H43" s="100">
        <f t="shared" si="0"/>
        <v>87.19666666666667</v>
      </c>
    </row>
    <row r="44" spans="1:8" s="28" customFormat="1" ht="24" customHeight="1">
      <c r="A44" s="75"/>
      <c r="B44" s="59"/>
      <c r="C44" s="82" t="s">
        <v>143</v>
      </c>
      <c r="D44" s="80" t="s">
        <v>29</v>
      </c>
      <c r="E44" s="74">
        <v>50000</v>
      </c>
      <c r="F44" s="74">
        <v>50000</v>
      </c>
      <c r="G44" s="74">
        <v>44597.28</v>
      </c>
      <c r="H44" s="100">
        <f t="shared" si="0"/>
        <v>89.19456</v>
      </c>
    </row>
    <row r="45" spans="1:8" s="28" customFormat="1" ht="24" customHeight="1">
      <c r="A45" s="75"/>
      <c r="B45" s="59"/>
      <c r="C45" s="82" t="s">
        <v>144</v>
      </c>
      <c r="D45" s="80" t="s">
        <v>36</v>
      </c>
      <c r="E45" s="74">
        <v>2500</v>
      </c>
      <c r="F45" s="74">
        <v>2500</v>
      </c>
      <c r="G45" s="74">
        <v>1180.97</v>
      </c>
      <c r="H45" s="100">
        <f t="shared" si="0"/>
        <v>47.238800000000005</v>
      </c>
    </row>
    <row r="46" spans="1:8" s="28" customFormat="1" ht="56.25">
      <c r="A46" s="75"/>
      <c r="B46" s="76" t="s">
        <v>30</v>
      </c>
      <c r="C46" s="83"/>
      <c r="D46" s="80" t="s">
        <v>169</v>
      </c>
      <c r="E46" s="74">
        <f>SUM(E47:E53)</f>
        <v>7208496</v>
      </c>
      <c r="F46" s="74">
        <f>SUM(F47:F53)</f>
        <v>7235958</v>
      </c>
      <c r="G46" s="74">
        <f>SUM(G47:G53)</f>
        <v>6997772.89</v>
      </c>
      <c r="H46" s="100">
        <f t="shared" si="0"/>
        <v>96.70831270717713</v>
      </c>
    </row>
    <row r="47" spans="1:8" s="28" customFormat="1" ht="21" customHeight="1">
      <c r="A47" s="75"/>
      <c r="B47" s="76"/>
      <c r="C47" s="77" t="s">
        <v>145</v>
      </c>
      <c r="D47" s="80" t="s">
        <v>31</v>
      </c>
      <c r="E47" s="74">
        <v>6458259</v>
      </c>
      <c r="F47" s="74">
        <v>6458259</v>
      </c>
      <c r="G47" s="74">
        <v>6219821.72</v>
      </c>
      <c r="H47" s="100">
        <f t="shared" si="0"/>
        <v>96.3080254291443</v>
      </c>
    </row>
    <row r="48" spans="1:8" s="28" customFormat="1" ht="21" customHeight="1">
      <c r="A48" s="75"/>
      <c r="B48" s="76"/>
      <c r="C48" s="77" t="s">
        <v>146</v>
      </c>
      <c r="D48" s="80" t="s">
        <v>32</v>
      </c>
      <c r="E48" s="74">
        <v>25000</v>
      </c>
      <c r="F48" s="74">
        <v>39800</v>
      </c>
      <c r="G48" s="74">
        <v>41949.9</v>
      </c>
      <c r="H48" s="100">
        <f t="shared" si="0"/>
        <v>105.40175879396985</v>
      </c>
    </row>
    <row r="49" spans="1:8" s="28" customFormat="1" ht="21" customHeight="1">
      <c r="A49" s="75"/>
      <c r="B49" s="76"/>
      <c r="C49" s="77" t="s">
        <v>147</v>
      </c>
      <c r="D49" s="80" t="s">
        <v>33</v>
      </c>
      <c r="E49" s="74">
        <v>350823</v>
      </c>
      <c r="F49" s="74">
        <v>350823</v>
      </c>
      <c r="G49" s="74">
        <v>357060.38</v>
      </c>
      <c r="H49" s="100">
        <f t="shared" si="0"/>
        <v>101.77792790096431</v>
      </c>
    </row>
    <row r="50" spans="1:8" s="28" customFormat="1" ht="21" customHeight="1">
      <c r="A50" s="75"/>
      <c r="B50" s="76"/>
      <c r="C50" s="77" t="s">
        <v>148</v>
      </c>
      <c r="D50" s="80" t="s">
        <v>34</v>
      </c>
      <c r="E50" s="74">
        <f>65000+20000</f>
        <v>85000</v>
      </c>
      <c r="F50" s="74">
        <v>49500</v>
      </c>
      <c r="G50" s="74">
        <v>51942</v>
      </c>
      <c r="H50" s="100">
        <f t="shared" si="0"/>
        <v>104.93333333333332</v>
      </c>
    </row>
    <row r="51" spans="1:8" s="28" customFormat="1" ht="21" customHeight="1">
      <c r="A51" s="75"/>
      <c r="B51" s="76"/>
      <c r="C51" s="77" t="s">
        <v>151</v>
      </c>
      <c r="D51" s="80" t="s">
        <v>38</v>
      </c>
      <c r="E51" s="74">
        <v>0</v>
      </c>
      <c r="F51" s="74">
        <v>39600</v>
      </c>
      <c r="G51" s="74">
        <v>39496</v>
      </c>
      <c r="H51" s="100">
        <f t="shared" si="0"/>
        <v>99.73737373737373</v>
      </c>
    </row>
    <row r="52" spans="1:8" s="28" customFormat="1" ht="24" customHeight="1">
      <c r="A52" s="75"/>
      <c r="B52" s="76"/>
      <c r="C52" s="73" t="s">
        <v>144</v>
      </c>
      <c r="D52" s="70" t="s">
        <v>175</v>
      </c>
      <c r="E52" s="84">
        <v>25000</v>
      </c>
      <c r="F52" s="84">
        <v>33000</v>
      </c>
      <c r="G52" s="84">
        <v>22526.89</v>
      </c>
      <c r="H52" s="100">
        <f t="shared" si="0"/>
        <v>68.26330303030302</v>
      </c>
    </row>
    <row r="53" spans="1:8" s="28" customFormat="1" ht="24" customHeight="1">
      <c r="A53" s="75"/>
      <c r="B53" s="76"/>
      <c r="C53" s="77">
        <v>2680</v>
      </c>
      <c r="D53" s="80" t="s">
        <v>245</v>
      </c>
      <c r="E53" s="74">
        <v>264414</v>
      </c>
      <c r="F53" s="74">
        <v>264976</v>
      </c>
      <c r="G53" s="74">
        <v>264976</v>
      </c>
      <c r="H53" s="100">
        <f t="shared" si="0"/>
        <v>100</v>
      </c>
    </row>
    <row r="54" spans="1:8" s="28" customFormat="1" ht="56.25">
      <c r="A54" s="75"/>
      <c r="B54" s="76">
        <v>75616</v>
      </c>
      <c r="C54" s="77"/>
      <c r="D54" s="80" t="s">
        <v>294</v>
      </c>
      <c r="E54" s="74">
        <f>SUM(E55:E64)</f>
        <v>4073240</v>
      </c>
      <c r="F54" s="74">
        <f>SUM(F55:F64)</f>
        <v>4154640</v>
      </c>
      <c r="G54" s="74">
        <f>SUM(G55:G64)</f>
        <v>4075394.9599999995</v>
      </c>
      <c r="H54" s="100">
        <f t="shared" si="0"/>
        <v>98.09261355977893</v>
      </c>
    </row>
    <row r="55" spans="1:8" s="28" customFormat="1" ht="21" customHeight="1">
      <c r="A55" s="75"/>
      <c r="B55" s="76"/>
      <c r="C55" s="77" t="s">
        <v>145</v>
      </c>
      <c r="D55" s="80" t="s">
        <v>31</v>
      </c>
      <c r="E55" s="74">
        <v>2447240</v>
      </c>
      <c r="F55" s="74">
        <v>2447240</v>
      </c>
      <c r="G55" s="74">
        <v>2386847.52</v>
      </c>
      <c r="H55" s="100">
        <f t="shared" si="0"/>
        <v>97.5322207874994</v>
      </c>
    </row>
    <row r="56" spans="1:8" s="28" customFormat="1" ht="21" customHeight="1">
      <c r="A56" s="75"/>
      <c r="B56" s="76"/>
      <c r="C56" s="77" t="s">
        <v>146</v>
      </c>
      <c r="D56" s="80" t="s">
        <v>32</v>
      </c>
      <c r="E56" s="74">
        <v>575000</v>
      </c>
      <c r="F56" s="74">
        <v>575000</v>
      </c>
      <c r="G56" s="74">
        <v>549766.7</v>
      </c>
      <c r="H56" s="100">
        <f t="shared" si="0"/>
        <v>95.6116</v>
      </c>
    </row>
    <row r="57" spans="1:8" s="28" customFormat="1" ht="21" customHeight="1">
      <c r="A57" s="75"/>
      <c r="B57" s="76"/>
      <c r="C57" s="77" t="s">
        <v>147</v>
      </c>
      <c r="D57" s="80" t="s">
        <v>33</v>
      </c>
      <c r="E57" s="74">
        <v>9000</v>
      </c>
      <c r="F57" s="74">
        <v>9000</v>
      </c>
      <c r="G57" s="74">
        <v>8692.38</v>
      </c>
      <c r="H57" s="100">
        <f t="shared" si="0"/>
        <v>96.582</v>
      </c>
    </row>
    <row r="58" spans="1:8" s="28" customFormat="1" ht="21" customHeight="1">
      <c r="A58" s="75"/>
      <c r="B58" s="76"/>
      <c r="C58" s="77" t="s">
        <v>148</v>
      </c>
      <c r="D58" s="80" t="s">
        <v>34</v>
      </c>
      <c r="E58" s="74">
        <f>160000+60000</f>
        <v>220000</v>
      </c>
      <c r="F58" s="166">
        <v>265000</v>
      </c>
      <c r="G58" s="166">
        <v>274082.69</v>
      </c>
      <c r="H58" s="100">
        <f t="shared" si="0"/>
        <v>103.42743018867924</v>
      </c>
    </row>
    <row r="59" spans="1:8" s="28" customFormat="1" ht="21" customHeight="1">
      <c r="A59" s="75"/>
      <c r="B59" s="76"/>
      <c r="C59" s="77" t="s">
        <v>469</v>
      </c>
      <c r="D59" s="80" t="s">
        <v>470</v>
      </c>
      <c r="E59" s="74">
        <v>0</v>
      </c>
      <c r="F59" s="166">
        <v>25000</v>
      </c>
      <c r="G59" s="166">
        <v>35265.29</v>
      </c>
      <c r="H59" s="100">
        <f t="shared" si="0"/>
        <v>141.06116</v>
      </c>
    </row>
    <row r="60" spans="1:8" s="28" customFormat="1" ht="21" customHeight="1">
      <c r="A60" s="75"/>
      <c r="B60" s="76"/>
      <c r="C60" s="77" t="s">
        <v>270</v>
      </c>
      <c r="D60" s="80" t="s">
        <v>271</v>
      </c>
      <c r="E60" s="74">
        <v>2000</v>
      </c>
      <c r="F60" s="166">
        <v>9000</v>
      </c>
      <c r="G60" s="166">
        <v>9634.8</v>
      </c>
      <c r="H60" s="100">
        <f t="shared" si="0"/>
        <v>107.05333333333333</v>
      </c>
    </row>
    <row r="61" spans="1:8" s="28" customFormat="1" ht="21" customHeight="1">
      <c r="A61" s="75"/>
      <c r="B61" s="76"/>
      <c r="C61" s="77" t="s">
        <v>149</v>
      </c>
      <c r="D61" s="80" t="s">
        <v>37</v>
      </c>
      <c r="E61" s="74">
        <v>70000</v>
      </c>
      <c r="F61" s="166">
        <v>70000</v>
      </c>
      <c r="G61" s="166">
        <v>67065</v>
      </c>
      <c r="H61" s="100">
        <f t="shared" si="0"/>
        <v>95.80714285714286</v>
      </c>
    </row>
    <row r="62" spans="1:8" s="28" customFormat="1" ht="21" customHeight="1">
      <c r="A62" s="75"/>
      <c r="B62" s="76"/>
      <c r="C62" s="77" t="s">
        <v>151</v>
      </c>
      <c r="D62" s="80" t="s">
        <v>38</v>
      </c>
      <c r="E62" s="74">
        <v>700000</v>
      </c>
      <c r="F62" s="332">
        <v>697400</v>
      </c>
      <c r="G62" s="332">
        <v>671669.96</v>
      </c>
      <c r="H62" s="100">
        <f t="shared" si="0"/>
        <v>96.31057642672785</v>
      </c>
    </row>
    <row r="63" spans="1:8" s="28" customFormat="1" ht="24" customHeight="1">
      <c r="A63" s="75"/>
      <c r="B63" s="76"/>
      <c r="C63" s="77" t="s">
        <v>144</v>
      </c>
      <c r="D63" s="80" t="s">
        <v>175</v>
      </c>
      <c r="E63" s="74">
        <v>50000</v>
      </c>
      <c r="F63" s="74">
        <v>57000</v>
      </c>
      <c r="G63" s="74">
        <v>71446.48</v>
      </c>
      <c r="H63" s="100">
        <f t="shared" si="0"/>
        <v>125.34470175438597</v>
      </c>
    </row>
    <row r="64" spans="1:8" s="28" customFormat="1" ht="24" customHeight="1">
      <c r="A64" s="75"/>
      <c r="B64" s="76"/>
      <c r="C64" s="77" t="s">
        <v>141</v>
      </c>
      <c r="D64" s="80" t="s">
        <v>12</v>
      </c>
      <c r="E64" s="74">
        <v>0</v>
      </c>
      <c r="F64" s="74">
        <v>0</v>
      </c>
      <c r="G64" s="74">
        <v>924.14</v>
      </c>
      <c r="H64" s="100" t="s">
        <v>535</v>
      </c>
    </row>
    <row r="65" spans="1:8" s="28" customFormat="1" ht="33.75">
      <c r="A65" s="75"/>
      <c r="B65" s="76" t="s">
        <v>39</v>
      </c>
      <c r="C65" s="83"/>
      <c r="D65" s="80" t="s">
        <v>40</v>
      </c>
      <c r="E65" s="74">
        <f>SUM(E66:E70)</f>
        <v>670000</v>
      </c>
      <c r="F65" s="74">
        <f>SUM(F66:F70)</f>
        <v>536547</v>
      </c>
      <c r="G65" s="74">
        <f>SUM(G66:G70)</f>
        <v>534618.06</v>
      </c>
      <c r="H65" s="100">
        <f t="shared" si="0"/>
        <v>99.64049002230934</v>
      </c>
    </row>
    <row r="66" spans="1:8" s="28" customFormat="1" ht="21" customHeight="1">
      <c r="A66" s="75"/>
      <c r="B66" s="76"/>
      <c r="C66" s="77" t="s">
        <v>152</v>
      </c>
      <c r="D66" s="80" t="s">
        <v>41</v>
      </c>
      <c r="E66" s="74">
        <v>120000</v>
      </c>
      <c r="F66" s="74">
        <v>150000</v>
      </c>
      <c r="G66" s="74">
        <v>150897.95</v>
      </c>
      <c r="H66" s="100">
        <f t="shared" si="0"/>
        <v>100.59863333333334</v>
      </c>
    </row>
    <row r="67" spans="1:8" s="28" customFormat="1" ht="21" customHeight="1">
      <c r="A67" s="75"/>
      <c r="B67" s="76"/>
      <c r="C67" s="77" t="s">
        <v>150</v>
      </c>
      <c r="D67" s="80" t="s">
        <v>35</v>
      </c>
      <c r="E67" s="74">
        <v>20000</v>
      </c>
      <c r="F67" s="74">
        <v>5000</v>
      </c>
      <c r="G67" s="74">
        <v>5593.73</v>
      </c>
      <c r="H67" s="100">
        <f t="shared" si="0"/>
        <v>111.8746</v>
      </c>
    </row>
    <row r="68" spans="1:8" s="28" customFormat="1" ht="24" customHeight="1">
      <c r="A68" s="75"/>
      <c r="B68" s="76"/>
      <c r="C68" s="77" t="s">
        <v>156</v>
      </c>
      <c r="D68" s="80" t="s">
        <v>192</v>
      </c>
      <c r="E68" s="74">
        <v>330000</v>
      </c>
      <c r="F68" s="74">
        <v>350714</v>
      </c>
      <c r="G68" s="74">
        <v>351472.25</v>
      </c>
      <c r="H68" s="100">
        <f t="shared" si="0"/>
        <v>100.21620180545972</v>
      </c>
    </row>
    <row r="69" spans="1:8" s="28" customFormat="1" ht="45">
      <c r="A69" s="75"/>
      <c r="B69" s="76"/>
      <c r="C69" s="77" t="s">
        <v>137</v>
      </c>
      <c r="D69" s="80" t="s">
        <v>7</v>
      </c>
      <c r="E69" s="74">
        <f>170000+30000</f>
        <v>200000</v>
      </c>
      <c r="F69" s="74">
        <v>30683</v>
      </c>
      <c r="G69" s="74">
        <v>26515.67</v>
      </c>
      <c r="H69" s="100">
        <f t="shared" si="0"/>
        <v>86.4181142652283</v>
      </c>
    </row>
    <row r="70" spans="1:8" s="28" customFormat="1" ht="24.75" customHeight="1">
      <c r="A70" s="75"/>
      <c r="B70" s="76"/>
      <c r="C70" s="77" t="s">
        <v>144</v>
      </c>
      <c r="D70" s="80" t="s">
        <v>175</v>
      </c>
      <c r="E70" s="74">
        <v>0</v>
      </c>
      <c r="F70" s="74">
        <v>150</v>
      </c>
      <c r="G70" s="74">
        <v>138.46</v>
      </c>
      <c r="H70" s="100">
        <f t="shared" si="0"/>
        <v>92.30666666666667</v>
      </c>
    </row>
    <row r="71" spans="1:8" s="28" customFormat="1" ht="24" customHeight="1">
      <c r="A71" s="75"/>
      <c r="B71" s="76" t="s">
        <v>42</v>
      </c>
      <c r="C71" s="83"/>
      <c r="D71" s="80" t="s">
        <v>43</v>
      </c>
      <c r="E71" s="74">
        <f>SUM(E72:E73)</f>
        <v>11030735</v>
      </c>
      <c r="F71" s="74">
        <f>SUM(F72:F73)</f>
        <v>10030406</v>
      </c>
      <c r="G71" s="74">
        <f>SUM(G72:G73)</f>
        <v>10073216.56</v>
      </c>
      <c r="H71" s="100">
        <f t="shared" si="0"/>
        <v>100.4268078480572</v>
      </c>
    </row>
    <row r="72" spans="1:8" s="28" customFormat="1" ht="21" customHeight="1">
      <c r="A72" s="75"/>
      <c r="B72" s="76"/>
      <c r="C72" s="77" t="s">
        <v>153</v>
      </c>
      <c r="D72" s="80" t="s">
        <v>44</v>
      </c>
      <c r="E72" s="74">
        <v>10030735</v>
      </c>
      <c r="F72" s="74">
        <v>9030406</v>
      </c>
      <c r="G72" s="74">
        <v>9117670</v>
      </c>
      <c r="H72" s="100">
        <f t="shared" si="0"/>
        <v>100.96633528990834</v>
      </c>
    </row>
    <row r="73" spans="1:8" s="28" customFormat="1" ht="21" customHeight="1">
      <c r="A73" s="75"/>
      <c r="B73" s="76"/>
      <c r="C73" s="77" t="s">
        <v>154</v>
      </c>
      <c r="D73" s="80" t="s">
        <v>45</v>
      </c>
      <c r="E73" s="74">
        <v>1000000</v>
      </c>
      <c r="F73" s="74">
        <v>1000000</v>
      </c>
      <c r="G73" s="74">
        <v>955546.56</v>
      </c>
      <c r="H73" s="100">
        <f t="shared" si="0"/>
        <v>95.55465600000001</v>
      </c>
    </row>
    <row r="74" spans="1:8" s="8" customFormat="1" ht="21" customHeight="1">
      <c r="A74" s="34" t="s">
        <v>46</v>
      </c>
      <c r="B74" s="4"/>
      <c r="C74" s="5"/>
      <c r="D74" s="35" t="s">
        <v>47</v>
      </c>
      <c r="E74" s="69">
        <f>SUM(E75,E77,E79,E83,E81)</f>
        <v>19119259</v>
      </c>
      <c r="F74" s="69">
        <f>SUM(F75,F77,F79,F83,F81)</f>
        <v>18915782</v>
      </c>
      <c r="G74" s="69">
        <f>SUM(G75,G77,G79,G83,G81)</f>
        <v>18922144.990000002</v>
      </c>
      <c r="H74" s="11">
        <f t="shared" si="0"/>
        <v>100.0336385246986</v>
      </c>
    </row>
    <row r="75" spans="1:8" s="28" customFormat="1" ht="24" customHeight="1">
      <c r="A75" s="75"/>
      <c r="B75" s="76" t="s">
        <v>48</v>
      </c>
      <c r="C75" s="83"/>
      <c r="D75" s="80" t="s">
        <v>49</v>
      </c>
      <c r="E75" s="74">
        <f>SUM(E76)</f>
        <v>14073448</v>
      </c>
      <c r="F75" s="74">
        <f>SUM(F76)</f>
        <v>13905971</v>
      </c>
      <c r="G75" s="74">
        <f>SUM(G76)</f>
        <v>13905971</v>
      </c>
      <c r="H75" s="11">
        <f t="shared" si="0"/>
        <v>100</v>
      </c>
    </row>
    <row r="76" spans="1:8" s="28" customFormat="1" ht="21" customHeight="1">
      <c r="A76" s="75"/>
      <c r="B76" s="76"/>
      <c r="C76" s="77">
        <v>2920</v>
      </c>
      <c r="D76" s="80" t="s">
        <v>50</v>
      </c>
      <c r="E76" s="74">
        <v>14073448</v>
      </c>
      <c r="F76" s="74">
        <v>13905971</v>
      </c>
      <c r="G76" s="74">
        <v>13905971</v>
      </c>
      <c r="H76" s="11">
        <f t="shared" si="0"/>
        <v>100</v>
      </c>
    </row>
    <row r="77" spans="1:8" s="28" customFormat="1" ht="21.75" customHeight="1">
      <c r="A77" s="75"/>
      <c r="B77" s="76" t="s">
        <v>163</v>
      </c>
      <c r="C77" s="83"/>
      <c r="D77" s="80" t="s">
        <v>162</v>
      </c>
      <c r="E77" s="74">
        <f>SUM(E78)</f>
        <v>4225670</v>
      </c>
      <c r="F77" s="74">
        <f>SUM(F78)</f>
        <v>4225670</v>
      </c>
      <c r="G77" s="74">
        <f>SUM(G78)</f>
        <v>4225670</v>
      </c>
      <c r="H77" s="11">
        <f aca="true" t="shared" si="2" ref="H77:H147">G77/F77*100</f>
        <v>100</v>
      </c>
    </row>
    <row r="78" spans="1:8" s="28" customFormat="1" ht="21" customHeight="1">
      <c r="A78" s="75"/>
      <c r="B78" s="76"/>
      <c r="C78" s="77">
        <v>2920</v>
      </c>
      <c r="D78" s="80" t="s">
        <v>50</v>
      </c>
      <c r="E78" s="74">
        <v>4225670</v>
      </c>
      <c r="F78" s="166">
        <v>4225670</v>
      </c>
      <c r="G78" s="166">
        <v>4225670</v>
      </c>
      <c r="H78" s="11">
        <f t="shared" si="2"/>
        <v>100</v>
      </c>
    </row>
    <row r="79" spans="1:8" s="28" customFormat="1" ht="21" customHeight="1">
      <c r="A79" s="75"/>
      <c r="B79" s="76">
        <v>75814</v>
      </c>
      <c r="C79" s="83"/>
      <c r="D79" s="80" t="s">
        <v>51</v>
      </c>
      <c r="E79" s="74">
        <f>SUM(E80)</f>
        <v>50000</v>
      </c>
      <c r="F79" s="74">
        <f>SUM(F80)</f>
        <v>14000</v>
      </c>
      <c r="G79" s="74">
        <f>SUM(G80)</f>
        <v>12709.94</v>
      </c>
      <c r="H79" s="11">
        <f t="shared" si="2"/>
        <v>90.7852857142857</v>
      </c>
    </row>
    <row r="80" spans="1:8" s="28" customFormat="1" ht="21" customHeight="1">
      <c r="A80" s="75"/>
      <c r="B80" s="76"/>
      <c r="C80" s="77" t="s">
        <v>140</v>
      </c>
      <c r="D80" s="80" t="s">
        <v>11</v>
      </c>
      <c r="E80" s="74">
        <v>50000</v>
      </c>
      <c r="F80" s="74">
        <v>14000</v>
      </c>
      <c r="G80" s="74">
        <v>12709.94</v>
      </c>
      <c r="H80" s="11">
        <f t="shared" si="2"/>
        <v>90.7852857142857</v>
      </c>
    </row>
    <row r="81" spans="1:8" s="28" customFormat="1" ht="21" customHeight="1">
      <c r="A81" s="75"/>
      <c r="B81" s="76">
        <v>75815</v>
      </c>
      <c r="C81" s="77"/>
      <c r="D81" s="80" t="s">
        <v>541</v>
      </c>
      <c r="E81" s="74">
        <f>SUM(E82)</f>
        <v>0</v>
      </c>
      <c r="F81" s="74">
        <f>SUM(F82)</f>
        <v>0</v>
      </c>
      <c r="G81" s="74">
        <f>SUM(G82)</f>
        <v>7653.05</v>
      </c>
      <c r="H81" s="11" t="s">
        <v>535</v>
      </c>
    </row>
    <row r="82" spans="1:8" s="28" customFormat="1" ht="21" customHeight="1">
      <c r="A82" s="75"/>
      <c r="B82" s="76"/>
      <c r="C82" s="77">
        <v>2980</v>
      </c>
      <c r="D82" s="80" t="s">
        <v>541</v>
      </c>
      <c r="E82" s="74">
        <v>0</v>
      </c>
      <c r="F82" s="74">
        <v>0</v>
      </c>
      <c r="G82" s="74">
        <v>7653.05</v>
      </c>
      <c r="H82" s="11" t="s">
        <v>535</v>
      </c>
    </row>
    <row r="83" spans="1:8" s="28" customFormat="1" ht="22.5">
      <c r="A83" s="75"/>
      <c r="B83" s="76" t="s">
        <v>186</v>
      </c>
      <c r="C83" s="83"/>
      <c r="D83" s="80" t="s">
        <v>187</v>
      </c>
      <c r="E83" s="74">
        <f>SUM(E84)</f>
        <v>770141</v>
      </c>
      <c r="F83" s="74">
        <f>SUM(F84)</f>
        <v>770141</v>
      </c>
      <c r="G83" s="74">
        <f>SUM(G84)</f>
        <v>770141</v>
      </c>
      <c r="H83" s="11">
        <f t="shared" si="2"/>
        <v>100</v>
      </c>
    </row>
    <row r="84" spans="1:8" s="28" customFormat="1" ht="21" customHeight="1">
      <c r="A84" s="75"/>
      <c r="B84" s="76"/>
      <c r="C84" s="77">
        <v>2920</v>
      </c>
      <c r="D84" s="80" t="s">
        <v>50</v>
      </c>
      <c r="E84" s="74">
        <v>770141</v>
      </c>
      <c r="F84" s="74">
        <v>770141</v>
      </c>
      <c r="G84" s="74">
        <v>770141</v>
      </c>
      <c r="H84" s="11">
        <f t="shared" si="2"/>
        <v>100</v>
      </c>
    </row>
    <row r="85" spans="1:8" s="28" customFormat="1" ht="21" customHeight="1">
      <c r="A85" s="39" t="s">
        <v>95</v>
      </c>
      <c r="B85" s="40"/>
      <c r="C85" s="41"/>
      <c r="D85" s="42" t="s">
        <v>96</v>
      </c>
      <c r="E85" s="69">
        <f>SUM(E86,E95,E98,E106,E103)</f>
        <v>268995</v>
      </c>
      <c r="F85" s="69">
        <f>SUM(F86,F95,F98,F106,F103)</f>
        <v>318385</v>
      </c>
      <c r="G85" s="69">
        <f>SUM(G86,G95,G98,G106,G103)</f>
        <v>285194.77999999997</v>
      </c>
      <c r="H85" s="233">
        <f t="shared" si="2"/>
        <v>89.57544482309153</v>
      </c>
    </row>
    <row r="86" spans="1:8" s="28" customFormat="1" ht="21" customHeight="1">
      <c r="A86" s="71"/>
      <c r="B86" s="85" t="s">
        <v>97</v>
      </c>
      <c r="C86" s="88"/>
      <c r="D86" s="43" t="s">
        <v>52</v>
      </c>
      <c r="E86" s="74">
        <f>SUM(E87:E94)</f>
        <v>77684</v>
      </c>
      <c r="F86" s="74">
        <f>SUM(F87:F94)</f>
        <v>176981</v>
      </c>
      <c r="G86" s="74">
        <f>SUM(G87:G94)</f>
        <v>169635.40999999997</v>
      </c>
      <c r="H86" s="100">
        <f t="shared" si="2"/>
        <v>95.84950361903253</v>
      </c>
    </row>
    <row r="87" spans="1:8" s="28" customFormat="1" ht="21" customHeight="1">
      <c r="A87" s="85"/>
      <c r="B87" s="85"/>
      <c r="C87" s="86" t="s">
        <v>160</v>
      </c>
      <c r="D87" s="43" t="s">
        <v>124</v>
      </c>
      <c r="E87" s="74">
        <v>400</v>
      </c>
      <c r="F87" s="74">
        <v>400</v>
      </c>
      <c r="G87" s="74">
        <v>187</v>
      </c>
      <c r="H87" s="100">
        <f t="shared" si="2"/>
        <v>46.75</v>
      </c>
    </row>
    <row r="88" spans="1:8" s="28" customFormat="1" ht="67.5">
      <c r="A88" s="85"/>
      <c r="B88" s="71"/>
      <c r="C88" s="86" t="s">
        <v>139</v>
      </c>
      <c r="D88" s="43" t="s">
        <v>56</v>
      </c>
      <c r="E88" s="74">
        <v>48899</v>
      </c>
      <c r="F88" s="74">
        <v>49149</v>
      </c>
      <c r="G88" s="74">
        <v>43424.43</v>
      </c>
      <c r="H88" s="100">
        <f t="shared" si="2"/>
        <v>88.35262161997193</v>
      </c>
    </row>
    <row r="89" spans="1:8" s="28" customFormat="1" ht="21" customHeight="1">
      <c r="A89" s="85"/>
      <c r="B89" s="71"/>
      <c r="C89" s="115" t="s">
        <v>140</v>
      </c>
      <c r="D89" s="70" t="s">
        <v>11</v>
      </c>
      <c r="E89" s="74">
        <v>853</v>
      </c>
      <c r="F89" s="74">
        <v>853</v>
      </c>
      <c r="G89" s="74">
        <v>826.02</v>
      </c>
      <c r="H89" s="100">
        <f t="shared" si="2"/>
        <v>96.83704572098476</v>
      </c>
    </row>
    <row r="90" spans="1:8" s="28" customFormat="1" ht="21" customHeight="1">
      <c r="A90" s="85"/>
      <c r="B90" s="71"/>
      <c r="C90" s="115" t="s">
        <v>141</v>
      </c>
      <c r="D90" s="43" t="s">
        <v>12</v>
      </c>
      <c r="E90" s="74">
        <v>22750</v>
      </c>
      <c r="F90" s="74">
        <v>29450</v>
      </c>
      <c r="G90" s="74">
        <v>26279.53</v>
      </c>
      <c r="H90" s="100">
        <f t="shared" si="2"/>
        <v>89.23439728353141</v>
      </c>
    </row>
    <row r="91" spans="1:8" s="28" customFormat="1" ht="56.25">
      <c r="A91" s="85"/>
      <c r="B91" s="71"/>
      <c r="C91" s="115">
        <v>2010</v>
      </c>
      <c r="D91" s="80" t="s">
        <v>183</v>
      </c>
      <c r="E91" s="74">
        <v>0</v>
      </c>
      <c r="F91" s="74">
        <v>44050</v>
      </c>
      <c r="G91" s="74">
        <v>44050</v>
      </c>
      <c r="H91" s="100">
        <f t="shared" si="2"/>
        <v>100</v>
      </c>
    </row>
    <row r="92" spans="1:8" s="28" customFormat="1" ht="33.75">
      <c r="A92" s="85"/>
      <c r="B92" s="71"/>
      <c r="C92" s="115">
        <v>2030</v>
      </c>
      <c r="D92" s="80" t="s">
        <v>184</v>
      </c>
      <c r="E92" s="74">
        <v>0</v>
      </c>
      <c r="F92" s="74">
        <v>47967</v>
      </c>
      <c r="G92" s="74">
        <v>47965.2</v>
      </c>
      <c r="H92" s="100">
        <f t="shared" si="2"/>
        <v>99.99624742010131</v>
      </c>
    </row>
    <row r="93" spans="1:8" s="28" customFormat="1" ht="45">
      <c r="A93" s="85"/>
      <c r="B93" s="71"/>
      <c r="C93" s="115">
        <v>2310</v>
      </c>
      <c r="D93" s="43" t="s">
        <v>197</v>
      </c>
      <c r="E93" s="74">
        <v>4782</v>
      </c>
      <c r="F93" s="74">
        <v>4782</v>
      </c>
      <c r="G93" s="74">
        <v>6574.08</v>
      </c>
      <c r="H93" s="100">
        <f t="shared" si="2"/>
        <v>137.47553324968632</v>
      </c>
    </row>
    <row r="94" spans="1:8" s="28" customFormat="1" ht="21.75" customHeight="1">
      <c r="A94" s="85"/>
      <c r="B94" s="71"/>
      <c r="C94" s="115">
        <v>2400</v>
      </c>
      <c r="D94" s="43" t="s">
        <v>391</v>
      </c>
      <c r="E94" s="74">
        <v>0</v>
      </c>
      <c r="F94" s="74">
        <v>330</v>
      </c>
      <c r="G94" s="74">
        <v>329.15</v>
      </c>
      <c r="H94" s="100">
        <f t="shared" si="2"/>
        <v>99.74242424242424</v>
      </c>
    </row>
    <row r="95" spans="1:8" s="28" customFormat="1" ht="21" customHeight="1">
      <c r="A95" s="75"/>
      <c r="B95" s="76">
        <v>80104</v>
      </c>
      <c r="C95" s="77"/>
      <c r="D95" s="43" t="s">
        <v>103</v>
      </c>
      <c r="E95" s="74">
        <f>SUM(E96:E97)</f>
        <v>2000</v>
      </c>
      <c r="F95" s="74">
        <f>SUM(F96:F97)</f>
        <v>2000</v>
      </c>
      <c r="G95" s="74">
        <f>SUM(G96:G97)</f>
        <v>2525.86</v>
      </c>
      <c r="H95" s="100">
        <f t="shared" si="2"/>
        <v>126.293</v>
      </c>
    </row>
    <row r="96" spans="1:8" s="28" customFormat="1" ht="67.5">
      <c r="A96" s="75"/>
      <c r="B96" s="76"/>
      <c r="C96" s="77" t="s">
        <v>139</v>
      </c>
      <c r="D96" s="43" t="s">
        <v>56</v>
      </c>
      <c r="E96" s="74">
        <v>2000</v>
      </c>
      <c r="F96" s="74">
        <v>2000</v>
      </c>
      <c r="G96" s="74">
        <v>2517.36</v>
      </c>
      <c r="H96" s="100">
        <f t="shared" si="2"/>
        <v>125.868</v>
      </c>
    </row>
    <row r="97" spans="1:8" s="28" customFormat="1" ht="21.75" customHeight="1">
      <c r="A97" s="75"/>
      <c r="B97" s="76"/>
      <c r="C97" s="77" t="s">
        <v>141</v>
      </c>
      <c r="D97" s="43" t="s">
        <v>12</v>
      </c>
      <c r="E97" s="74">
        <v>0</v>
      </c>
      <c r="F97" s="74">
        <v>0</v>
      </c>
      <c r="G97" s="74">
        <v>8.5</v>
      </c>
      <c r="H97" s="100" t="s">
        <v>535</v>
      </c>
    </row>
    <row r="98" spans="1:8" s="28" customFormat="1" ht="21" customHeight="1">
      <c r="A98" s="75"/>
      <c r="B98" s="76">
        <v>80110</v>
      </c>
      <c r="C98" s="77"/>
      <c r="D98" s="43" t="s">
        <v>53</v>
      </c>
      <c r="E98" s="74">
        <f>SUM(E99:E102)</f>
        <v>8519</v>
      </c>
      <c r="F98" s="74">
        <f>SUM(F99:F102)</f>
        <v>8840</v>
      </c>
      <c r="G98" s="74">
        <f>SUM(G99:G102)</f>
        <v>7287.01</v>
      </c>
      <c r="H98" s="100">
        <f t="shared" si="2"/>
        <v>82.43223981900452</v>
      </c>
    </row>
    <row r="99" spans="1:8" s="28" customFormat="1" ht="67.5">
      <c r="A99" s="75"/>
      <c r="B99" s="76"/>
      <c r="C99" s="77" t="s">
        <v>139</v>
      </c>
      <c r="D99" s="43" t="s">
        <v>56</v>
      </c>
      <c r="E99" s="74">
        <v>8510</v>
      </c>
      <c r="F99" s="74">
        <v>8510</v>
      </c>
      <c r="G99" s="74">
        <v>6985.08</v>
      </c>
      <c r="H99" s="100">
        <f t="shared" si="2"/>
        <v>82.08084606345476</v>
      </c>
    </row>
    <row r="100" spans="1:8" s="28" customFormat="1" ht="21" customHeight="1">
      <c r="A100" s="75"/>
      <c r="B100" s="76"/>
      <c r="C100" s="77" t="s">
        <v>140</v>
      </c>
      <c r="D100" s="70" t="s">
        <v>11</v>
      </c>
      <c r="E100" s="74">
        <v>9</v>
      </c>
      <c r="F100" s="74">
        <v>9</v>
      </c>
      <c r="G100" s="74">
        <v>2.72</v>
      </c>
      <c r="H100" s="100">
        <f t="shared" si="2"/>
        <v>30.22222222222222</v>
      </c>
    </row>
    <row r="101" spans="1:8" s="28" customFormat="1" ht="21" customHeight="1">
      <c r="A101" s="75"/>
      <c r="B101" s="76"/>
      <c r="C101" s="77" t="s">
        <v>141</v>
      </c>
      <c r="D101" s="43" t="s">
        <v>12</v>
      </c>
      <c r="E101" s="74">
        <v>0</v>
      </c>
      <c r="F101" s="74">
        <v>320</v>
      </c>
      <c r="G101" s="74">
        <v>298</v>
      </c>
      <c r="H101" s="100">
        <f t="shared" si="2"/>
        <v>93.125</v>
      </c>
    </row>
    <row r="102" spans="1:8" s="28" customFormat="1" ht="22.5" customHeight="1">
      <c r="A102" s="75"/>
      <c r="B102" s="76"/>
      <c r="C102" s="77">
        <v>2400</v>
      </c>
      <c r="D102" s="43" t="s">
        <v>391</v>
      </c>
      <c r="E102" s="74">
        <v>0</v>
      </c>
      <c r="F102" s="74">
        <v>1</v>
      </c>
      <c r="G102" s="74">
        <v>1.21</v>
      </c>
      <c r="H102" s="100">
        <f t="shared" si="2"/>
        <v>121</v>
      </c>
    </row>
    <row r="103" spans="1:8" s="28" customFormat="1" ht="21" customHeight="1">
      <c r="A103" s="75"/>
      <c r="B103" s="76">
        <v>80148</v>
      </c>
      <c r="C103" s="77"/>
      <c r="D103" s="70" t="s">
        <v>239</v>
      </c>
      <c r="E103" s="74">
        <f>SUM(E104:E105)</f>
        <v>129806</v>
      </c>
      <c r="F103" s="74">
        <f>SUM(F104:F105)</f>
        <v>130036</v>
      </c>
      <c r="G103" s="74">
        <f>SUM(G104:G105)</f>
        <v>105218.5</v>
      </c>
      <c r="H103" s="100">
        <f t="shared" si="2"/>
        <v>80.91490048909533</v>
      </c>
    </row>
    <row r="104" spans="1:8" s="28" customFormat="1" ht="21" customHeight="1">
      <c r="A104" s="75"/>
      <c r="B104" s="76"/>
      <c r="C104" s="77" t="s">
        <v>171</v>
      </c>
      <c r="D104" s="70" t="s">
        <v>172</v>
      </c>
      <c r="E104" s="74">
        <v>129800</v>
      </c>
      <c r="F104" s="74">
        <v>130030</v>
      </c>
      <c r="G104" s="74">
        <v>105218.5</v>
      </c>
      <c r="H104" s="100">
        <f t="shared" si="2"/>
        <v>80.91863416134738</v>
      </c>
    </row>
    <row r="105" spans="1:8" s="28" customFormat="1" ht="21" customHeight="1">
      <c r="A105" s="75"/>
      <c r="B105" s="76"/>
      <c r="C105" s="77" t="s">
        <v>140</v>
      </c>
      <c r="D105" s="70" t="s">
        <v>11</v>
      </c>
      <c r="E105" s="74">
        <v>6</v>
      </c>
      <c r="F105" s="74">
        <v>6</v>
      </c>
      <c r="G105" s="74">
        <v>0</v>
      </c>
      <c r="H105" s="100">
        <f t="shared" si="2"/>
        <v>0</v>
      </c>
    </row>
    <row r="106" spans="1:8" s="28" customFormat="1" ht="21" customHeight="1">
      <c r="A106" s="75"/>
      <c r="B106" s="76">
        <v>80195</v>
      </c>
      <c r="C106" s="77"/>
      <c r="D106" s="70" t="s">
        <v>6</v>
      </c>
      <c r="E106" s="74">
        <f>SUM(E107)</f>
        <v>50986</v>
      </c>
      <c r="F106" s="74">
        <f>SUM(F107)</f>
        <v>528</v>
      </c>
      <c r="G106" s="74">
        <f>SUM(G107)</f>
        <v>528</v>
      </c>
      <c r="H106" s="100">
        <f t="shared" si="2"/>
        <v>100</v>
      </c>
    </row>
    <row r="107" spans="1:8" s="28" customFormat="1" ht="33.75">
      <c r="A107" s="75"/>
      <c r="B107" s="76"/>
      <c r="C107" s="77">
        <v>2030</v>
      </c>
      <c r="D107" s="80" t="s">
        <v>184</v>
      </c>
      <c r="E107" s="74">
        <v>50986</v>
      </c>
      <c r="F107" s="74">
        <v>528</v>
      </c>
      <c r="G107" s="74">
        <v>528</v>
      </c>
      <c r="H107" s="100">
        <f t="shared" si="2"/>
        <v>100</v>
      </c>
    </row>
    <row r="108" spans="1:8" s="379" customFormat="1" ht="23.25" customHeight="1">
      <c r="A108" s="167">
        <v>851</v>
      </c>
      <c r="B108" s="168"/>
      <c r="C108" s="375"/>
      <c r="D108" s="376" t="s">
        <v>59</v>
      </c>
      <c r="E108" s="377">
        <f aca="true" t="shared" si="3" ref="E108:G109">SUM(E109)</f>
        <v>0</v>
      </c>
      <c r="F108" s="377">
        <f t="shared" si="3"/>
        <v>0</v>
      </c>
      <c r="G108" s="377">
        <f t="shared" si="3"/>
        <v>5303.33</v>
      </c>
      <c r="H108" s="378" t="s">
        <v>535</v>
      </c>
    </row>
    <row r="109" spans="1:8" s="28" customFormat="1" ht="23.25" customHeight="1">
      <c r="A109" s="75"/>
      <c r="B109" s="76">
        <v>85154</v>
      </c>
      <c r="C109" s="77"/>
      <c r="D109" s="80" t="s">
        <v>55</v>
      </c>
      <c r="E109" s="74">
        <f t="shared" si="3"/>
        <v>0</v>
      </c>
      <c r="F109" s="74">
        <f t="shared" si="3"/>
        <v>0</v>
      </c>
      <c r="G109" s="74">
        <f t="shared" si="3"/>
        <v>5303.33</v>
      </c>
      <c r="H109" s="100" t="s">
        <v>535</v>
      </c>
    </row>
    <row r="110" spans="1:8" s="28" customFormat="1" ht="22.5" customHeight="1">
      <c r="A110" s="75"/>
      <c r="B110" s="76"/>
      <c r="C110" s="77" t="s">
        <v>141</v>
      </c>
      <c r="D110" s="43" t="s">
        <v>12</v>
      </c>
      <c r="E110" s="74">
        <v>0</v>
      </c>
      <c r="F110" s="74">
        <v>0</v>
      </c>
      <c r="G110" s="74">
        <v>5303.33</v>
      </c>
      <c r="H110" s="100" t="s">
        <v>535</v>
      </c>
    </row>
    <row r="111" spans="1:8" s="8" customFormat="1" ht="21" customHeight="1">
      <c r="A111" s="34" t="s">
        <v>133</v>
      </c>
      <c r="B111" s="4"/>
      <c r="C111" s="5"/>
      <c r="D111" s="35" t="s">
        <v>165</v>
      </c>
      <c r="E111" s="69">
        <f>SUM(E112,E115,E118,E122,E127,)</f>
        <v>9133600</v>
      </c>
      <c r="F111" s="69">
        <f>SUM(F112,F115,F118,F122,F127,)</f>
        <v>9237868</v>
      </c>
      <c r="G111" s="69">
        <f>SUM(G112,G115,G118,G122,G127,)</f>
        <v>9298633.08</v>
      </c>
      <c r="H111" s="233">
        <f t="shared" si="2"/>
        <v>100.6577825099904</v>
      </c>
    </row>
    <row r="112" spans="1:8" s="28" customFormat="1" ht="45">
      <c r="A112" s="75"/>
      <c r="B112" s="59">
        <v>85212</v>
      </c>
      <c r="C112" s="82"/>
      <c r="D112" s="80" t="s">
        <v>343</v>
      </c>
      <c r="E112" s="74">
        <f>SUM(E113:E114)</f>
        <v>6479100</v>
      </c>
      <c r="F112" s="74">
        <f>SUM(F113:F114)</f>
        <v>6038925</v>
      </c>
      <c r="G112" s="74">
        <f>SUM(G113:G114)</f>
        <v>6106734.02</v>
      </c>
      <c r="H112" s="100">
        <f t="shared" si="2"/>
        <v>101.12286574183318</v>
      </c>
    </row>
    <row r="113" spans="1:8" s="28" customFormat="1" ht="56.25">
      <c r="A113" s="75"/>
      <c r="B113" s="59"/>
      <c r="C113" s="82">
        <v>2010</v>
      </c>
      <c r="D113" s="80" t="s">
        <v>183</v>
      </c>
      <c r="E113" s="74">
        <v>6479100</v>
      </c>
      <c r="F113" s="74">
        <v>6038925</v>
      </c>
      <c r="G113" s="74">
        <v>6036767.59</v>
      </c>
      <c r="H113" s="100">
        <f t="shared" si="2"/>
        <v>99.96427493303858</v>
      </c>
    </row>
    <row r="114" spans="1:8" s="28" customFormat="1" ht="45">
      <c r="A114" s="75"/>
      <c r="B114" s="59"/>
      <c r="C114" s="82">
        <v>2360</v>
      </c>
      <c r="D114" s="80" t="s">
        <v>161</v>
      </c>
      <c r="E114" s="74">
        <v>0</v>
      </c>
      <c r="F114" s="74">
        <v>0</v>
      </c>
      <c r="G114" s="74">
        <v>69966.43</v>
      </c>
      <c r="H114" s="100" t="s">
        <v>535</v>
      </c>
    </row>
    <row r="115" spans="1:8" s="28" customFormat="1" ht="46.5" customHeight="1">
      <c r="A115" s="75"/>
      <c r="B115" s="59">
        <v>85213</v>
      </c>
      <c r="C115" s="83"/>
      <c r="D115" s="80" t="s">
        <v>295</v>
      </c>
      <c r="E115" s="74">
        <f>SUM(E116,E117)</f>
        <v>59100</v>
      </c>
      <c r="F115" s="74">
        <f>SUM(F116,F117)</f>
        <v>49505</v>
      </c>
      <c r="G115" s="74">
        <f>SUM(G116,G117)</f>
        <v>46756.71000000001</v>
      </c>
      <c r="H115" s="100">
        <f t="shared" si="2"/>
        <v>94.44845975154026</v>
      </c>
    </row>
    <row r="116" spans="1:8" s="28" customFormat="1" ht="56.25">
      <c r="A116" s="75"/>
      <c r="B116" s="59"/>
      <c r="C116" s="83">
        <v>2010</v>
      </c>
      <c r="D116" s="80" t="s">
        <v>183</v>
      </c>
      <c r="E116" s="74">
        <v>59100</v>
      </c>
      <c r="F116" s="74">
        <v>32505</v>
      </c>
      <c r="G116" s="74">
        <v>30280.56</v>
      </c>
      <c r="H116" s="100">
        <f t="shared" si="2"/>
        <v>93.1566220581449</v>
      </c>
    </row>
    <row r="117" spans="1:8" s="28" customFormat="1" ht="33.75">
      <c r="A117" s="75"/>
      <c r="B117" s="59"/>
      <c r="C117" s="83">
        <v>2030</v>
      </c>
      <c r="D117" s="80" t="s">
        <v>184</v>
      </c>
      <c r="E117" s="74">
        <v>0</v>
      </c>
      <c r="F117" s="74">
        <v>17000</v>
      </c>
      <c r="G117" s="74">
        <v>16476.15</v>
      </c>
      <c r="H117" s="100">
        <f t="shared" si="2"/>
        <v>96.91852941176471</v>
      </c>
    </row>
    <row r="118" spans="1:8" s="28" customFormat="1" ht="26.25" customHeight="1">
      <c r="A118" s="75"/>
      <c r="B118" s="76" t="s">
        <v>134</v>
      </c>
      <c r="C118" s="83"/>
      <c r="D118" s="80" t="s">
        <v>57</v>
      </c>
      <c r="E118" s="74">
        <f>SUM(E119:E121)</f>
        <v>1126700</v>
      </c>
      <c r="F118" s="74">
        <f>SUM(F119:F121)</f>
        <v>1252729</v>
      </c>
      <c r="G118" s="74">
        <f>SUM(G119:G121)</f>
        <v>1252817.49</v>
      </c>
      <c r="H118" s="100">
        <f t="shared" si="2"/>
        <v>100.00706377835908</v>
      </c>
    </row>
    <row r="119" spans="1:8" s="28" customFormat="1" ht="21" customHeight="1">
      <c r="A119" s="75"/>
      <c r="B119" s="76"/>
      <c r="C119" s="82" t="s">
        <v>171</v>
      </c>
      <c r="D119" s="80" t="s">
        <v>172</v>
      </c>
      <c r="E119" s="74">
        <v>2600</v>
      </c>
      <c r="F119" s="74">
        <v>16120</v>
      </c>
      <c r="G119" s="74">
        <v>16217.62</v>
      </c>
      <c r="H119" s="100">
        <f t="shared" si="2"/>
        <v>100.60558312655088</v>
      </c>
    </row>
    <row r="120" spans="1:8" s="28" customFormat="1" ht="67.5" customHeight="1">
      <c r="A120" s="75"/>
      <c r="B120" s="76"/>
      <c r="C120" s="77">
        <v>2010</v>
      </c>
      <c r="D120" s="80" t="s">
        <v>183</v>
      </c>
      <c r="E120" s="74">
        <v>468000</v>
      </c>
      <c r="F120" s="74">
        <v>245665</v>
      </c>
      <c r="G120" s="74">
        <v>245664.64</v>
      </c>
      <c r="H120" s="100">
        <f t="shared" si="2"/>
        <v>99.99985345897869</v>
      </c>
    </row>
    <row r="121" spans="1:8" s="28" customFormat="1" ht="33.75">
      <c r="A121" s="75"/>
      <c r="B121" s="76"/>
      <c r="C121" s="77">
        <v>2030</v>
      </c>
      <c r="D121" s="80" t="s">
        <v>184</v>
      </c>
      <c r="E121" s="74">
        <v>656100</v>
      </c>
      <c r="F121" s="74">
        <v>990944</v>
      </c>
      <c r="G121" s="74">
        <v>990935.23</v>
      </c>
      <c r="H121" s="100">
        <f t="shared" si="2"/>
        <v>99.99911498530693</v>
      </c>
    </row>
    <row r="122" spans="1:8" s="28" customFormat="1" ht="21" customHeight="1">
      <c r="A122" s="75"/>
      <c r="B122" s="76" t="s">
        <v>135</v>
      </c>
      <c r="C122" s="83"/>
      <c r="D122" s="80" t="s">
        <v>58</v>
      </c>
      <c r="E122" s="74">
        <f>SUM(E123:E126)</f>
        <v>602400</v>
      </c>
      <c r="F122" s="74">
        <f>SUM(F123:F126)</f>
        <v>591709</v>
      </c>
      <c r="G122" s="74">
        <f>SUM(G123:G126)</f>
        <v>592311.36</v>
      </c>
      <c r="H122" s="100">
        <f t="shared" si="2"/>
        <v>100.10180004022247</v>
      </c>
    </row>
    <row r="123" spans="1:8" s="28" customFormat="1" ht="76.5" customHeight="1">
      <c r="A123" s="75"/>
      <c r="B123" s="76"/>
      <c r="C123" s="82" t="s">
        <v>139</v>
      </c>
      <c r="D123" s="43" t="s">
        <v>56</v>
      </c>
      <c r="E123" s="74">
        <v>2800</v>
      </c>
      <c r="F123" s="74">
        <v>3430</v>
      </c>
      <c r="G123" s="74">
        <v>4004.2</v>
      </c>
      <c r="H123" s="100">
        <f t="shared" si="2"/>
        <v>116.7405247813411</v>
      </c>
    </row>
    <row r="124" spans="1:8" s="28" customFormat="1" ht="21" customHeight="1">
      <c r="A124" s="75"/>
      <c r="B124" s="76"/>
      <c r="C124" s="82" t="s">
        <v>140</v>
      </c>
      <c r="D124" s="80" t="s">
        <v>11</v>
      </c>
      <c r="E124" s="74">
        <v>1800</v>
      </c>
      <c r="F124" s="74">
        <v>248</v>
      </c>
      <c r="G124" s="74">
        <v>259.76</v>
      </c>
      <c r="H124" s="100">
        <f t="shared" si="2"/>
        <v>104.74193548387096</v>
      </c>
    </row>
    <row r="125" spans="1:8" s="28" customFormat="1" ht="21" customHeight="1">
      <c r="A125" s="75"/>
      <c r="B125" s="76"/>
      <c r="C125" s="82" t="s">
        <v>141</v>
      </c>
      <c r="D125" s="43" t="s">
        <v>12</v>
      </c>
      <c r="E125" s="74">
        <v>0</v>
      </c>
      <c r="F125" s="74">
        <v>1507</v>
      </c>
      <c r="G125" s="74">
        <v>1523.4</v>
      </c>
      <c r="H125" s="100">
        <f t="shared" si="2"/>
        <v>101.08825481088255</v>
      </c>
    </row>
    <row r="126" spans="1:8" s="28" customFormat="1" ht="33.75">
      <c r="A126" s="75"/>
      <c r="B126" s="76"/>
      <c r="C126" s="77">
        <v>2030</v>
      </c>
      <c r="D126" s="80" t="s">
        <v>184</v>
      </c>
      <c r="E126" s="74">
        <v>597800</v>
      </c>
      <c r="F126" s="74">
        <v>586524</v>
      </c>
      <c r="G126" s="74">
        <v>586524</v>
      </c>
      <c r="H126" s="100">
        <f t="shared" si="2"/>
        <v>100</v>
      </c>
    </row>
    <row r="127" spans="1:8" s="28" customFormat="1" ht="21" customHeight="1">
      <c r="A127" s="75"/>
      <c r="B127" s="76">
        <v>85295</v>
      </c>
      <c r="C127" s="77"/>
      <c r="D127" s="80" t="s">
        <v>176</v>
      </c>
      <c r="E127" s="74">
        <f>SUM(E128:E129)</f>
        <v>866300</v>
      </c>
      <c r="F127" s="74">
        <f>SUM(F128:F129)</f>
        <v>1305000</v>
      </c>
      <c r="G127" s="74">
        <f>SUM(G128:G129)</f>
        <v>1300013.5</v>
      </c>
      <c r="H127" s="100">
        <f t="shared" si="2"/>
        <v>99.61789272030651</v>
      </c>
    </row>
    <row r="128" spans="1:8" s="28" customFormat="1" ht="21" customHeight="1">
      <c r="A128" s="75"/>
      <c r="B128" s="76"/>
      <c r="C128" s="82" t="s">
        <v>171</v>
      </c>
      <c r="D128" s="80" t="s">
        <v>172</v>
      </c>
      <c r="E128" s="74">
        <v>325000</v>
      </c>
      <c r="F128" s="74">
        <v>325000</v>
      </c>
      <c r="G128" s="74">
        <v>320013.5</v>
      </c>
      <c r="H128" s="100">
        <f t="shared" si="2"/>
        <v>98.46569230769231</v>
      </c>
    </row>
    <row r="129" spans="1:8" s="28" customFormat="1" ht="33.75">
      <c r="A129" s="75"/>
      <c r="B129" s="76"/>
      <c r="C129" s="77">
        <v>2030</v>
      </c>
      <c r="D129" s="80" t="s">
        <v>184</v>
      </c>
      <c r="E129" s="74">
        <v>541300</v>
      </c>
      <c r="F129" s="74">
        <v>980000</v>
      </c>
      <c r="G129" s="74">
        <v>980000</v>
      </c>
      <c r="H129" s="100">
        <f t="shared" si="2"/>
        <v>100</v>
      </c>
    </row>
    <row r="130" spans="1:8" s="156" customFormat="1" ht="24" customHeight="1">
      <c r="A130" s="199">
        <v>853</v>
      </c>
      <c r="B130" s="211"/>
      <c r="C130" s="212"/>
      <c r="D130" s="215" t="s">
        <v>285</v>
      </c>
      <c r="E130" s="213">
        <f>SUM(E131)</f>
        <v>0</v>
      </c>
      <c r="F130" s="213">
        <f>SUM(F131)</f>
        <v>175585</v>
      </c>
      <c r="G130" s="213">
        <f>SUM(G131)</f>
        <v>169902.18</v>
      </c>
      <c r="H130" s="233">
        <f t="shared" si="2"/>
        <v>96.7634934647037</v>
      </c>
    </row>
    <row r="131" spans="1:8" s="28" customFormat="1" ht="21" customHeight="1">
      <c r="A131" s="75"/>
      <c r="B131" s="76">
        <v>85395</v>
      </c>
      <c r="C131" s="77"/>
      <c r="D131" s="80" t="s">
        <v>6</v>
      </c>
      <c r="E131" s="174">
        <f>SUM(E132:E133)</f>
        <v>0</v>
      </c>
      <c r="F131" s="174">
        <f>SUM(F132:F133)</f>
        <v>175585</v>
      </c>
      <c r="G131" s="174">
        <f>SUM(G132:G133)</f>
        <v>169902.18</v>
      </c>
      <c r="H131" s="100">
        <f t="shared" si="2"/>
        <v>96.7634934647037</v>
      </c>
    </row>
    <row r="132" spans="1:8" s="28" customFormat="1" ht="56.25">
      <c r="A132" s="75"/>
      <c r="B132" s="76"/>
      <c r="C132" s="77">
        <v>2708</v>
      </c>
      <c r="D132" s="80" t="s">
        <v>376</v>
      </c>
      <c r="E132" s="74">
        <v>0</v>
      </c>
      <c r="F132" s="74">
        <v>166757</v>
      </c>
      <c r="G132" s="74">
        <v>161073.88</v>
      </c>
      <c r="H132" s="100">
        <f t="shared" si="2"/>
        <v>96.591975149469</v>
      </c>
    </row>
    <row r="133" spans="1:8" s="28" customFormat="1" ht="56.25">
      <c r="A133" s="75"/>
      <c r="B133" s="76"/>
      <c r="C133" s="77">
        <v>2709</v>
      </c>
      <c r="D133" s="80" t="s">
        <v>376</v>
      </c>
      <c r="E133" s="74">
        <v>0</v>
      </c>
      <c r="F133" s="74">
        <v>8828</v>
      </c>
      <c r="G133" s="74">
        <v>8828.3</v>
      </c>
      <c r="H133" s="100">
        <f t="shared" si="2"/>
        <v>100.00339827820571</v>
      </c>
    </row>
    <row r="134" spans="1:8" s="156" customFormat="1" ht="21" customHeight="1">
      <c r="A134" s="199">
        <v>854</v>
      </c>
      <c r="B134" s="211"/>
      <c r="C134" s="212"/>
      <c r="D134" s="42" t="s">
        <v>59</v>
      </c>
      <c r="E134" s="213">
        <f aca="true" t="shared" si="4" ref="E134:G135">SUM(E135)</f>
        <v>0</v>
      </c>
      <c r="F134" s="213">
        <f t="shared" si="4"/>
        <v>490631</v>
      </c>
      <c r="G134" s="213">
        <f t="shared" si="4"/>
        <v>470366.46</v>
      </c>
      <c r="H134" s="233">
        <f t="shared" si="2"/>
        <v>95.8696984087838</v>
      </c>
    </row>
    <row r="135" spans="1:8" s="28" customFormat="1" ht="21" customHeight="1">
      <c r="A135" s="75"/>
      <c r="B135" s="76">
        <v>85415</v>
      </c>
      <c r="C135" s="77"/>
      <c r="D135" s="43" t="s">
        <v>196</v>
      </c>
      <c r="E135" s="87">
        <f t="shared" si="4"/>
        <v>0</v>
      </c>
      <c r="F135" s="87">
        <f t="shared" si="4"/>
        <v>490631</v>
      </c>
      <c r="G135" s="87">
        <f t="shared" si="4"/>
        <v>470366.46</v>
      </c>
      <c r="H135" s="100">
        <f t="shared" si="2"/>
        <v>95.8696984087838</v>
      </c>
    </row>
    <row r="136" spans="1:8" s="28" customFormat="1" ht="33.75">
      <c r="A136" s="75"/>
      <c r="B136" s="76"/>
      <c r="C136" s="77">
        <v>2030</v>
      </c>
      <c r="D136" s="80" t="s">
        <v>184</v>
      </c>
      <c r="E136" s="74">
        <v>0</v>
      </c>
      <c r="F136" s="74">
        <v>490631</v>
      </c>
      <c r="G136" s="74">
        <v>470366.46</v>
      </c>
      <c r="H136" s="100">
        <f t="shared" si="2"/>
        <v>95.8696984087838</v>
      </c>
    </row>
    <row r="137" spans="1:8" s="9" customFormat="1" ht="24" customHeight="1">
      <c r="A137" s="34">
        <v>900</v>
      </c>
      <c r="B137" s="37"/>
      <c r="C137" s="38"/>
      <c r="D137" s="35" t="s">
        <v>60</v>
      </c>
      <c r="E137" s="69">
        <f>SUM(E142,E138,E140)</f>
        <v>16000</v>
      </c>
      <c r="F137" s="69">
        <f>SUM(F142,F138,F140)</f>
        <v>25455</v>
      </c>
      <c r="G137" s="69">
        <f>SUM(G142,G138,G140)</f>
        <v>24445.36</v>
      </c>
      <c r="H137" s="233">
        <f t="shared" si="2"/>
        <v>96.03362797092909</v>
      </c>
    </row>
    <row r="138" spans="1:8" s="161" customFormat="1" ht="21" customHeight="1">
      <c r="A138" s="163"/>
      <c r="B138" s="164">
        <v>90001</v>
      </c>
      <c r="C138" s="165"/>
      <c r="D138" s="43" t="s">
        <v>61</v>
      </c>
      <c r="E138" s="166">
        <f>SUM(E139)</f>
        <v>10000</v>
      </c>
      <c r="F138" s="166">
        <f>SUM(F139)</f>
        <v>15000</v>
      </c>
      <c r="G138" s="166">
        <f>SUM(G139)</f>
        <v>13990.77</v>
      </c>
      <c r="H138" s="100">
        <f t="shared" si="2"/>
        <v>93.2718</v>
      </c>
    </row>
    <row r="139" spans="1:8" s="161" customFormat="1" ht="21" customHeight="1">
      <c r="A139" s="167"/>
      <c r="B139" s="168"/>
      <c r="C139" s="82" t="s">
        <v>141</v>
      </c>
      <c r="D139" s="80" t="s">
        <v>12</v>
      </c>
      <c r="E139" s="166">
        <v>10000</v>
      </c>
      <c r="F139" s="166">
        <v>15000</v>
      </c>
      <c r="G139" s="166">
        <v>13990.77</v>
      </c>
      <c r="H139" s="100">
        <f t="shared" si="2"/>
        <v>93.2718</v>
      </c>
    </row>
    <row r="140" spans="1:8" s="161" customFormat="1" ht="33.75">
      <c r="A140" s="167"/>
      <c r="B140" s="164">
        <v>90020</v>
      </c>
      <c r="C140" s="82"/>
      <c r="D140" s="80" t="s">
        <v>484</v>
      </c>
      <c r="E140" s="174">
        <f>SUM(E141)</f>
        <v>0</v>
      </c>
      <c r="F140" s="174">
        <f>SUM(F141)</f>
        <v>4455</v>
      </c>
      <c r="G140" s="174">
        <f>SUM(G141)</f>
        <v>4454.59</v>
      </c>
      <c r="H140" s="100">
        <f t="shared" si="2"/>
        <v>99.99079685746352</v>
      </c>
    </row>
    <row r="141" spans="1:8" s="161" customFormat="1" ht="21" customHeight="1">
      <c r="A141" s="167"/>
      <c r="B141" s="168"/>
      <c r="C141" s="82" t="s">
        <v>471</v>
      </c>
      <c r="D141" s="80" t="s">
        <v>479</v>
      </c>
      <c r="E141" s="166">
        <v>0</v>
      </c>
      <c r="F141" s="166">
        <v>4455</v>
      </c>
      <c r="G141" s="166">
        <v>4454.59</v>
      </c>
      <c r="H141" s="100">
        <f t="shared" si="2"/>
        <v>99.99079685746352</v>
      </c>
    </row>
    <row r="142" spans="1:8" s="28" customFormat="1" ht="21" customHeight="1">
      <c r="A142" s="75"/>
      <c r="B142" s="76">
        <v>90095</v>
      </c>
      <c r="C142" s="77"/>
      <c r="D142" s="80" t="s">
        <v>6</v>
      </c>
      <c r="E142" s="74">
        <f>SUM(E143)</f>
        <v>6000</v>
      </c>
      <c r="F142" s="74">
        <f>SUM(F143)</f>
        <v>6000</v>
      </c>
      <c r="G142" s="74">
        <f>SUM(G143)</f>
        <v>6000</v>
      </c>
      <c r="H142" s="100">
        <f t="shared" si="2"/>
        <v>100</v>
      </c>
    </row>
    <row r="143" spans="1:8" s="28" customFormat="1" ht="21" customHeight="1">
      <c r="A143" s="75"/>
      <c r="B143" s="76"/>
      <c r="C143" s="77" t="s">
        <v>155</v>
      </c>
      <c r="D143" s="80" t="s">
        <v>237</v>
      </c>
      <c r="E143" s="74">
        <v>6000</v>
      </c>
      <c r="F143" s="74">
        <v>6000</v>
      </c>
      <c r="G143" s="74">
        <v>6000</v>
      </c>
      <c r="H143" s="100">
        <f t="shared" si="2"/>
        <v>100</v>
      </c>
    </row>
    <row r="144" spans="1:8" s="9" customFormat="1" ht="24" customHeight="1">
      <c r="A144" s="34" t="s">
        <v>62</v>
      </c>
      <c r="B144" s="4"/>
      <c r="C144" s="5"/>
      <c r="D144" s="35" t="s">
        <v>68</v>
      </c>
      <c r="E144" s="69">
        <f>SUM(E145,E147)</f>
        <v>60000</v>
      </c>
      <c r="F144" s="69">
        <f>SUM(F145,F147)</f>
        <v>69350</v>
      </c>
      <c r="G144" s="69">
        <f>SUM(G145,G147)</f>
        <v>69349.97</v>
      </c>
      <c r="H144" s="233">
        <f t="shared" si="2"/>
        <v>99.99995674116799</v>
      </c>
    </row>
    <row r="145" spans="1:8" s="161" customFormat="1" ht="21" customHeight="1">
      <c r="A145" s="163"/>
      <c r="B145" s="171">
        <v>92105</v>
      </c>
      <c r="C145" s="176"/>
      <c r="D145" s="216" t="s">
        <v>346</v>
      </c>
      <c r="E145" s="166">
        <f>SUM(E146)</f>
        <v>0</v>
      </c>
      <c r="F145" s="166">
        <f>SUM(F146)</f>
        <v>9350</v>
      </c>
      <c r="G145" s="166">
        <f>SUM(G146)</f>
        <v>9349.97</v>
      </c>
      <c r="H145" s="100">
        <f t="shared" si="2"/>
        <v>99.99967914438503</v>
      </c>
    </row>
    <row r="146" spans="1:8" s="161" customFormat="1" ht="51" customHeight="1">
      <c r="A146" s="163"/>
      <c r="B146" s="171"/>
      <c r="C146" s="176">
        <v>2320</v>
      </c>
      <c r="D146" s="80" t="s">
        <v>185</v>
      </c>
      <c r="E146" s="166">
        <v>0</v>
      </c>
      <c r="F146" s="166">
        <v>9350</v>
      </c>
      <c r="G146" s="166">
        <v>9349.97</v>
      </c>
      <c r="H146" s="100">
        <f t="shared" si="2"/>
        <v>99.99967914438503</v>
      </c>
    </row>
    <row r="147" spans="1:8" s="28" customFormat="1" ht="18.75" customHeight="1">
      <c r="A147" s="75"/>
      <c r="B147" s="76" t="s">
        <v>63</v>
      </c>
      <c r="C147" s="83"/>
      <c r="D147" s="80" t="s">
        <v>64</v>
      </c>
      <c r="E147" s="74">
        <f>SUM(E148)</f>
        <v>60000</v>
      </c>
      <c r="F147" s="74">
        <f>SUM(F148)</f>
        <v>60000</v>
      </c>
      <c r="G147" s="74">
        <f>SUM(G148)</f>
        <v>60000</v>
      </c>
      <c r="H147" s="100">
        <f t="shared" si="2"/>
        <v>100</v>
      </c>
    </row>
    <row r="148" spans="1:8" s="28" customFormat="1" ht="54.75" customHeight="1">
      <c r="A148" s="76"/>
      <c r="B148" s="76"/>
      <c r="C148" s="77">
        <v>2320</v>
      </c>
      <c r="D148" s="80" t="s">
        <v>185</v>
      </c>
      <c r="E148" s="74">
        <v>60000</v>
      </c>
      <c r="F148" s="74">
        <v>60000</v>
      </c>
      <c r="G148" s="74">
        <v>60000</v>
      </c>
      <c r="H148" s="100">
        <f>G148/F148*100</f>
        <v>100</v>
      </c>
    </row>
    <row r="149" spans="1:8" s="156" customFormat="1" ht="30" customHeight="1">
      <c r="A149" s="211">
        <v>926</v>
      </c>
      <c r="B149" s="211"/>
      <c r="C149" s="211"/>
      <c r="D149" s="42" t="s">
        <v>113</v>
      </c>
      <c r="E149" s="213">
        <f>SUM(E152,E150)</f>
        <v>0</v>
      </c>
      <c r="F149" s="213">
        <f>SUM(F152,F150)</f>
        <v>3200</v>
      </c>
      <c r="G149" s="213">
        <f>SUM(G152,G150)</f>
        <v>15883.45</v>
      </c>
      <c r="H149" s="233">
        <f>G149/F149*100</f>
        <v>496.3578125000001</v>
      </c>
    </row>
    <row r="150" spans="1:8" s="161" customFormat="1" ht="20.25" customHeight="1">
      <c r="A150" s="164"/>
      <c r="B150" s="164">
        <v>92601</v>
      </c>
      <c r="C150" s="164"/>
      <c r="D150" s="43" t="s">
        <v>240</v>
      </c>
      <c r="E150" s="174">
        <f>SUM(E151)</f>
        <v>0</v>
      </c>
      <c r="F150" s="174">
        <f>SUM(F151)</f>
        <v>0</v>
      </c>
      <c r="G150" s="174">
        <f>SUM(G151)</f>
        <v>12683.45</v>
      </c>
      <c r="H150" s="329" t="s">
        <v>535</v>
      </c>
    </row>
    <row r="151" spans="1:8" s="161" customFormat="1" ht="33.75">
      <c r="A151" s="164"/>
      <c r="B151" s="164"/>
      <c r="C151" s="164" t="s">
        <v>536</v>
      </c>
      <c r="D151" s="230" t="s">
        <v>537</v>
      </c>
      <c r="E151" s="174">
        <v>0</v>
      </c>
      <c r="F151" s="174">
        <v>0</v>
      </c>
      <c r="G151" s="174">
        <v>12683.45</v>
      </c>
      <c r="H151" s="329" t="s">
        <v>535</v>
      </c>
    </row>
    <row r="152" spans="1:8" s="28" customFormat="1" ht="23.25" customHeight="1">
      <c r="A152" s="76"/>
      <c r="B152" s="76">
        <v>92605</v>
      </c>
      <c r="C152" s="76"/>
      <c r="D152" s="43" t="s">
        <v>66</v>
      </c>
      <c r="E152" s="87">
        <f>SUM(E153)</f>
        <v>0</v>
      </c>
      <c r="F152" s="87">
        <f>SUM(F153)</f>
        <v>3200</v>
      </c>
      <c r="G152" s="87">
        <f>SUM(G153)</f>
        <v>3200</v>
      </c>
      <c r="H152" s="100">
        <f>G152/F152*100</f>
        <v>100</v>
      </c>
    </row>
    <row r="153" spans="1:8" s="28" customFormat="1" ht="52.5" customHeight="1">
      <c r="A153" s="76"/>
      <c r="B153" s="76"/>
      <c r="C153" s="76">
        <v>2320</v>
      </c>
      <c r="D153" s="80" t="s">
        <v>185</v>
      </c>
      <c r="E153" s="74">
        <v>0</v>
      </c>
      <c r="F153" s="74">
        <v>3200</v>
      </c>
      <c r="G153" s="74">
        <v>3200</v>
      </c>
      <c r="H153" s="100">
        <f>G153/F153*100</f>
        <v>100</v>
      </c>
    </row>
    <row r="154" spans="1:8" ht="26.25" customHeight="1">
      <c r="A154" s="17"/>
      <c r="B154" s="18"/>
      <c r="C154" s="19"/>
      <c r="D154" s="20" t="s">
        <v>67</v>
      </c>
      <c r="E154" s="69">
        <f>SUM(E8,E14,E27,E33,E38,E42,E74,E111,E137,E144,E85,E134,E24,E149,E130,E108)</f>
        <v>57456085</v>
      </c>
      <c r="F154" s="69">
        <f>SUM(F8,F14,F27,F33,F38,F42,F74,F111,F137,F144,F85,F134,F24,F149,F130,F108)</f>
        <v>57784558</v>
      </c>
      <c r="G154" s="69">
        <f>SUM(G8,G14,G27,G33,G38,G42,G74,G111,G137,G144,G85,G134,G24,G149,G130,G108)</f>
        <v>55782383.47</v>
      </c>
      <c r="H154" s="233">
        <f>G154/F154*100</f>
        <v>96.53510453432905</v>
      </c>
    </row>
    <row r="155" ht="17.25" customHeight="1"/>
    <row r="156" ht="12.75">
      <c r="D156" s="95"/>
    </row>
    <row r="157" ht="12.75">
      <c r="D157" s="95"/>
    </row>
    <row r="158" ht="12.75">
      <c r="D158" s="95"/>
    </row>
    <row r="159" ht="12.75">
      <c r="D159" s="95"/>
    </row>
    <row r="160" ht="12.75">
      <c r="D160" s="95"/>
    </row>
    <row r="161" ht="12.75">
      <c r="D161" s="95"/>
    </row>
    <row r="162" ht="12.75">
      <c r="D162" s="95"/>
    </row>
    <row r="163" spans="4:7" ht="12.75">
      <c r="D163" s="95"/>
      <c r="F163" s="160"/>
      <c r="G163" s="160"/>
    </row>
    <row r="164" spans="4:7" ht="12.75">
      <c r="D164" s="95"/>
      <c r="F164" s="315"/>
      <c r="G164" s="315"/>
    </row>
    <row r="165" spans="4:7" ht="12.75">
      <c r="D165" s="95"/>
      <c r="F165" s="315"/>
      <c r="G165" s="315"/>
    </row>
    <row r="166" spans="4:7" ht="12.75">
      <c r="D166" s="95"/>
      <c r="F166" s="315"/>
      <c r="G166" s="315"/>
    </row>
    <row r="167" spans="4:7" ht="12.75">
      <c r="D167" s="95"/>
      <c r="F167" s="315"/>
      <c r="G167" s="315"/>
    </row>
    <row r="168" spans="4:7" ht="12.75">
      <c r="D168" s="95"/>
      <c r="F168" s="315"/>
      <c r="G168" s="315"/>
    </row>
    <row r="169" spans="4:7" ht="12.75">
      <c r="D169" s="95"/>
      <c r="F169" s="315"/>
      <c r="G169" s="315"/>
    </row>
    <row r="170" spans="4:7" ht="12.75">
      <c r="D170" s="95"/>
      <c r="F170" s="315"/>
      <c r="G170" s="315"/>
    </row>
    <row r="171" spans="4:7" ht="12.75">
      <c r="D171" s="95"/>
      <c r="F171" s="315"/>
      <c r="G171" s="315"/>
    </row>
    <row r="172" spans="4:7" ht="12.75">
      <c r="D172" s="95"/>
      <c r="F172" s="160"/>
      <c r="G172" s="160"/>
    </row>
    <row r="173" spans="4:7" ht="12.75">
      <c r="D173" s="95"/>
      <c r="F173" s="315"/>
      <c r="G173" s="315"/>
    </row>
    <row r="174" spans="4:7" ht="12.75">
      <c r="D174" s="95"/>
      <c r="F174" s="315"/>
      <c r="G174" s="315"/>
    </row>
    <row r="175" ht="12.75">
      <c r="D175" s="95"/>
    </row>
    <row r="176" ht="12.75">
      <c r="D176" s="95"/>
    </row>
    <row r="177" ht="12.75">
      <c r="D177" s="95"/>
    </row>
    <row r="178" ht="12.75">
      <c r="D178" s="95"/>
    </row>
    <row r="179" ht="12.75">
      <c r="D179" s="95"/>
    </row>
    <row r="180" spans="4:7" ht="12.75">
      <c r="D180" s="95"/>
      <c r="E180" s="160"/>
      <c r="F180" s="160"/>
      <c r="G180" s="160"/>
    </row>
    <row r="181" ht="12.75">
      <c r="D181" s="95"/>
    </row>
    <row r="182" ht="12.75">
      <c r="D182" s="95"/>
    </row>
    <row r="183" spans="1:4" ht="12.75">
      <c r="A183" s="207"/>
      <c r="B183" s="207"/>
      <c r="C183" s="207"/>
      <c r="D183" s="94"/>
    </row>
    <row r="184" spans="3:4" ht="12.75">
      <c r="C184" s="207"/>
      <c r="D184" s="94"/>
    </row>
    <row r="185" ht="12.75">
      <c r="D185" s="95"/>
    </row>
    <row r="186" ht="12.75">
      <c r="D186" s="94"/>
    </row>
    <row r="199" spans="5:7" ht="12.75">
      <c r="E199" s="63"/>
      <c r="F199" s="63"/>
      <c r="G199" s="63"/>
    </row>
    <row r="200" spans="5:7" ht="12.75">
      <c r="E200" s="63"/>
      <c r="F200" s="63"/>
      <c r="G200" s="63"/>
    </row>
  </sheetData>
  <sheetProtection/>
  <mergeCells count="7">
    <mergeCell ref="A6:A7"/>
    <mergeCell ref="G6:H6"/>
    <mergeCell ref="E6:E7"/>
    <mergeCell ref="F6:F7"/>
    <mergeCell ref="D6:D7"/>
    <mergeCell ref="C6:C7"/>
    <mergeCell ref="B6:B7"/>
  </mergeCells>
  <printOptions horizontalCentered="1"/>
  <pageMargins left="0.31496062992125984" right="0.3937007874015748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5.125" style="28" customWidth="1"/>
    <col min="2" max="2" width="38.75390625" style="28" customWidth="1"/>
    <col min="3" max="3" width="14.125" style="28" customWidth="1"/>
    <col min="4" max="4" width="14.875" style="28" customWidth="1"/>
    <col min="5" max="6" width="15.125" style="28" customWidth="1"/>
    <col min="7" max="7" width="14.375" style="28" customWidth="1"/>
    <col min="8" max="8" width="14.00390625" style="28" customWidth="1"/>
  </cols>
  <sheetData>
    <row r="1" spans="3:8" ht="12.75">
      <c r="C1" s="68"/>
      <c r="D1" s="68"/>
      <c r="E1" s="68"/>
      <c r="F1" s="68"/>
      <c r="G1" s="68" t="s">
        <v>551</v>
      </c>
      <c r="H1" s="68"/>
    </row>
    <row r="2" spans="3:8" ht="12.75">
      <c r="C2" s="68"/>
      <c r="D2" s="68"/>
      <c r="E2" s="68"/>
      <c r="F2" s="68"/>
      <c r="G2" s="68" t="s">
        <v>509</v>
      </c>
      <c r="H2" s="68"/>
    </row>
    <row r="3" spans="3:8" ht="12.75">
      <c r="C3" s="68"/>
      <c r="D3" s="68"/>
      <c r="E3" s="68"/>
      <c r="F3" s="68"/>
      <c r="G3" s="68" t="s">
        <v>503</v>
      </c>
      <c r="H3" s="68"/>
    </row>
    <row r="4" spans="3:8" ht="12.75">
      <c r="C4" s="68"/>
      <c r="D4" s="68"/>
      <c r="E4" s="68"/>
      <c r="F4" s="68"/>
      <c r="G4" s="68" t="s">
        <v>510</v>
      </c>
      <c r="H4" s="68"/>
    </row>
    <row r="5" spans="3:7" ht="12.75">
      <c r="C5" s="68"/>
      <c r="E5" s="68"/>
      <c r="G5" s="68"/>
    </row>
    <row r="6" spans="1:3" s="33" customFormat="1" ht="21.75" customHeight="1">
      <c r="A6" s="450" t="s">
        <v>540</v>
      </c>
      <c r="B6" s="450"/>
      <c r="C6" s="450"/>
    </row>
    <row r="7" spans="1:7" s="33" customFormat="1" ht="12" customHeight="1">
      <c r="A7" s="98"/>
      <c r="B7" s="98"/>
      <c r="C7" s="98"/>
      <c r="E7" s="98"/>
      <c r="G7" s="98"/>
    </row>
    <row r="8" spans="1:8" s="9" customFormat="1" ht="24" customHeight="1">
      <c r="A8" s="441" t="s">
        <v>2</v>
      </c>
      <c r="B8" s="441" t="s">
        <v>3</v>
      </c>
      <c r="C8" s="448" t="s">
        <v>120</v>
      </c>
      <c r="D8" s="448"/>
      <c r="E8" s="448" t="s">
        <v>320</v>
      </c>
      <c r="F8" s="448"/>
      <c r="G8" s="448" t="s">
        <v>519</v>
      </c>
      <c r="H8" s="448"/>
    </row>
    <row r="9" spans="1:8" s="9" customFormat="1" ht="24" customHeight="1">
      <c r="A9" s="441"/>
      <c r="B9" s="441"/>
      <c r="C9" s="99" t="s">
        <v>121</v>
      </c>
      <c r="D9" s="99" t="s">
        <v>122</v>
      </c>
      <c r="E9" s="99" t="s">
        <v>121</v>
      </c>
      <c r="F9" s="99" t="s">
        <v>122</v>
      </c>
      <c r="G9" s="99" t="s">
        <v>121</v>
      </c>
      <c r="H9" s="99" t="s">
        <v>122</v>
      </c>
    </row>
    <row r="10" spans="1:8" s="9" customFormat="1" ht="42" customHeight="1">
      <c r="A10" s="2">
        <v>952</v>
      </c>
      <c r="B10" s="50" t="s">
        <v>127</v>
      </c>
      <c r="C10" s="11">
        <f>14904691-1488500</f>
        <v>13416191</v>
      </c>
      <c r="D10" s="11">
        <v>0</v>
      </c>
      <c r="E10" s="11">
        <v>13351352</v>
      </c>
      <c r="F10" s="11">
        <v>0</v>
      </c>
      <c r="G10" s="11">
        <v>10089000</v>
      </c>
      <c r="H10" s="11">
        <v>0</v>
      </c>
    </row>
    <row r="11" spans="1:8" s="9" customFormat="1" ht="42" customHeight="1">
      <c r="A11" s="2">
        <v>955</v>
      </c>
      <c r="B11" s="50" t="s">
        <v>539</v>
      </c>
      <c r="C11" s="11">
        <v>0</v>
      </c>
      <c r="D11" s="11">
        <v>0</v>
      </c>
      <c r="E11" s="11">
        <v>0</v>
      </c>
      <c r="F11" s="11">
        <v>0</v>
      </c>
      <c r="G11" s="11">
        <v>390479.01</v>
      </c>
      <c r="H11" s="11">
        <v>0</v>
      </c>
    </row>
    <row r="12" spans="1:8" s="9" customFormat="1" ht="36" customHeight="1">
      <c r="A12" s="2">
        <v>982</v>
      </c>
      <c r="B12" s="50" t="s">
        <v>174</v>
      </c>
      <c r="C12" s="11">
        <v>0</v>
      </c>
      <c r="D12" s="11">
        <v>450000</v>
      </c>
      <c r="E12" s="11">
        <v>0</v>
      </c>
      <c r="F12" s="11">
        <v>450000</v>
      </c>
      <c r="G12" s="11">
        <v>0</v>
      </c>
      <c r="H12" s="11">
        <v>450000</v>
      </c>
    </row>
    <row r="13" spans="1:8" s="9" customFormat="1" ht="49.5" customHeight="1">
      <c r="A13" s="2">
        <v>992</v>
      </c>
      <c r="B13" s="50" t="s">
        <v>123</v>
      </c>
      <c r="C13" s="11">
        <v>0</v>
      </c>
      <c r="D13" s="11">
        <v>3273000</v>
      </c>
      <c r="E13" s="11">
        <v>0</v>
      </c>
      <c r="F13" s="11">
        <v>3273000</v>
      </c>
      <c r="G13" s="11">
        <v>0</v>
      </c>
      <c r="H13" s="11">
        <v>3273000</v>
      </c>
    </row>
    <row r="14" spans="1:8" s="9" customFormat="1" ht="25.5" customHeight="1">
      <c r="A14" s="104"/>
      <c r="B14" s="96" t="s">
        <v>67</v>
      </c>
      <c r="C14" s="11">
        <f aca="true" t="shared" si="0" ref="C14:H14">SUM(C10:C13)</f>
        <v>13416191</v>
      </c>
      <c r="D14" s="11">
        <f t="shared" si="0"/>
        <v>3723000</v>
      </c>
      <c r="E14" s="11">
        <f t="shared" si="0"/>
        <v>13351352</v>
      </c>
      <c r="F14" s="11">
        <f t="shared" si="0"/>
        <v>3723000</v>
      </c>
      <c r="G14" s="11">
        <f t="shared" si="0"/>
        <v>10479479.01</v>
      </c>
      <c r="H14" s="11">
        <f t="shared" si="0"/>
        <v>3723000</v>
      </c>
    </row>
    <row r="15" spans="2:8" s="9" customFormat="1" ht="24.75" customHeight="1">
      <c r="B15" s="2" t="s">
        <v>300</v>
      </c>
      <c r="C15" s="449">
        <f>SUM(C14-D14)</f>
        <v>9693191</v>
      </c>
      <c r="D15" s="449"/>
      <c r="E15" s="449">
        <f>E14-F14</f>
        <v>9628352</v>
      </c>
      <c r="F15" s="449"/>
      <c r="G15" s="449">
        <f>SUM(G14-H14)</f>
        <v>6756479.01</v>
      </c>
      <c r="H15" s="449"/>
    </row>
    <row r="19" spans="4:8" ht="12.75">
      <c r="D19" s="109"/>
      <c r="F19" s="109"/>
      <c r="H19" s="109"/>
    </row>
  </sheetData>
  <sheetProtection/>
  <mergeCells count="9">
    <mergeCell ref="G8:H8"/>
    <mergeCell ref="G15:H15"/>
    <mergeCell ref="E8:F8"/>
    <mergeCell ref="E15:F15"/>
    <mergeCell ref="A6:C6"/>
    <mergeCell ref="A8:A9"/>
    <mergeCell ref="B8:B9"/>
    <mergeCell ref="C8:D8"/>
    <mergeCell ref="C15:D15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75" sqref="E75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30.375" style="0" customWidth="1"/>
    <col min="4" max="4" width="13.875" style="0" customWidth="1"/>
    <col min="5" max="5" width="11.75390625" style="0" bestFit="1" customWidth="1"/>
    <col min="6" max="6" width="13.00390625" style="0" customWidth="1"/>
    <col min="7" max="9" width="11.75390625" style="0" bestFit="1" customWidth="1"/>
    <col min="10" max="10" width="11.625" style="0" bestFit="1" customWidth="1"/>
    <col min="11" max="11" width="13.25390625" style="0" customWidth="1"/>
  </cols>
  <sheetData>
    <row r="1" spans="7:10" ht="12.75">
      <c r="G1" s="68"/>
      <c r="H1" s="68"/>
      <c r="I1" s="68"/>
      <c r="J1" s="68" t="s">
        <v>552</v>
      </c>
    </row>
    <row r="2" spans="7:10" ht="12.75">
      <c r="G2" s="68"/>
      <c r="H2" s="68"/>
      <c r="I2" s="68"/>
      <c r="J2" s="68" t="s">
        <v>509</v>
      </c>
    </row>
    <row r="3" spans="7:10" ht="12.75">
      <c r="G3" s="68"/>
      <c r="H3" s="68"/>
      <c r="I3" s="68"/>
      <c r="J3" s="68" t="s">
        <v>503</v>
      </c>
    </row>
    <row r="4" spans="7:10" ht="12.75">
      <c r="G4" s="68"/>
      <c r="H4" s="68"/>
      <c r="I4" s="68"/>
      <c r="J4" s="68" t="s">
        <v>510</v>
      </c>
    </row>
    <row r="5" spans="1:2" ht="15">
      <c r="A5" s="131" t="s">
        <v>247</v>
      </c>
      <c r="B5" s="131"/>
    </row>
    <row r="6" spans="1:2" ht="24.75" customHeight="1">
      <c r="A6" s="251" t="s">
        <v>381</v>
      </c>
      <c r="B6" s="131"/>
    </row>
    <row r="7" spans="1:2" ht="24.75" customHeight="1">
      <c r="A7" s="251"/>
      <c r="B7" s="131"/>
    </row>
    <row r="8" spans="1:11" s="133" customFormat="1" ht="22.5" customHeight="1">
      <c r="A8" s="444" t="s">
        <v>203</v>
      </c>
      <c r="B8" s="454" t="s">
        <v>242</v>
      </c>
      <c r="C8" s="444" t="s">
        <v>204</v>
      </c>
      <c r="D8" s="454" t="s">
        <v>379</v>
      </c>
      <c r="E8" s="444" t="s">
        <v>205</v>
      </c>
      <c r="F8" s="444"/>
      <c r="G8" s="451" t="s">
        <v>557</v>
      </c>
      <c r="H8" s="452"/>
      <c r="I8" s="452"/>
      <c r="J8" s="453"/>
      <c r="K8" s="454" t="s">
        <v>380</v>
      </c>
    </row>
    <row r="9" spans="1:11" s="133" customFormat="1" ht="34.5" customHeight="1">
      <c r="A9" s="444"/>
      <c r="B9" s="455"/>
      <c r="C9" s="444"/>
      <c r="D9" s="455"/>
      <c r="E9" s="132" t="s">
        <v>206</v>
      </c>
      <c r="F9" s="96" t="s">
        <v>207</v>
      </c>
      <c r="G9" s="132" t="s">
        <v>206</v>
      </c>
      <c r="H9" s="96" t="s">
        <v>208</v>
      </c>
      <c r="I9" s="96" t="s">
        <v>209</v>
      </c>
      <c r="J9" s="96" t="s">
        <v>210</v>
      </c>
      <c r="K9" s="455"/>
    </row>
    <row r="10" spans="1:11" s="135" customFormat="1" ht="14.25" customHeight="1">
      <c r="A10" s="134">
        <v>1</v>
      </c>
      <c r="B10" s="134"/>
      <c r="C10" s="134">
        <v>2</v>
      </c>
      <c r="D10" s="134"/>
      <c r="E10" s="134">
        <v>3</v>
      </c>
      <c r="F10" s="134">
        <v>4</v>
      </c>
      <c r="G10" s="134">
        <v>5</v>
      </c>
      <c r="H10" s="134">
        <v>6</v>
      </c>
      <c r="I10" s="134">
        <v>7</v>
      </c>
      <c r="J10" s="134">
        <v>8</v>
      </c>
      <c r="K10" s="134">
        <v>8</v>
      </c>
    </row>
    <row r="11" spans="1:12" s="13" customFormat="1" ht="20.25" customHeight="1">
      <c r="A11" s="147" t="s">
        <v>211</v>
      </c>
      <c r="B11" s="147"/>
      <c r="C11" s="148" t="s">
        <v>371</v>
      </c>
      <c r="D11" s="246">
        <f>SUM(D12,D13)</f>
        <v>0</v>
      </c>
      <c r="E11" s="226">
        <f aca="true" t="shared" si="0" ref="E11:J11">SUM(E12:E13)</f>
        <v>4241705</v>
      </c>
      <c r="F11" s="226">
        <f t="shared" si="0"/>
        <v>3368735</v>
      </c>
      <c r="G11" s="226">
        <f t="shared" si="0"/>
        <v>4241705</v>
      </c>
      <c r="H11" s="226">
        <f t="shared" si="0"/>
        <v>3001527</v>
      </c>
      <c r="I11" s="226">
        <f t="shared" si="0"/>
        <v>1184178</v>
      </c>
      <c r="J11" s="226">
        <f t="shared" si="0"/>
        <v>56000</v>
      </c>
      <c r="K11" s="226">
        <f>SUM(K12:K13)</f>
        <v>0</v>
      </c>
      <c r="L11" s="149"/>
    </row>
    <row r="12" spans="1:12" s="8" customFormat="1" ht="22.5" customHeight="1">
      <c r="A12" s="142"/>
      <c r="B12" s="142">
        <v>80104</v>
      </c>
      <c r="C12" s="143" t="s">
        <v>243</v>
      </c>
      <c r="D12" s="244">
        <v>0</v>
      </c>
      <c r="E12" s="227">
        <v>4228018</v>
      </c>
      <c r="F12" s="227">
        <v>3355048</v>
      </c>
      <c r="G12" s="228">
        <f>SUM(H12:J12)</f>
        <v>4228018</v>
      </c>
      <c r="H12" s="227">
        <v>3001527</v>
      </c>
      <c r="I12" s="227">
        <f>292721+872970+4800</f>
        <v>1170491</v>
      </c>
      <c r="J12" s="227">
        <f>60800-4800</f>
        <v>56000</v>
      </c>
      <c r="K12" s="227">
        <f>D12+E12-G12</f>
        <v>0</v>
      </c>
      <c r="L12" s="162"/>
    </row>
    <row r="13" spans="1:12" s="8" customFormat="1" ht="25.5">
      <c r="A13" s="144"/>
      <c r="B13" s="144">
        <v>80146</v>
      </c>
      <c r="C13" s="145" t="s">
        <v>128</v>
      </c>
      <c r="D13" s="245">
        <v>0</v>
      </c>
      <c r="E13" s="228">
        <v>13687</v>
      </c>
      <c r="F13" s="228">
        <v>13687</v>
      </c>
      <c r="G13" s="228">
        <f>SUM(H13:J13)</f>
        <v>13687</v>
      </c>
      <c r="H13" s="228">
        <v>0</v>
      </c>
      <c r="I13" s="228">
        <v>13687</v>
      </c>
      <c r="J13" s="228">
        <v>0</v>
      </c>
      <c r="K13" s="228">
        <v>0</v>
      </c>
      <c r="L13" s="162">
        <f>G12-E12</f>
        <v>0</v>
      </c>
    </row>
    <row r="14" spans="1:12" s="8" customFormat="1" ht="12.75" hidden="1">
      <c r="A14" s="218"/>
      <c r="B14" s="218"/>
      <c r="C14" s="219" t="s">
        <v>347</v>
      </c>
      <c r="D14" s="219"/>
      <c r="E14" s="229">
        <f aca="true" t="shared" si="1" ref="E14:J14">SUM(E15:E16)</f>
        <v>500</v>
      </c>
      <c r="F14" s="229">
        <f t="shared" si="1"/>
        <v>500</v>
      </c>
      <c r="G14" s="229">
        <f t="shared" si="1"/>
        <v>500</v>
      </c>
      <c r="H14" s="229">
        <f t="shared" si="1"/>
        <v>0</v>
      </c>
      <c r="I14" s="229">
        <f t="shared" si="1"/>
        <v>500</v>
      </c>
      <c r="J14" s="229">
        <f t="shared" si="1"/>
        <v>0</v>
      </c>
      <c r="K14" s="229">
        <f>SUM(K15:K16)</f>
        <v>0</v>
      </c>
      <c r="L14" s="162"/>
    </row>
    <row r="15" spans="1:12" s="8" customFormat="1" ht="12.75" hidden="1">
      <c r="A15" s="142"/>
      <c r="B15" s="142">
        <v>80104</v>
      </c>
      <c r="C15" s="143" t="s">
        <v>243</v>
      </c>
      <c r="D15" s="143"/>
      <c r="E15" s="228">
        <v>500</v>
      </c>
      <c r="F15" s="228">
        <v>500</v>
      </c>
      <c r="G15" s="228">
        <f>SUM(H15:J15)</f>
        <v>500</v>
      </c>
      <c r="H15" s="228">
        <v>0</v>
      </c>
      <c r="I15" s="228">
        <v>500</v>
      </c>
      <c r="J15" s="228">
        <v>0</v>
      </c>
      <c r="K15" s="228">
        <v>0</v>
      </c>
      <c r="L15" s="162"/>
    </row>
    <row r="16" spans="1:12" s="8" customFormat="1" ht="25.5" hidden="1">
      <c r="A16" s="144"/>
      <c r="B16" s="144">
        <v>80146</v>
      </c>
      <c r="C16" s="145" t="s">
        <v>128</v>
      </c>
      <c r="D16" s="145"/>
      <c r="E16" s="228">
        <v>0</v>
      </c>
      <c r="F16" s="228">
        <v>0</v>
      </c>
      <c r="G16" s="228">
        <f>SUM(H16:J16)</f>
        <v>0</v>
      </c>
      <c r="H16" s="228">
        <v>0</v>
      </c>
      <c r="I16" s="228">
        <v>0</v>
      </c>
      <c r="J16" s="228">
        <v>0</v>
      </c>
      <c r="K16" s="228">
        <v>0</v>
      </c>
      <c r="L16" s="162"/>
    </row>
    <row r="17" spans="1:12" s="8" customFormat="1" ht="12.75" hidden="1">
      <c r="A17" s="144"/>
      <c r="B17" s="144"/>
      <c r="C17" s="219" t="s">
        <v>372</v>
      </c>
      <c r="D17" s="243">
        <f>SUM(D18:D19)</f>
        <v>0</v>
      </c>
      <c r="E17" s="229">
        <f aca="true" t="shared" si="2" ref="E17:J17">SUM(E18:E19)</f>
        <v>4242205</v>
      </c>
      <c r="F17" s="229">
        <f t="shared" si="2"/>
        <v>3369235</v>
      </c>
      <c r="G17" s="229">
        <f t="shared" si="2"/>
        <v>4242205</v>
      </c>
      <c r="H17" s="229">
        <f t="shared" si="2"/>
        <v>3001527</v>
      </c>
      <c r="I17" s="229">
        <f t="shared" si="2"/>
        <v>1184678</v>
      </c>
      <c r="J17" s="229">
        <f t="shared" si="2"/>
        <v>56000</v>
      </c>
      <c r="K17" s="229">
        <f>SUM(K18:K19)</f>
        <v>0</v>
      </c>
      <c r="L17" s="162"/>
    </row>
    <row r="18" spans="1:12" s="8" customFormat="1" ht="12.75" hidden="1">
      <c r="A18" s="144"/>
      <c r="B18" s="142">
        <v>80104</v>
      </c>
      <c r="C18" s="143" t="s">
        <v>243</v>
      </c>
      <c r="D18" s="244">
        <v>0</v>
      </c>
      <c r="E18" s="228">
        <f aca="true" t="shared" si="3" ref="E18:J18">SUM(E12,E15)</f>
        <v>4228518</v>
      </c>
      <c r="F18" s="228">
        <f t="shared" si="3"/>
        <v>3355548</v>
      </c>
      <c r="G18" s="228">
        <f t="shared" si="3"/>
        <v>4228518</v>
      </c>
      <c r="H18" s="228">
        <f t="shared" si="3"/>
        <v>3001527</v>
      </c>
      <c r="I18" s="228">
        <f t="shared" si="3"/>
        <v>1170991</v>
      </c>
      <c r="J18" s="228">
        <f t="shared" si="3"/>
        <v>56000</v>
      </c>
      <c r="K18" s="228">
        <v>0</v>
      </c>
      <c r="L18" s="162"/>
    </row>
    <row r="19" spans="1:12" s="8" customFormat="1" ht="25.5" hidden="1">
      <c r="A19" s="144"/>
      <c r="B19" s="144">
        <v>80146</v>
      </c>
      <c r="C19" s="145" t="s">
        <v>128</v>
      </c>
      <c r="D19" s="245">
        <v>0</v>
      </c>
      <c r="E19" s="228">
        <f aca="true" t="shared" si="4" ref="E19:J19">SUM(E13,E16,)</f>
        <v>13687</v>
      </c>
      <c r="F19" s="228">
        <f t="shared" si="4"/>
        <v>13687</v>
      </c>
      <c r="G19" s="228">
        <f t="shared" si="4"/>
        <v>13687</v>
      </c>
      <c r="H19" s="228">
        <f t="shared" si="4"/>
        <v>0</v>
      </c>
      <c r="I19" s="228">
        <f t="shared" si="4"/>
        <v>13687</v>
      </c>
      <c r="J19" s="228">
        <f t="shared" si="4"/>
        <v>0</v>
      </c>
      <c r="K19" s="228">
        <v>0</v>
      </c>
      <c r="L19" s="162"/>
    </row>
    <row r="20" spans="1:12" s="8" customFormat="1" ht="12.75" hidden="1">
      <c r="A20" s="144"/>
      <c r="B20" s="144"/>
      <c r="C20" s="219" t="s">
        <v>347</v>
      </c>
      <c r="D20" s="243">
        <f>SUM(D21:D22)</f>
        <v>-272171</v>
      </c>
      <c r="E20" s="237">
        <f aca="true" t="shared" si="5" ref="E20:J20">SUM(E21:E22)</f>
        <v>0</v>
      </c>
      <c r="F20" s="237">
        <f t="shared" si="5"/>
        <v>0</v>
      </c>
      <c r="G20" s="237">
        <f t="shared" si="5"/>
        <v>0</v>
      </c>
      <c r="H20" s="237">
        <f t="shared" si="5"/>
        <v>0</v>
      </c>
      <c r="I20" s="237">
        <f t="shared" si="5"/>
        <v>-18244</v>
      </c>
      <c r="J20" s="237">
        <f t="shared" si="5"/>
        <v>18244</v>
      </c>
      <c r="K20" s="237">
        <f>SUM(K21:K22)</f>
        <v>-272171</v>
      </c>
      <c r="L20" s="162"/>
    </row>
    <row r="21" spans="1:12" s="8" customFormat="1" ht="12.75" hidden="1">
      <c r="A21" s="144"/>
      <c r="B21" s="142">
        <v>80104</v>
      </c>
      <c r="C21" s="143" t="s">
        <v>243</v>
      </c>
      <c r="D21" s="244">
        <v>-272171</v>
      </c>
      <c r="E21" s="228">
        <v>0</v>
      </c>
      <c r="F21" s="228">
        <v>0</v>
      </c>
      <c r="G21" s="228">
        <v>0</v>
      </c>
      <c r="H21" s="228">
        <v>0</v>
      </c>
      <c r="I21" s="228">
        <v>-18244</v>
      </c>
      <c r="J21" s="228">
        <v>18244</v>
      </c>
      <c r="K21" s="228">
        <v>-272171</v>
      </c>
      <c r="L21" s="162"/>
    </row>
    <row r="22" spans="1:12" s="8" customFormat="1" ht="25.5" hidden="1">
      <c r="A22" s="144"/>
      <c r="B22" s="144">
        <v>80146</v>
      </c>
      <c r="C22" s="145" t="s">
        <v>128</v>
      </c>
      <c r="D22" s="245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162"/>
    </row>
    <row r="23" spans="1:12" s="8" customFormat="1" ht="25.5" hidden="1">
      <c r="A23" s="240"/>
      <c r="B23" s="238"/>
      <c r="C23" s="250" t="s">
        <v>396</v>
      </c>
      <c r="D23" s="246">
        <f>SUM(D24:D25)</f>
        <v>-272171</v>
      </c>
      <c r="E23" s="239">
        <f aca="true" t="shared" si="6" ref="E23:J23">SUM(E24:E25)</f>
        <v>4242205</v>
      </c>
      <c r="F23" s="239">
        <f t="shared" si="6"/>
        <v>3369235</v>
      </c>
      <c r="G23" s="239">
        <f t="shared" si="6"/>
        <v>4242205</v>
      </c>
      <c r="H23" s="239">
        <f t="shared" si="6"/>
        <v>3001527</v>
      </c>
      <c r="I23" s="239">
        <f t="shared" si="6"/>
        <v>1166434</v>
      </c>
      <c r="J23" s="239">
        <f t="shared" si="6"/>
        <v>74244</v>
      </c>
      <c r="K23" s="239">
        <f>SUM(K24:K25)</f>
        <v>-272171</v>
      </c>
      <c r="L23" s="162"/>
    </row>
    <row r="24" spans="1:12" s="8" customFormat="1" ht="12.75" hidden="1">
      <c r="A24" s="144"/>
      <c r="B24" s="142">
        <v>80104</v>
      </c>
      <c r="C24" s="143" t="s">
        <v>243</v>
      </c>
      <c r="D24" s="247">
        <f>SUM(D18,D21)</f>
        <v>-272171</v>
      </c>
      <c r="E24" s="228">
        <f aca="true" t="shared" si="7" ref="E24:J24">SUM(E18,E21,)</f>
        <v>4228518</v>
      </c>
      <c r="F24" s="228">
        <f t="shared" si="7"/>
        <v>3355548</v>
      </c>
      <c r="G24" s="228">
        <f t="shared" si="7"/>
        <v>4228518</v>
      </c>
      <c r="H24" s="228">
        <f t="shared" si="7"/>
        <v>3001527</v>
      </c>
      <c r="I24" s="228">
        <f t="shared" si="7"/>
        <v>1152747</v>
      </c>
      <c r="J24" s="228">
        <f t="shared" si="7"/>
        <v>74244</v>
      </c>
      <c r="K24" s="228">
        <f>SUM(K18,K21,)</f>
        <v>-272171</v>
      </c>
      <c r="L24" s="162"/>
    </row>
    <row r="25" spans="1:12" s="8" customFormat="1" ht="25.5" hidden="1">
      <c r="A25" s="144"/>
      <c r="B25" s="144">
        <v>80146</v>
      </c>
      <c r="C25" s="145" t="s">
        <v>128</v>
      </c>
      <c r="D25" s="247">
        <f>SUM(D19,D22)</f>
        <v>0</v>
      </c>
      <c r="E25" s="228">
        <f aca="true" t="shared" si="8" ref="E25:J25">SUM(E22,E19,)</f>
        <v>13687</v>
      </c>
      <c r="F25" s="228">
        <f t="shared" si="8"/>
        <v>13687</v>
      </c>
      <c r="G25" s="228">
        <f t="shared" si="8"/>
        <v>13687</v>
      </c>
      <c r="H25" s="228">
        <f t="shared" si="8"/>
        <v>0</v>
      </c>
      <c r="I25" s="228">
        <f t="shared" si="8"/>
        <v>13687</v>
      </c>
      <c r="J25" s="228">
        <f t="shared" si="8"/>
        <v>0</v>
      </c>
      <c r="K25" s="228">
        <f>SUM(K22,K19,)</f>
        <v>0</v>
      </c>
      <c r="L25" s="162"/>
    </row>
    <row r="26" spans="1:12" s="8" customFormat="1" ht="12.75" hidden="1">
      <c r="A26" s="144"/>
      <c r="B26" s="144"/>
      <c r="C26" s="219" t="s">
        <v>347</v>
      </c>
      <c r="D26" s="243">
        <f>SUM(D27:D28)</f>
        <v>0</v>
      </c>
      <c r="E26" s="237">
        <f aca="true" t="shared" si="9" ref="E26:J26">SUM(E27:E28)</f>
        <v>49877</v>
      </c>
      <c r="F26" s="237">
        <f t="shared" si="9"/>
        <v>29877</v>
      </c>
      <c r="G26" s="237">
        <f t="shared" si="9"/>
        <v>49877</v>
      </c>
      <c r="H26" s="237">
        <f t="shared" si="9"/>
        <v>41342</v>
      </c>
      <c r="I26" s="237">
        <f t="shared" si="9"/>
        <v>45023</v>
      </c>
      <c r="J26" s="237">
        <f t="shared" si="9"/>
        <v>-36488</v>
      </c>
      <c r="K26" s="237">
        <f>SUM(K27:K28)</f>
        <v>0</v>
      </c>
      <c r="L26" s="162"/>
    </row>
    <row r="27" spans="1:12" s="8" customFormat="1" ht="12.75" hidden="1">
      <c r="A27" s="144"/>
      <c r="B27" s="142">
        <v>80104</v>
      </c>
      <c r="C27" s="143" t="s">
        <v>243</v>
      </c>
      <c r="D27" s="244">
        <v>0</v>
      </c>
      <c r="E27" s="228">
        <f>29877+20000</f>
        <v>49877</v>
      </c>
      <c r="F27" s="228">
        <v>29877</v>
      </c>
      <c r="G27" s="323">
        <f>SUM(H27:J27)</f>
        <v>49877</v>
      </c>
      <c r="H27" s="228">
        <v>41342</v>
      </c>
      <c r="I27" s="228">
        <f>36488+8535</f>
        <v>45023</v>
      </c>
      <c r="J27" s="228">
        <v>-36488</v>
      </c>
      <c r="K27" s="228">
        <v>0</v>
      </c>
      <c r="L27" s="162"/>
    </row>
    <row r="28" spans="1:12" s="8" customFormat="1" ht="25.5" hidden="1">
      <c r="A28" s="144"/>
      <c r="B28" s="144">
        <v>80146</v>
      </c>
      <c r="C28" s="145" t="s">
        <v>128</v>
      </c>
      <c r="D28" s="245"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162"/>
    </row>
    <row r="29" spans="1:12" s="8" customFormat="1" ht="25.5" hidden="1">
      <c r="A29" s="240"/>
      <c r="B29" s="238"/>
      <c r="C29" s="250" t="s">
        <v>384</v>
      </c>
      <c r="D29" s="246">
        <f>SUM(D30:D31)</f>
        <v>-272171</v>
      </c>
      <c r="E29" s="239">
        <f aca="true" t="shared" si="10" ref="E29:J29">SUM(E30:E31)</f>
        <v>4292082</v>
      </c>
      <c r="F29" s="239">
        <f t="shared" si="10"/>
        <v>3399112</v>
      </c>
      <c r="G29" s="239">
        <f t="shared" si="10"/>
        <v>4292082</v>
      </c>
      <c r="H29" s="239">
        <f t="shared" si="10"/>
        <v>3042869</v>
      </c>
      <c r="I29" s="239">
        <f t="shared" si="10"/>
        <v>1211457</v>
      </c>
      <c r="J29" s="239">
        <f t="shared" si="10"/>
        <v>37756</v>
      </c>
      <c r="K29" s="239">
        <f>SUM(K30:K31)</f>
        <v>-272171</v>
      </c>
      <c r="L29" s="162"/>
    </row>
    <row r="30" spans="1:12" s="8" customFormat="1" ht="12.75" hidden="1">
      <c r="A30" s="144"/>
      <c r="B30" s="142">
        <v>80104</v>
      </c>
      <c r="C30" s="143" t="s">
        <v>243</v>
      </c>
      <c r="D30" s="247">
        <f>SUM(D24,D27)</f>
        <v>-272171</v>
      </c>
      <c r="E30" s="228">
        <f aca="true" t="shared" si="11" ref="E30:J30">SUM(E24,E27,)</f>
        <v>4278395</v>
      </c>
      <c r="F30" s="228">
        <f t="shared" si="11"/>
        <v>3385425</v>
      </c>
      <c r="G30" s="228">
        <f t="shared" si="11"/>
        <v>4278395</v>
      </c>
      <c r="H30" s="228">
        <f t="shared" si="11"/>
        <v>3042869</v>
      </c>
      <c r="I30" s="228">
        <f t="shared" si="11"/>
        <v>1197770</v>
      </c>
      <c r="J30" s="228">
        <f t="shared" si="11"/>
        <v>37756</v>
      </c>
      <c r="K30" s="228">
        <f>SUM(K24,K27,)</f>
        <v>-272171</v>
      </c>
      <c r="L30" s="162"/>
    </row>
    <row r="31" spans="1:12" s="8" customFormat="1" ht="25.5" hidden="1">
      <c r="A31" s="144"/>
      <c r="B31" s="144">
        <v>80146</v>
      </c>
      <c r="C31" s="145" t="s">
        <v>128</v>
      </c>
      <c r="D31" s="247">
        <f>SUM(D25,D28)</f>
        <v>0</v>
      </c>
      <c r="E31" s="228">
        <f aca="true" t="shared" si="12" ref="E31:J31">SUM(E28,E25,)</f>
        <v>13687</v>
      </c>
      <c r="F31" s="228">
        <f t="shared" si="12"/>
        <v>13687</v>
      </c>
      <c r="G31" s="228">
        <f t="shared" si="12"/>
        <v>13687</v>
      </c>
      <c r="H31" s="228">
        <f t="shared" si="12"/>
        <v>0</v>
      </c>
      <c r="I31" s="228">
        <f t="shared" si="12"/>
        <v>13687</v>
      </c>
      <c r="J31" s="228">
        <f t="shared" si="12"/>
        <v>0</v>
      </c>
      <c r="K31" s="228">
        <f>SUM(K28,K25,)</f>
        <v>0</v>
      </c>
      <c r="L31" s="162"/>
    </row>
    <row r="32" spans="1:12" s="8" customFormat="1" ht="12.75" hidden="1">
      <c r="A32" s="144"/>
      <c r="B32" s="144"/>
      <c r="C32" s="219" t="s">
        <v>347</v>
      </c>
      <c r="D32" s="243">
        <f>SUM(D33:D34)</f>
        <v>0</v>
      </c>
      <c r="E32" s="237">
        <f aca="true" t="shared" si="13" ref="E32:J32">SUM(E33:E34)</f>
        <v>233860</v>
      </c>
      <c r="F32" s="237">
        <f t="shared" si="13"/>
        <v>216000</v>
      </c>
      <c r="G32" s="237">
        <f t="shared" si="13"/>
        <v>233860</v>
      </c>
      <c r="H32" s="237">
        <f t="shared" si="13"/>
        <v>188271</v>
      </c>
      <c r="I32" s="237">
        <f t="shared" si="13"/>
        <v>45589</v>
      </c>
      <c r="J32" s="237">
        <f t="shared" si="13"/>
        <v>0</v>
      </c>
      <c r="K32" s="237">
        <f>SUM(K33:K34)</f>
        <v>0</v>
      </c>
      <c r="L32" s="162"/>
    </row>
    <row r="33" spans="1:12" s="8" customFormat="1" ht="12.75" hidden="1">
      <c r="A33" s="144"/>
      <c r="B33" s="142">
        <v>80104</v>
      </c>
      <c r="C33" s="143" t="s">
        <v>243</v>
      </c>
      <c r="D33" s="244">
        <v>0</v>
      </c>
      <c r="E33" s="228">
        <f>216000+17860</f>
        <v>233860</v>
      </c>
      <c r="F33" s="228">
        <v>216000</v>
      </c>
      <c r="G33" s="323">
        <f>SUM(H33:J33)</f>
        <v>233860</v>
      </c>
      <c r="H33" s="228">
        <v>188271</v>
      </c>
      <c r="I33" s="228">
        <v>45589</v>
      </c>
      <c r="J33" s="228"/>
      <c r="K33" s="228">
        <v>0</v>
      </c>
      <c r="L33" s="162"/>
    </row>
    <row r="34" spans="1:12" s="8" customFormat="1" ht="25.5" hidden="1">
      <c r="A34" s="144"/>
      <c r="B34" s="144">
        <v>80146</v>
      </c>
      <c r="C34" s="145" t="s">
        <v>128</v>
      </c>
      <c r="D34" s="245">
        <v>0</v>
      </c>
      <c r="E34" s="228">
        <v>0</v>
      </c>
      <c r="F34" s="228">
        <v>0</v>
      </c>
      <c r="G34" s="228">
        <v>0</v>
      </c>
      <c r="H34" s="228">
        <v>0</v>
      </c>
      <c r="I34" s="228">
        <v>0</v>
      </c>
      <c r="J34" s="228">
        <v>0</v>
      </c>
      <c r="K34" s="228">
        <v>0</v>
      </c>
      <c r="L34" s="162"/>
    </row>
    <row r="35" spans="1:12" s="8" customFormat="1" ht="24.75" customHeight="1">
      <c r="A35" s="240"/>
      <c r="B35" s="238"/>
      <c r="C35" s="250" t="s">
        <v>384</v>
      </c>
      <c r="D35" s="246">
        <f>SUM(D36:D37)</f>
        <v>-272171</v>
      </c>
      <c r="E35" s="239">
        <f aca="true" t="shared" si="14" ref="E35:J35">SUM(E36:E37)</f>
        <v>4525942</v>
      </c>
      <c r="F35" s="239">
        <f t="shared" si="14"/>
        <v>3615112</v>
      </c>
      <c r="G35" s="239">
        <f t="shared" si="14"/>
        <v>4525942</v>
      </c>
      <c r="H35" s="239">
        <f t="shared" si="14"/>
        <v>3231140</v>
      </c>
      <c r="I35" s="239">
        <f t="shared" si="14"/>
        <v>1257046</v>
      </c>
      <c r="J35" s="239">
        <f t="shared" si="14"/>
        <v>37756</v>
      </c>
      <c r="K35" s="239">
        <f>SUM(K36:K37)</f>
        <v>-272171</v>
      </c>
      <c r="L35" s="162"/>
    </row>
    <row r="36" spans="1:12" s="8" customFormat="1" ht="24.75" customHeight="1">
      <c r="A36" s="144"/>
      <c r="B36" s="142">
        <v>80104</v>
      </c>
      <c r="C36" s="143" t="s">
        <v>243</v>
      </c>
      <c r="D36" s="247">
        <f>SUM(D30,D33)</f>
        <v>-272171</v>
      </c>
      <c r="E36" s="228">
        <f aca="true" t="shared" si="15" ref="E36:J36">SUM(E30,E33,)</f>
        <v>4512255</v>
      </c>
      <c r="F36" s="228">
        <f t="shared" si="15"/>
        <v>3601425</v>
      </c>
      <c r="G36" s="228">
        <f t="shared" si="15"/>
        <v>4512255</v>
      </c>
      <c r="H36" s="228">
        <f t="shared" si="15"/>
        <v>3231140</v>
      </c>
      <c r="I36" s="228">
        <f t="shared" si="15"/>
        <v>1243359</v>
      </c>
      <c r="J36" s="228">
        <f t="shared" si="15"/>
        <v>37756</v>
      </c>
      <c r="K36" s="228">
        <f>D36+E36-G36</f>
        <v>-272171</v>
      </c>
      <c r="L36" s="162"/>
    </row>
    <row r="37" spans="1:12" s="8" customFormat="1" ht="24.75" customHeight="1">
      <c r="A37" s="144"/>
      <c r="B37" s="144">
        <v>80146</v>
      </c>
      <c r="C37" s="145" t="s">
        <v>128</v>
      </c>
      <c r="D37" s="247">
        <f>SUM(D31,D34)</f>
        <v>0</v>
      </c>
      <c r="E37" s="228">
        <f aca="true" t="shared" si="16" ref="E37:J37">SUM(E34,E31,)</f>
        <v>13687</v>
      </c>
      <c r="F37" s="228">
        <f t="shared" si="16"/>
        <v>13687</v>
      </c>
      <c r="G37" s="228">
        <f t="shared" si="16"/>
        <v>13687</v>
      </c>
      <c r="H37" s="228">
        <f t="shared" si="16"/>
        <v>0</v>
      </c>
      <c r="I37" s="228">
        <f t="shared" si="16"/>
        <v>13687</v>
      </c>
      <c r="J37" s="228">
        <f t="shared" si="16"/>
        <v>0</v>
      </c>
      <c r="K37" s="228">
        <f>D37+E37-G37</f>
        <v>0</v>
      </c>
      <c r="L37" s="162"/>
    </row>
    <row r="38" spans="1:12" s="8" customFormat="1" ht="24.75" customHeight="1">
      <c r="A38" s="238"/>
      <c r="B38" s="238"/>
      <c r="C38" s="250" t="s">
        <v>542</v>
      </c>
      <c r="D38" s="254">
        <f>SUM(D39:D40)</f>
        <v>-272171.05</v>
      </c>
      <c r="E38" s="254">
        <f aca="true" t="shared" si="17" ref="E38:J38">SUM(E39:E40)</f>
        <v>4474172.5</v>
      </c>
      <c r="F38" s="254">
        <f t="shared" si="17"/>
        <v>3585015.24</v>
      </c>
      <c r="G38" s="254">
        <f t="shared" si="17"/>
        <v>4453848.550000001</v>
      </c>
      <c r="H38" s="254">
        <f t="shared" si="17"/>
        <v>3231895.36</v>
      </c>
      <c r="I38" s="254">
        <f t="shared" si="17"/>
        <v>1184222.04</v>
      </c>
      <c r="J38" s="254">
        <f t="shared" si="17"/>
        <v>37731.15</v>
      </c>
      <c r="K38" s="254">
        <f>D38+E38-G38</f>
        <v>-251847.10000000056</v>
      </c>
      <c r="L38" s="162"/>
    </row>
    <row r="39" spans="1:12" s="8" customFormat="1" ht="24.75" customHeight="1">
      <c r="A39" s="144"/>
      <c r="B39" s="144">
        <v>80104</v>
      </c>
      <c r="C39" s="143" t="s">
        <v>243</v>
      </c>
      <c r="D39" s="253">
        <v>-272171.05</v>
      </c>
      <c r="E39" s="228">
        <v>4461124.26</v>
      </c>
      <c r="F39" s="228">
        <v>3571967</v>
      </c>
      <c r="G39" s="228">
        <f>SUM(H39:J39)</f>
        <v>4440800.3100000005</v>
      </c>
      <c r="H39" s="228">
        <v>3231895.36</v>
      </c>
      <c r="I39" s="228">
        <v>1171173.8</v>
      </c>
      <c r="J39" s="228">
        <v>37731.15</v>
      </c>
      <c r="K39" s="228">
        <f>D39+E39-G39</f>
        <v>-251847.10000000056</v>
      </c>
      <c r="L39" s="162"/>
    </row>
    <row r="40" spans="1:12" s="8" customFormat="1" ht="24.75" customHeight="1">
      <c r="A40" s="144"/>
      <c r="B40" s="144">
        <v>80146</v>
      </c>
      <c r="C40" s="145" t="s">
        <v>128</v>
      </c>
      <c r="D40" s="253">
        <v>0</v>
      </c>
      <c r="E40" s="228">
        <v>13048.24</v>
      </c>
      <c r="F40" s="228">
        <v>13048.24</v>
      </c>
      <c r="G40" s="228">
        <v>13048.24</v>
      </c>
      <c r="H40" s="228">
        <v>0</v>
      </c>
      <c r="I40" s="228">
        <v>13048.24</v>
      </c>
      <c r="J40" s="228">
        <v>0</v>
      </c>
      <c r="K40" s="228">
        <f>D40+E40-G40</f>
        <v>0</v>
      </c>
      <c r="L40" s="162"/>
    </row>
    <row r="41" spans="1:12" s="8" customFormat="1" ht="24.75" customHeight="1">
      <c r="A41" s="319"/>
      <c r="B41" s="319"/>
      <c r="C41" s="320"/>
      <c r="D41" s="321"/>
      <c r="E41" s="322"/>
      <c r="F41" s="322"/>
      <c r="G41" s="322"/>
      <c r="H41" s="322"/>
      <c r="I41" s="322"/>
      <c r="J41" s="322"/>
      <c r="K41" s="322"/>
      <c r="L41" s="162"/>
    </row>
    <row r="42" spans="1:12" s="8" customFormat="1" ht="24.75" customHeight="1">
      <c r="A42" s="319"/>
      <c r="B42" s="319"/>
      <c r="C42" s="320"/>
      <c r="D42" s="321"/>
      <c r="E42" s="322"/>
      <c r="F42" s="322"/>
      <c r="G42" s="322"/>
      <c r="H42" s="322"/>
      <c r="I42" s="322"/>
      <c r="J42" s="322"/>
      <c r="K42" s="322"/>
      <c r="L42" s="162"/>
    </row>
    <row r="43" spans="1:12" s="8" customFormat="1" ht="24.75" customHeight="1">
      <c r="A43" s="319"/>
      <c r="B43" s="319"/>
      <c r="C43" s="320"/>
      <c r="D43" s="321"/>
      <c r="E43" s="322"/>
      <c r="F43" s="322"/>
      <c r="G43" s="322"/>
      <c r="H43" s="322"/>
      <c r="I43" s="322"/>
      <c r="J43" s="322"/>
      <c r="K43" s="322"/>
      <c r="L43" s="162"/>
    </row>
    <row r="44" spans="1:12" s="8" customFormat="1" ht="24.75" customHeight="1">
      <c r="A44" s="319"/>
      <c r="B44" s="319"/>
      <c r="C44" s="320"/>
      <c r="D44" s="321"/>
      <c r="E44" s="322"/>
      <c r="F44" s="322"/>
      <c r="G44" s="322"/>
      <c r="H44" s="322"/>
      <c r="I44" s="322"/>
      <c r="J44" s="322"/>
      <c r="K44" s="322"/>
      <c r="L44" s="162"/>
    </row>
    <row r="45" spans="1:12" s="8" customFormat="1" ht="24.75" customHeight="1">
      <c r="A45" s="319"/>
      <c r="B45" s="319"/>
      <c r="C45" s="320"/>
      <c r="D45" s="321"/>
      <c r="E45" s="322"/>
      <c r="F45" s="322"/>
      <c r="G45" s="322"/>
      <c r="H45" s="322"/>
      <c r="I45" s="322"/>
      <c r="J45" s="322"/>
      <c r="K45" s="322"/>
      <c r="L45" s="162"/>
    </row>
    <row r="46" spans="1:12" s="8" customFormat="1" ht="24.75" customHeight="1">
      <c r="A46" s="456" t="s">
        <v>498</v>
      </c>
      <c r="B46" s="456"/>
      <c r="C46" s="456"/>
      <c r="D46" s="456"/>
      <c r="E46" s="322"/>
      <c r="F46" s="322"/>
      <c r="G46" s="322"/>
      <c r="H46" s="322"/>
      <c r="I46" s="322"/>
      <c r="J46" s="322"/>
      <c r="K46" s="322"/>
      <c r="L46" s="162"/>
    </row>
    <row r="47" spans="1:12" s="8" customFormat="1" ht="24.75" customHeight="1">
      <c r="A47" s="444" t="s">
        <v>203</v>
      </c>
      <c r="B47" s="444" t="s">
        <v>242</v>
      </c>
      <c r="C47" s="444" t="s">
        <v>204</v>
      </c>
      <c r="D47" s="444" t="s">
        <v>382</v>
      </c>
      <c r="E47" s="444" t="s">
        <v>205</v>
      </c>
      <c r="F47" s="444"/>
      <c r="G47" s="444" t="s">
        <v>557</v>
      </c>
      <c r="H47" s="444"/>
      <c r="I47" s="444"/>
      <c r="J47" s="444"/>
      <c r="K47" s="444" t="s">
        <v>383</v>
      </c>
      <c r="L47" s="162"/>
    </row>
    <row r="48" spans="1:12" s="8" customFormat="1" ht="24">
      <c r="A48" s="444"/>
      <c r="B48" s="444"/>
      <c r="C48" s="444"/>
      <c r="D48" s="444"/>
      <c r="E48" s="132" t="s">
        <v>206</v>
      </c>
      <c r="F48" s="96" t="s">
        <v>207</v>
      </c>
      <c r="G48" s="132" t="s">
        <v>206</v>
      </c>
      <c r="H48" s="96" t="s">
        <v>208</v>
      </c>
      <c r="I48" s="96" t="s">
        <v>209</v>
      </c>
      <c r="J48" s="96" t="s">
        <v>210</v>
      </c>
      <c r="K48" s="444"/>
      <c r="L48" s="162"/>
    </row>
    <row r="49" spans="1:11" s="13" customFormat="1" ht="38.25">
      <c r="A49" s="147"/>
      <c r="B49" s="147"/>
      <c r="C49" s="250" t="s">
        <v>385</v>
      </c>
      <c r="D49" s="400">
        <f>SUM(D50:D51)</f>
        <v>0</v>
      </c>
      <c r="E49" s="400">
        <f>SUM(E50:E51)</f>
        <v>2825</v>
      </c>
      <c r="F49" s="400">
        <f>SUM(F50:F51)</f>
        <v>0</v>
      </c>
      <c r="G49" s="400">
        <f>SUM(H49:J49)</f>
        <v>2825</v>
      </c>
      <c r="H49" s="400">
        <f>SUM(H50:H51)</f>
        <v>0</v>
      </c>
      <c r="I49" s="400">
        <f>SUM(I50:I51)</f>
        <v>2825</v>
      </c>
      <c r="J49" s="400">
        <f>SUM(J50:J51)</f>
        <v>0</v>
      </c>
      <c r="K49" s="400">
        <f>SUM(K50:K51)</f>
        <v>0</v>
      </c>
    </row>
    <row r="50" spans="1:11" s="8" customFormat="1" ht="17.25" customHeight="1">
      <c r="A50" s="248"/>
      <c r="B50" s="248">
        <v>80101</v>
      </c>
      <c r="C50" s="249" t="s">
        <v>52</v>
      </c>
      <c r="D50" s="255">
        <v>0</v>
      </c>
      <c r="E50" s="255">
        <v>1720</v>
      </c>
      <c r="F50" s="255">
        <v>0</v>
      </c>
      <c r="G50" s="255">
        <f>SUM(H50:J50)</f>
        <v>1720</v>
      </c>
      <c r="H50" s="255">
        <v>0</v>
      </c>
      <c r="I50" s="255">
        <v>1720</v>
      </c>
      <c r="J50" s="255">
        <v>0</v>
      </c>
      <c r="K50" s="255">
        <f>D50+E50-G50</f>
        <v>0</v>
      </c>
    </row>
    <row r="51" spans="1:11" s="8" customFormat="1" ht="19.5" customHeight="1">
      <c r="A51" s="248"/>
      <c r="B51" s="248">
        <v>80110</v>
      </c>
      <c r="C51" s="249" t="s">
        <v>53</v>
      </c>
      <c r="D51" s="255">
        <v>0</v>
      </c>
      <c r="E51" s="255">
        <v>1105</v>
      </c>
      <c r="F51" s="255">
        <v>0</v>
      </c>
      <c r="G51" s="255">
        <f>SUM(H51:J51)</f>
        <v>1105</v>
      </c>
      <c r="H51" s="255">
        <v>0</v>
      </c>
      <c r="I51" s="255">
        <v>1105</v>
      </c>
      <c r="J51" s="255">
        <v>0</v>
      </c>
      <c r="K51" s="255">
        <f>D51+E51-G51</f>
        <v>0</v>
      </c>
    </row>
    <row r="52" spans="1:11" s="8" customFormat="1" ht="38.25" hidden="1">
      <c r="A52" s="248"/>
      <c r="B52" s="248"/>
      <c r="C52" s="256" t="s">
        <v>386</v>
      </c>
      <c r="D52" s="252">
        <f>SUM(D53:D54)</f>
        <v>331</v>
      </c>
      <c r="E52" s="252">
        <f aca="true" t="shared" si="18" ref="E52:K52">SUM(E53:E54)</f>
        <v>0</v>
      </c>
      <c r="F52" s="252">
        <f t="shared" si="18"/>
        <v>0</v>
      </c>
      <c r="G52" s="252">
        <f t="shared" si="18"/>
        <v>331</v>
      </c>
      <c r="H52" s="252">
        <f t="shared" si="18"/>
        <v>0</v>
      </c>
      <c r="I52" s="252">
        <f t="shared" si="18"/>
        <v>331</v>
      </c>
      <c r="J52" s="252">
        <f t="shared" si="18"/>
        <v>0</v>
      </c>
      <c r="K52" s="252">
        <f t="shared" si="18"/>
        <v>0</v>
      </c>
    </row>
    <row r="53" spans="1:11" s="27" customFormat="1" ht="12.75" hidden="1">
      <c r="A53" s="144"/>
      <c r="B53" s="144">
        <v>80101</v>
      </c>
      <c r="C53" s="146" t="s">
        <v>52</v>
      </c>
      <c r="D53" s="253">
        <v>330</v>
      </c>
      <c r="E53" s="253">
        <v>0</v>
      </c>
      <c r="F53" s="253">
        <v>0</v>
      </c>
      <c r="G53" s="253">
        <f>SUM(H53:J53)</f>
        <v>330</v>
      </c>
      <c r="H53" s="253">
        <v>0</v>
      </c>
      <c r="I53" s="253">
        <v>330</v>
      </c>
      <c r="J53" s="253">
        <v>0</v>
      </c>
      <c r="K53" s="253">
        <v>0</v>
      </c>
    </row>
    <row r="54" spans="1:11" s="27" customFormat="1" ht="12.75" hidden="1">
      <c r="A54" s="144"/>
      <c r="B54" s="144">
        <v>80110</v>
      </c>
      <c r="C54" s="146" t="s">
        <v>53</v>
      </c>
      <c r="D54" s="253">
        <v>1</v>
      </c>
      <c r="E54" s="253">
        <v>0</v>
      </c>
      <c r="F54" s="253">
        <v>0</v>
      </c>
      <c r="G54" s="228">
        <f>SUM(H54:J54)</f>
        <v>1</v>
      </c>
      <c r="H54" s="253">
        <v>0</v>
      </c>
      <c r="I54" s="253">
        <v>1</v>
      </c>
      <c r="J54" s="253">
        <v>0</v>
      </c>
      <c r="K54" s="253">
        <v>0</v>
      </c>
    </row>
    <row r="55" spans="1:11" s="27" customFormat="1" ht="25.5" hidden="1">
      <c r="A55" s="240"/>
      <c r="B55" s="238"/>
      <c r="C55" s="250" t="s">
        <v>497</v>
      </c>
      <c r="D55" s="254">
        <f>SUM(D56:D57)</f>
        <v>331</v>
      </c>
      <c r="E55" s="254">
        <f aca="true" t="shared" si="19" ref="E55:K55">SUM(E56:E57)</f>
        <v>2825</v>
      </c>
      <c r="F55" s="254">
        <f t="shared" si="19"/>
        <v>0</v>
      </c>
      <c r="G55" s="254">
        <f t="shared" si="19"/>
        <v>3156</v>
      </c>
      <c r="H55" s="254">
        <f t="shared" si="19"/>
        <v>0</v>
      </c>
      <c r="I55" s="254">
        <f t="shared" si="19"/>
        <v>3156</v>
      </c>
      <c r="J55" s="254">
        <f t="shared" si="19"/>
        <v>0</v>
      </c>
      <c r="K55" s="254">
        <f t="shared" si="19"/>
        <v>0</v>
      </c>
    </row>
    <row r="56" spans="1:11" s="27" customFormat="1" ht="12.75" hidden="1">
      <c r="A56" s="144"/>
      <c r="B56" s="144">
        <v>80101</v>
      </c>
      <c r="C56" s="146" t="s">
        <v>52</v>
      </c>
      <c r="D56" s="253">
        <f>SUM(D50,D53,)</f>
        <v>330</v>
      </c>
      <c r="E56" s="253">
        <f aca="true" t="shared" si="20" ref="E56:K56">SUM(E50,E53,)</f>
        <v>1720</v>
      </c>
      <c r="F56" s="253">
        <f t="shared" si="20"/>
        <v>0</v>
      </c>
      <c r="G56" s="253">
        <f t="shared" si="20"/>
        <v>2050</v>
      </c>
      <c r="H56" s="253">
        <f t="shared" si="20"/>
        <v>0</v>
      </c>
      <c r="I56" s="253">
        <f t="shared" si="20"/>
        <v>2050</v>
      </c>
      <c r="J56" s="253">
        <f t="shared" si="20"/>
        <v>0</v>
      </c>
      <c r="K56" s="253">
        <f t="shared" si="20"/>
        <v>0</v>
      </c>
    </row>
    <row r="57" spans="1:11" s="27" customFormat="1" ht="12.75" hidden="1">
      <c r="A57" s="144"/>
      <c r="B57" s="144">
        <v>80110</v>
      </c>
      <c r="C57" s="146" t="s">
        <v>53</v>
      </c>
      <c r="D57" s="253">
        <f>SUM(D51,D54,)</f>
        <v>1</v>
      </c>
      <c r="E57" s="253">
        <f aca="true" t="shared" si="21" ref="E57:K57">SUM(E51,E54,)</f>
        <v>1105</v>
      </c>
      <c r="F57" s="253">
        <f t="shared" si="21"/>
        <v>0</v>
      </c>
      <c r="G57" s="253">
        <f t="shared" si="21"/>
        <v>1106</v>
      </c>
      <c r="H57" s="253">
        <f t="shared" si="21"/>
        <v>0</v>
      </c>
      <c r="I57" s="253">
        <f t="shared" si="21"/>
        <v>1106</v>
      </c>
      <c r="J57" s="253">
        <f t="shared" si="21"/>
        <v>0</v>
      </c>
      <c r="K57" s="253">
        <f t="shared" si="21"/>
        <v>0</v>
      </c>
    </row>
    <row r="58" spans="1:11" s="27" customFormat="1" ht="25.5" hidden="1">
      <c r="A58" s="240"/>
      <c r="B58" s="238"/>
      <c r="C58" s="250" t="s">
        <v>544</v>
      </c>
      <c r="D58" s="254">
        <f>SUM(D59:D60)</f>
        <v>0</v>
      </c>
      <c r="E58" s="254">
        <f aca="true" t="shared" si="22" ref="E58:K58">SUM(E59:E60)</f>
        <v>770</v>
      </c>
      <c r="F58" s="254">
        <f t="shared" si="22"/>
        <v>0</v>
      </c>
      <c r="G58" s="254">
        <f t="shared" si="22"/>
        <v>770</v>
      </c>
      <c r="H58" s="254">
        <f t="shared" si="22"/>
        <v>0</v>
      </c>
      <c r="I58" s="254">
        <f t="shared" si="22"/>
        <v>770</v>
      </c>
      <c r="J58" s="254">
        <f t="shared" si="22"/>
        <v>0</v>
      </c>
      <c r="K58" s="254">
        <f t="shared" si="22"/>
        <v>0</v>
      </c>
    </row>
    <row r="59" spans="1:11" ht="20.25" customHeight="1" hidden="1">
      <c r="A59" s="144"/>
      <c r="B59" s="144">
        <v>80101</v>
      </c>
      <c r="C59" s="146" t="s">
        <v>52</v>
      </c>
      <c r="D59" s="253">
        <v>0</v>
      </c>
      <c r="E59" s="253">
        <v>770</v>
      </c>
      <c r="F59" s="253">
        <f>SUM(F53,F56,)</f>
        <v>0</v>
      </c>
      <c r="G59" s="253">
        <f>SUM(H59:J59)</f>
        <v>770</v>
      </c>
      <c r="H59" s="253"/>
      <c r="I59" s="253">
        <v>770</v>
      </c>
      <c r="J59" s="253"/>
      <c r="K59" s="253">
        <f>SUM(K53,K56,)</f>
        <v>0</v>
      </c>
    </row>
    <row r="60" spans="1:11" ht="20.25" customHeight="1" hidden="1">
      <c r="A60" s="144"/>
      <c r="B60" s="144">
        <v>80110</v>
      </c>
      <c r="C60" s="146" t="s">
        <v>53</v>
      </c>
      <c r="D60" s="253">
        <v>0</v>
      </c>
      <c r="E60" s="253"/>
      <c r="F60" s="253">
        <f>SUM(F54,F57,)</f>
        <v>0</v>
      </c>
      <c r="G60" s="253">
        <f>SUM(H60:J60)</f>
        <v>0</v>
      </c>
      <c r="H60" s="253">
        <v>0</v>
      </c>
      <c r="I60" s="253">
        <v>0</v>
      </c>
      <c r="J60" s="253">
        <v>0</v>
      </c>
      <c r="K60" s="253">
        <f>SUM(K54,K57,)</f>
        <v>0</v>
      </c>
    </row>
    <row r="61" spans="1:11" ht="25.5">
      <c r="A61" s="240"/>
      <c r="B61" s="238"/>
      <c r="C61" s="250" t="s">
        <v>387</v>
      </c>
      <c r="D61" s="254">
        <f>SUM(D62:D63)</f>
        <v>331</v>
      </c>
      <c r="E61" s="254">
        <f aca="true" t="shared" si="23" ref="E61:K61">SUM(E62:E63)</f>
        <v>3595</v>
      </c>
      <c r="F61" s="254">
        <f t="shared" si="23"/>
        <v>0</v>
      </c>
      <c r="G61" s="254">
        <f t="shared" si="23"/>
        <v>3926</v>
      </c>
      <c r="H61" s="254">
        <f t="shared" si="23"/>
        <v>0</v>
      </c>
      <c r="I61" s="254">
        <f t="shared" si="23"/>
        <v>3926</v>
      </c>
      <c r="J61" s="254">
        <f t="shared" si="23"/>
        <v>0</v>
      </c>
      <c r="K61" s="254">
        <f t="shared" si="23"/>
        <v>0</v>
      </c>
    </row>
    <row r="62" spans="1:11" ht="19.5" customHeight="1">
      <c r="A62" s="144"/>
      <c r="B62" s="144">
        <v>80101</v>
      </c>
      <c r="C62" s="146" t="s">
        <v>52</v>
      </c>
      <c r="D62" s="253">
        <f>SUM(D56,D59,)</f>
        <v>330</v>
      </c>
      <c r="E62" s="253">
        <f aca="true" t="shared" si="24" ref="E62:J62">SUM(E56,E59,)</f>
        <v>2490</v>
      </c>
      <c r="F62" s="253">
        <f t="shared" si="24"/>
        <v>0</v>
      </c>
      <c r="G62" s="253">
        <f t="shared" si="24"/>
        <v>2820</v>
      </c>
      <c r="H62" s="253">
        <f t="shared" si="24"/>
        <v>0</v>
      </c>
      <c r="I62" s="253">
        <f t="shared" si="24"/>
        <v>2820</v>
      </c>
      <c r="J62" s="253">
        <f t="shared" si="24"/>
        <v>0</v>
      </c>
      <c r="K62" s="253">
        <f>D62+E62-G62</f>
        <v>0</v>
      </c>
    </row>
    <row r="63" spans="1:11" ht="24" customHeight="1">
      <c r="A63" s="144"/>
      <c r="B63" s="144">
        <v>80110</v>
      </c>
      <c r="C63" s="146" t="s">
        <v>53</v>
      </c>
      <c r="D63" s="253">
        <f>SUM(D57,D60,)</f>
        <v>1</v>
      </c>
      <c r="E63" s="253">
        <f aca="true" t="shared" si="25" ref="E63:J63">SUM(E57,E60,)</f>
        <v>1105</v>
      </c>
      <c r="F63" s="253">
        <f t="shared" si="25"/>
        <v>0</v>
      </c>
      <c r="G63" s="253">
        <f t="shared" si="25"/>
        <v>1106</v>
      </c>
      <c r="H63" s="253">
        <f t="shared" si="25"/>
        <v>0</v>
      </c>
      <c r="I63" s="253">
        <f t="shared" si="25"/>
        <v>1106</v>
      </c>
      <c r="J63" s="253">
        <f t="shared" si="25"/>
        <v>0</v>
      </c>
      <c r="K63" s="253">
        <f>D63+E63-G63</f>
        <v>0</v>
      </c>
    </row>
    <row r="64" spans="1:11" ht="25.5">
      <c r="A64" s="240"/>
      <c r="B64" s="238"/>
      <c r="C64" s="250" t="s">
        <v>543</v>
      </c>
      <c r="D64" s="254">
        <f>SUM(D65:D66)</f>
        <v>330.35999999999996</v>
      </c>
      <c r="E64" s="254">
        <f aca="true" t="shared" si="26" ref="E64:K64">SUM(E65:E66)</f>
        <v>3365.0699999999997</v>
      </c>
      <c r="F64" s="254">
        <f t="shared" si="26"/>
        <v>0</v>
      </c>
      <c r="G64" s="254">
        <f t="shared" si="26"/>
        <v>3694.83</v>
      </c>
      <c r="H64" s="254">
        <f t="shared" si="26"/>
        <v>0</v>
      </c>
      <c r="I64" s="254">
        <f t="shared" si="26"/>
        <v>3694.83</v>
      </c>
      <c r="J64" s="254">
        <f t="shared" si="26"/>
        <v>0</v>
      </c>
      <c r="K64" s="254">
        <f t="shared" si="26"/>
        <v>0.6000000000001364</v>
      </c>
    </row>
    <row r="65" spans="1:11" ht="22.5" customHeight="1">
      <c r="A65" s="144"/>
      <c r="B65" s="144">
        <v>80101</v>
      </c>
      <c r="C65" s="146" t="s">
        <v>52</v>
      </c>
      <c r="D65" s="258">
        <v>329.15</v>
      </c>
      <c r="E65" s="258">
        <v>2482.04</v>
      </c>
      <c r="F65" s="258">
        <v>0</v>
      </c>
      <c r="G65" s="258">
        <f>H65+I65+J65</f>
        <v>2810.62</v>
      </c>
      <c r="H65" s="258">
        <v>0</v>
      </c>
      <c r="I65" s="258">
        <v>2810.62</v>
      </c>
      <c r="J65" s="258">
        <v>0</v>
      </c>
      <c r="K65" s="258">
        <f>D65+E65-G65</f>
        <v>0.5700000000001637</v>
      </c>
    </row>
    <row r="66" spans="1:11" ht="27" customHeight="1">
      <c r="A66" s="144"/>
      <c r="B66" s="144">
        <v>80110</v>
      </c>
      <c r="C66" s="146" t="s">
        <v>53</v>
      </c>
      <c r="D66" s="258">
        <v>1.21</v>
      </c>
      <c r="E66" s="258">
        <v>883.03</v>
      </c>
      <c r="F66" s="258">
        <v>0</v>
      </c>
      <c r="G66" s="258">
        <f>H66+I66+J66</f>
        <v>884.21</v>
      </c>
      <c r="H66" s="258">
        <v>0</v>
      </c>
      <c r="I66" s="258">
        <v>884.21</v>
      </c>
      <c r="J66" s="258">
        <v>0</v>
      </c>
      <c r="K66" s="258">
        <f>D66+E66-G66</f>
        <v>0.029999999999972715</v>
      </c>
    </row>
  </sheetData>
  <sheetProtection/>
  <mergeCells count="15">
    <mergeCell ref="K47:K48"/>
    <mergeCell ref="K8:K9"/>
    <mergeCell ref="A46:D46"/>
    <mergeCell ref="A8:A9"/>
    <mergeCell ref="C8:C9"/>
    <mergeCell ref="E8:F8"/>
    <mergeCell ref="G8:J8"/>
    <mergeCell ref="B8:B9"/>
    <mergeCell ref="A47:A48"/>
    <mergeCell ref="B47:B48"/>
    <mergeCell ref="C47:C48"/>
    <mergeCell ref="E47:F47"/>
    <mergeCell ref="G47:J47"/>
    <mergeCell ref="D47:D48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9"/>
    </sheetView>
  </sheetViews>
  <sheetFormatPr defaultColWidth="9.00390625" defaultRowHeight="12.75"/>
  <cols>
    <col min="1" max="1" width="4.75390625" style="9" customWidth="1"/>
    <col min="2" max="2" width="7.25390625" style="9" bestFit="1" customWidth="1"/>
    <col min="3" max="3" width="4.375" style="9" bestFit="1" customWidth="1"/>
    <col min="4" max="4" width="28.625" style="9" customWidth="1"/>
    <col min="5" max="5" width="11.75390625" style="9" customWidth="1"/>
    <col min="6" max="6" width="12.00390625" style="0" customWidth="1"/>
    <col min="7" max="7" width="11.625" style="0" customWidth="1"/>
    <col min="8" max="8" width="6.625" style="0" bestFit="1" customWidth="1"/>
  </cols>
  <sheetData>
    <row r="1" spans="5:6" ht="12.75">
      <c r="E1" s="68"/>
      <c r="F1" s="68" t="s">
        <v>553</v>
      </c>
    </row>
    <row r="2" spans="5:6" ht="12.75">
      <c r="E2" s="68"/>
      <c r="F2" s="68" t="s">
        <v>502</v>
      </c>
    </row>
    <row r="3" spans="5:6" ht="12.75">
      <c r="E3" s="68"/>
      <c r="F3" s="68" t="s">
        <v>503</v>
      </c>
    </row>
    <row r="4" spans="5:6" ht="12.75">
      <c r="E4" s="68"/>
      <c r="F4" s="68" t="s">
        <v>504</v>
      </c>
    </row>
    <row r="5" ht="12.75">
      <c r="E5"/>
    </row>
    <row r="8" spans="1:8" ht="43.5" customHeight="1">
      <c r="A8" s="417" t="s">
        <v>534</v>
      </c>
      <c r="B8" s="417"/>
      <c r="C8" s="417"/>
      <c r="D8" s="417"/>
      <c r="E8" s="417"/>
      <c r="F8" s="417"/>
      <c r="G8" s="417"/>
      <c r="H8" s="417"/>
    </row>
    <row r="9" spans="1:5" ht="17.25" customHeight="1">
      <c r="A9" s="47"/>
      <c r="B9" s="47"/>
      <c r="C9" s="47"/>
      <c r="D9" s="47"/>
      <c r="E9" s="47"/>
    </row>
    <row r="10" spans="1:8" ht="22.5" customHeight="1">
      <c r="A10" s="437" t="s">
        <v>0</v>
      </c>
      <c r="B10" s="437" t="s">
        <v>1</v>
      </c>
      <c r="C10" s="437" t="s">
        <v>2</v>
      </c>
      <c r="D10" s="437" t="s">
        <v>3</v>
      </c>
      <c r="E10" s="449" t="s">
        <v>119</v>
      </c>
      <c r="F10" s="439" t="s">
        <v>480</v>
      </c>
      <c r="G10" s="408" t="s">
        <v>519</v>
      </c>
      <c r="H10" s="408"/>
    </row>
    <row r="11" spans="1:8" s="9" customFormat="1" ht="24.75" customHeight="1">
      <c r="A11" s="437"/>
      <c r="B11" s="437"/>
      <c r="C11" s="437"/>
      <c r="D11" s="437"/>
      <c r="E11" s="449"/>
      <c r="F11" s="449"/>
      <c r="G11" s="374" t="s">
        <v>506</v>
      </c>
      <c r="H11" s="342" t="s">
        <v>507</v>
      </c>
    </row>
    <row r="12" spans="1:8" ht="24.75" customHeight="1">
      <c r="A12" s="37" t="s">
        <v>14</v>
      </c>
      <c r="B12" s="6"/>
      <c r="C12" s="6"/>
      <c r="D12" s="24" t="s">
        <v>15</v>
      </c>
      <c r="E12" s="48">
        <f aca="true" t="shared" si="0" ref="E12:G13">SUM(E13)</f>
        <v>75000</v>
      </c>
      <c r="F12" s="48">
        <f t="shared" si="0"/>
        <v>75000</v>
      </c>
      <c r="G12" s="48">
        <f t="shared" si="0"/>
        <v>45020.2</v>
      </c>
      <c r="H12" s="236">
        <f>G12/F12*100</f>
        <v>60.02693333333333</v>
      </c>
    </row>
    <row r="13" spans="1:8" s="28" customFormat="1" ht="24.75" customHeight="1">
      <c r="A13" s="76"/>
      <c r="B13" s="76">
        <v>75011</v>
      </c>
      <c r="C13" s="59"/>
      <c r="D13" s="16" t="s">
        <v>16</v>
      </c>
      <c r="E13" s="89">
        <f t="shared" si="0"/>
        <v>75000</v>
      </c>
      <c r="F13" s="89">
        <f t="shared" si="0"/>
        <v>75000</v>
      </c>
      <c r="G13" s="89">
        <f t="shared" si="0"/>
        <v>45020.2</v>
      </c>
      <c r="H13" s="329">
        <f aca="true" t="shared" si="1" ref="H13:H19">G13/F13*100</f>
        <v>60.02693333333333</v>
      </c>
    </row>
    <row r="14" spans="1:8" s="28" customFormat="1" ht="24" customHeight="1">
      <c r="A14" s="76"/>
      <c r="B14" s="76"/>
      <c r="C14" s="79" t="s">
        <v>160</v>
      </c>
      <c r="D14" s="16" t="s">
        <v>124</v>
      </c>
      <c r="E14" s="89">
        <v>75000</v>
      </c>
      <c r="F14" s="89">
        <v>75000</v>
      </c>
      <c r="G14" s="89">
        <v>45020.2</v>
      </c>
      <c r="H14" s="329">
        <f t="shared" si="1"/>
        <v>60.02693333333333</v>
      </c>
    </row>
    <row r="15" spans="1:8" s="325" customFormat="1" ht="24" customHeight="1">
      <c r="A15" s="37">
        <v>852</v>
      </c>
      <c r="B15" s="6"/>
      <c r="C15" s="6"/>
      <c r="D15" s="24" t="s">
        <v>164</v>
      </c>
      <c r="E15" s="202">
        <f>SUM(E16)</f>
        <v>0</v>
      </c>
      <c r="F15" s="202">
        <f>SUM(F16)</f>
        <v>57935</v>
      </c>
      <c r="G15" s="202">
        <f>SUM(G16)</f>
        <v>175197.28</v>
      </c>
      <c r="H15" s="236">
        <f t="shared" si="1"/>
        <v>302.4031759730733</v>
      </c>
    </row>
    <row r="16" spans="1:8" s="28" customFormat="1" ht="56.25">
      <c r="A16" s="92"/>
      <c r="B16" s="59">
        <v>85212</v>
      </c>
      <c r="C16" s="79"/>
      <c r="D16" s="16" t="s">
        <v>343</v>
      </c>
      <c r="E16" s="89">
        <f>SUM(E17:E18)</f>
        <v>0</v>
      </c>
      <c r="F16" s="89">
        <f>SUM(F17:F18)</f>
        <v>57935</v>
      </c>
      <c r="G16" s="89">
        <f>SUM(G17:G18)</f>
        <v>175197.28</v>
      </c>
      <c r="H16" s="329">
        <f t="shared" si="1"/>
        <v>302.4031759730733</v>
      </c>
    </row>
    <row r="17" spans="1:8" s="28" customFormat="1" ht="21" customHeight="1">
      <c r="A17" s="92"/>
      <c r="B17" s="59"/>
      <c r="C17" s="79" t="s">
        <v>140</v>
      </c>
      <c r="D17" s="80" t="s">
        <v>11</v>
      </c>
      <c r="E17" s="89">
        <v>0</v>
      </c>
      <c r="F17" s="89">
        <v>0</v>
      </c>
      <c r="G17" s="89">
        <v>5441.85</v>
      </c>
      <c r="H17" s="329" t="s">
        <v>535</v>
      </c>
    </row>
    <row r="18" spans="1:8" s="28" customFormat="1" ht="24" customHeight="1">
      <c r="A18" s="76"/>
      <c r="B18" s="76"/>
      <c r="C18" s="86" t="s">
        <v>141</v>
      </c>
      <c r="D18" s="43" t="s">
        <v>12</v>
      </c>
      <c r="E18" s="89">
        <v>0</v>
      </c>
      <c r="F18" s="89">
        <v>57935</v>
      </c>
      <c r="G18" s="89">
        <v>169755.43</v>
      </c>
      <c r="H18" s="329">
        <f t="shared" si="1"/>
        <v>293.0101493052559</v>
      </c>
    </row>
    <row r="19" spans="1:8" ht="24.75" customHeight="1">
      <c r="A19" s="4"/>
      <c r="B19" s="4"/>
      <c r="C19" s="4"/>
      <c r="D19" s="14" t="s">
        <v>67</v>
      </c>
      <c r="E19" s="48">
        <f>SUM(E12,E15)</f>
        <v>75000</v>
      </c>
      <c r="F19" s="48">
        <f>SUM(F12,F15)</f>
        <v>132935</v>
      </c>
      <c r="G19" s="48">
        <f>SUM(G12,G15)</f>
        <v>220217.47999999998</v>
      </c>
      <c r="H19" s="236">
        <f t="shared" si="1"/>
        <v>165.65801331477786</v>
      </c>
    </row>
  </sheetData>
  <sheetProtection/>
  <mergeCells count="8">
    <mergeCell ref="G10:H10"/>
    <mergeCell ref="F10:F11"/>
    <mergeCell ref="A8:H8"/>
    <mergeCell ref="A10:A11"/>
    <mergeCell ref="B10:B11"/>
    <mergeCell ref="C10:C11"/>
    <mergeCell ref="D10:D11"/>
    <mergeCell ref="E10:E11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5" sqref="D25:D26"/>
    </sheetView>
  </sheetViews>
  <sheetFormatPr defaultColWidth="9.00390625" defaultRowHeight="12.75"/>
  <cols>
    <col min="1" max="1" width="5.125" style="9" customWidth="1"/>
    <col min="2" max="2" width="7.375" style="9" customWidth="1"/>
    <col min="3" max="3" width="5.00390625" style="9" bestFit="1" customWidth="1"/>
    <col min="4" max="4" width="31.00390625" style="9" customWidth="1"/>
    <col min="5" max="5" width="11.875" style="9" customWidth="1"/>
    <col min="6" max="6" width="10.875" style="0" customWidth="1"/>
    <col min="7" max="7" width="12.00390625" style="9" customWidth="1"/>
    <col min="8" max="8" width="6.25390625" style="130" customWidth="1"/>
  </cols>
  <sheetData>
    <row r="1" spans="5:7" ht="12.75">
      <c r="E1" s="68"/>
      <c r="F1" s="68" t="s">
        <v>556</v>
      </c>
      <c r="G1" s="68"/>
    </row>
    <row r="2" spans="5:7" ht="12.75">
      <c r="E2" s="68"/>
      <c r="F2" s="68" t="s">
        <v>509</v>
      </c>
      <c r="G2" s="68"/>
    </row>
    <row r="3" spans="5:7" ht="12.75">
      <c r="E3" s="68"/>
      <c r="F3" s="68" t="s">
        <v>503</v>
      </c>
      <c r="G3" s="68"/>
    </row>
    <row r="4" spans="5:7" ht="12.75">
      <c r="E4" s="68"/>
      <c r="F4" s="68" t="s">
        <v>510</v>
      </c>
      <c r="G4" s="68"/>
    </row>
    <row r="5" spans="1:7" ht="30" customHeight="1">
      <c r="A5" s="417" t="s">
        <v>554</v>
      </c>
      <c r="B5" s="417"/>
      <c r="C5" s="417"/>
      <c r="D5" s="417"/>
      <c r="E5" s="417"/>
      <c r="F5" s="417"/>
      <c r="G5"/>
    </row>
    <row r="6" spans="1:7" ht="14.25" customHeight="1">
      <c r="A6" s="442" t="s">
        <v>199</v>
      </c>
      <c r="B6" s="442"/>
      <c r="C6" s="442"/>
      <c r="D6" s="442"/>
      <c r="E6" s="442"/>
      <c r="F6" s="442"/>
      <c r="G6"/>
    </row>
    <row r="7" spans="1:8" ht="24">
      <c r="A7" s="14" t="s">
        <v>0</v>
      </c>
      <c r="B7" s="14" t="s">
        <v>1</v>
      </c>
      <c r="C7" s="14" t="s">
        <v>2</v>
      </c>
      <c r="D7" s="14" t="s">
        <v>3</v>
      </c>
      <c r="E7" s="119" t="s">
        <v>119</v>
      </c>
      <c r="F7" s="120" t="s">
        <v>200</v>
      </c>
      <c r="G7" s="119" t="s">
        <v>519</v>
      </c>
      <c r="H7" s="403" t="s">
        <v>507</v>
      </c>
    </row>
    <row r="8" spans="1:8" s="8" customFormat="1" ht="24">
      <c r="A8" s="37" t="s">
        <v>106</v>
      </c>
      <c r="B8" s="7"/>
      <c r="C8" s="6"/>
      <c r="D8" s="24" t="s">
        <v>60</v>
      </c>
      <c r="E8" s="21">
        <f>SUM(E9)</f>
        <v>200000</v>
      </c>
      <c r="F8" s="21">
        <f>SUM(F9)</f>
        <v>304000</v>
      </c>
      <c r="G8" s="21">
        <f>SUM(G9)</f>
        <v>304102.54</v>
      </c>
      <c r="H8" s="236">
        <f>G8/F8*100</f>
        <v>100.03373026315789</v>
      </c>
    </row>
    <row r="9" spans="1:8" s="8" customFormat="1" ht="24">
      <c r="A9" s="3"/>
      <c r="B9" s="121">
        <v>90011</v>
      </c>
      <c r="C9" s="4"/>
      <c r="D9" s="122" t="s">
        <v>201</v>
      </c>
      <c r="E9" s="118">
        <f>SUM(E10:E10)</f>
        <v>200000</v>
      </c>
      <c r="F9" s="118">
        <f>SUM(F10:F10)</f>
        <v>304000</v>
      </c>
      <c r="G9" s="118">
        <f>SUM(G10:G10)</f>
        <v>304102.54</v>
      </c>
      <c r="H9" s="253">
        <f aca="true" t="shared" si="0" ref="H9:H29">G9/F9*100</f>
        <v>100.03373026315789</v>
      </c>
    </row>
    <row r="10" spans="1:8" s="9" customFormat="1" ht="21" customHeight="1">
      <c r="A10" s="3"/>
      <c r="B10" s="121"/>
      <c r="C10" s="127" t="s">
        <v>160</v>
      </c>
      <c r="D10" s="122" t="s">
        <v>124</v>
      </c>
      <c r="E10" s="118">
        <v>200000</v>
      </c>
      <c r="F10" s="11">
        <v>304000</v>
      </c>
      <c r="G10" s="118">
        <v>304102.54</v>
      </c>
      <c r="H10" s="253">
        <f t="shared" si="0"/>
        <v>100.03373026315789</v>
      </c>
    </row>
    <row r="11" spans="1:8" ht="21" customHeight="1">
      <c r="A11" s="128"/>
      <c r="B11" s="23"/>
      <c r="C11" s="23"/>
      <c r="D11" s="14" t="s">
        <v>67</v>
      </c>
      <c r="E11" s="36">
        <f>SUM(E8)</f>
        <v>200000</v>
      </c>
      <c r="F11" s="36">
        <f>SUM(F8)</f>
        <v>304000</v>
      </c>
      <c r="G11" s="36">
        <f>SUM(G8)</f>
        <v>304102.54</v>
      </c>
      <c r="H11" s="233">
        <f t="shared" si="0"/>
        <v>100.03373026315789</v>
      </c>
    </row>
    <row r="12" spans="1:8" ht="13.5" customHeight="1">
      <c r="A12" s="443" t="s">
        <v>202</v>
      </c>
      <c r="B12" s="443"/>
      <c r="C12" s="443"/>
      <c r="D12" s="443"/>
      <c r="E12" s="443"/>
      <c r="F12" s="443"/>
      <c r="G12"/>
      <c r="H12" s="401"/>
    </row>
    <row r="13" spans="1:8" ht="24">
      <c r="A13" s="14" t="s">
        <v>0</v>
      </c>
      <c r="B13" s="14" t="s">
        <v>1</v>
      </c>
      <c r="C13" s="14" t="s">
        <v>2</v>
      </c>
      <c r="D13" s="14" t="s">
        <v>3</v>
      </c>
      <c r="E13" s="119" t="s">
        <v>119</v>
      </c>
      <c r="F13" s="120" t="s">
        <v>200</v>
      </c>
      <c r="G13" s="119" t="s">
        <v>519</v>
      </c>
      <c r="H13" s="402" t="s">
        <v>507</v>
      </c>
    </row>
    <row r="14" spans="1:8" s="8" customFormat="1" ht="24">
      <c r="A14" s="37" t="s">
        <v>106</v>
      </c>
      <c r="B14" s="7"/>
      <c r="C14" s="6"/>
      <c r="D14" s="24" t="s">
        <v>60</v>
      </c>
      <c r="E14" s="21">
        <f>SUM(E15)</f>
        <v>250000</v>
      </c>
      <c r="F14" s="36">
        <f>SUM(F15)</f>
        <v>354000</v>
      </c>
      <c r="G14" s="36">
        <f>SUM(G15)</f>
        <v>236329.40000000002</v>
      </c>
      <c r="H14" s="236">
        <f t="shared" si="0"/>
        <v>66.75971751412429</v>
      </c>
    </row>
    <row r="15" spans="1:8" s="8" customFormat="1" ht="23.25" customHeight="1">
      <c r="A15" s="3"/>
      <c r="B15" s="121">
        <v>90011</v>
      </c>
      <c r="C15" s="4"/>
      <c r="D15" s="122" t="s">
        <v>201</v>
      </c>
      <c r="E15" s="118">
        <f>SUM(E16,E21)</f>
        <v>250000</v>
      </c>
      <c r="F15" s="118">
        <f>SUM(F16,F21)</f>
        <v>354000</v>
      </c>
      <c r="G15" s="118">
        <f>SUM(G16,G21)</f>
        <v>236329.40000000002</v>
      </c>
      <c r="H15" s="253">
        <f t="shared" si="0"/>
        <v>66.75971751412429</v>
      </c>
    </row>
    <row r="16" spans="1:8" s="9" customFormat="1" ht="21" customHeight="1">
      <c r="A16" s="3"/>
      <c r="B16" s="121"/>
      <c r="C16" s="4">
        <v>4210</v>
      </c>
      <c r="D16" s="122" t="s">
        <v>69</v>
      </c>
      <c r="E16" s="118">
        <f>SUM(E17:E20)</f>
        <v>19000</v>
      </c>
      <c r="F16" s="100">
        <f>SUM(F17:F20)</f>
        <v>29000</v>
      </c>
      <c r="G16" s="118">
        <f>SUM(G17:G20)</f>
        <v>13586.07</v>
      </c>
      <c r="H16" s="253">
        <f t="shared" si="0"/>
        <v>46.84851724137931</v>
      </c>
    </row>
    <row r="17" spans="1:8" ht="21" customHeight="1">
      <c r="A17" s="123"/>
      <c r="B17" s="124"/>
      <c r="C17" s="129"/>
      <c r="D17" s="57" t="s">
        <v>260</v>
      </c>
      <c r="E17" s="58">
        <v>3000</v>
      </c>
      <c r="F17" s="126">
        <v>3000</v>
      </c>
      <c r="G17" s="58">
        <v>924</v>
      </c>
      <c r="H17" s="253">
        <f t="shared" si="0"/>
        <v>30.8</v>
      </c>
    </row>
    <row r="18" spans="1:8" ht="21" customHeight="1">
      <c r="A18" s="123"/>
      <c r="B18" s="124"/>
      <c r="C18" s="129"/>
      <c r="D18" s="57" t="s">
        <v>261</v>
      </c>
      <c r="E18" s="58">
        <v>10000</v>
      </c>
      <c r="F18" s="126">
        <v>20000</v>
      </c>
      <c r="G18" s="58">
        <f>8232.78+57</f>
        <v>8289.78</v>
      </c>
      <c r="H18" s="253">
        <f t="shared" si="0"/>
        <v>41.4489</v>
      </c>
    </row>
    <row r="19" spans="1:8" ht="21" customHeight="1">
      <c r="A19" s="123"/>
      <c r="B19" s="124"/>
      <c r="C19" s="129"/>
      <c r="D19" s="57" t="s">
        <v>262</v>
      </c>
      <c r="E19" s="58">
        <v>3000</v>
      </c>
      <c r="F19" s="126">
        <v>3000</v>
      </c>
      <c r="G19" s="58">
        <v>1743</v>
      </c>
      <c r="H19" s="253">
        <f t="shared" si="0"/>
        <v>58.099999999999994</v>
      </c>
    </row>
    <row r="20" spans="1:8" ht="21" customHeight="1">
      <c r="A20" s="123"/>
      <c r="B20" s="124"/>
      <c r="C20" s="129"/>
      <c r="D20" s="57" t="s">
        <v>263</v>
      </c>
      <c r="E20" s="58">
        <v>3000</v>
      </c>
      <c r="F20" s="126">
        <v>3000</v>
      </c>
      <c r="G20" s="58">
        <v>2629.29</v>
      </c>
      <c r="H20" s="253">
        <f t="shared" si="0"/>
        <v>87.643</v>
      </c>
    </row>
    <row r="21" spans="1:8" s="9" customFormat="1" ht="21" customHeight="1">
      <c r="A21" s="3"/>
      <c r="B21" s="121"/>
      <c r="C21" s="127">
        <v>4300</v>
      </c>
      <c r="D21" s="122" t="s">
        <v>76</v>
      </c>
      <c r="E21" s="118">
        <f>SUM(E22:E28)</f>
        <v>231000</v>
      </c>
      <c r="F21" s="100">
        <f>SUM(F22:F28)</f>
        <v>325000</v>
      </c>
      <c r="G21" s="118">
        <f>SUM(G22:G28)</f>
        <v>222743.33000000002</v>
      </c>
      <c r="H21" s="253">
        <f t="shared" si="0"/>
        <v>68.53640923076924</v>
      </c>
    </row>
    <row r="22" spans="1:8" ht="25.5" customHeight="1">
      <c r="A22" s="123"/>
      <c r="B22" s="124"/>
      <c r="C22" s="129"/>
      <c r="D22" s="57" t="s">
        <v>555</v>
      </c>
      <c r="E22" s="58">
        <v>163600</v>
      </c>
      <c r="F22" s="126">
        <f>223600+23000</f>
        <v>246600</v>
      </c>
      <c r="G22" s="58">
        <f>190554+3988.66</f>
        <v>194542.66</v>
      </c>
      <c r="H22" s="253">
        <f t="shared" si="0"/>
        <v>78.88996755879968</v>
      </c>
    </row>
    <row r="23" spans="1:8" ht="24.75" customHeight="1">
      <c r="A23" s="123"/>
      <c r="B23" s="124"/>
      <c r="C23" s="129"/>
      <c r="D23" s="57" t="s">
        <v>264</v>
      </c>
      <c r="E23" s="58">
        <v>10000</v>
      </c>
      <c r="F23" s="126">
        <v>10000</v>
      </c>
      <c r="G23" s="58">
        <v>0</v>
      </c>
      <c r="H23" s="253">
        <f t="shared" si="0"/>
        <v>0</v>
      </c>
    </row>
    <row r="24" spans="1:8" ht="21" customHeight="1">
      <c r="A24" s="123"/>
      <c r="B24" s="125"/>
      <c r="C24" s="125"/>
      <c r="D24" s="57" t="s">
        <v>265</v>
      </c>
      <c r="E24" s="58">
        <v>15000</v>
      </c>
      <c r="F24" s="126">
        <v>15000</v>
      </c>
      <c r="G24" s="58">
        <v>11208.7</v>
      </c>
      <c r="H24" s="253">
        <f t="shared" si="0"/>
        <v>74.72466666666668</v>
      </c>
    </row>
    <row r="25" spans="1:8" ht="23.25" customHeight="1">
      <c r="A25" s="123"/>
      <c r="B25" s="125"/>
      <c r="C25" s="125"/>
      <c r="D25" s="57" t="s">
        <v>266</v>
      </c>
      <c r="E25" s="58">
        <v>12000</v>
      </c>
      <c r="F25" s="126">
        <v>12000</v>
      </c>
      <c r="G25" s="58">
        <v>5543.46</v>
      </c>
      <c r="H25" s="253">
        <f t="shared" si="0"/>
        <v>46.1955</v>
      </c>
    </row>
    <row r="26" spans="1:8" ht="18.75" customHeight="1">
      <c r="A26" s="123"/>
      <c r="B26" s="125"/>
      <c r="C26" s="125"/>
      <c r="D26" s="57" t="s">
        <v>267</v>
      </c>
      <c r="E26" s="58">
        <v>10000</v>
      </c>
      <c r="F26" s="126">
        <v>10000</v>
      </c>
      <c r="G26" s="58">
        <v>5131.45</v>
      </c>
      <c r="H26" s="253">
        <f t="shared" si="0"/>
        <v>51.314499999999995</v>
      </c>
    </row>
    <row r="27" spans="1:8" ht="24.75" customHeight="1">
      <c r="A27" s="123"/>
      <c r="B27" s="125"/>
      <c r="C27" s="125"/>
      <c r="D27" s="57" t="s">
        <v>268</v>
      </c>
      <c r="E27" s="58">
        <v>20000</v>
      </c>
      <c r="F27" s="126">
        <v>31000</v>
      </c>
      <c r="G27" s="58">
        <v>6133.34</v>
      </c>
      <c r="H27" s="253">
        <f t="shared" si="0"/>
        <v>19.784967741935482</v>
      </c>
    </row>
    <row r="28" spans="1:8" ht="26.25" customHeight="1">
      <c r="A28" s="123"/>
      <c r="B28" s="125"/>
      <c r="C28" s="125"/>
      <c r="D28" s="57" t="s">
        <v>269</v>
      </c>
      <c r="E28" s="58">
        <v>400</v>
      </c>
      <c r="F28" s="126">
        <v>400</v>
      </c>
      <c r="G28" s="58">
        <v>183.72</v>
      </c>
      <c r="H28" s="253">
        <f t="shared" si="0"/>
        <v>45.93</v>
      </c>
    </row>
    <row r="29" spans="1:8" ht="21" customHeight="1">
      <c r="A29" s="3"/>
      <c r="B29" s="4"/>
      <c r="C29" s="4"/>
      <c r="D29" s="14" t="s">
        <v>67</v>
      </c>
      <c r="E29" s="21">
        <f>SUM(E14)</f>
        <v>250000</v>
      </c>
      <c r="F29" s="21">
        <f>SUM(F14)</f>
        <v>354000</v>
      </c>
      <c r="G29" s="21">
        <f>SUM(G14)</f>
        <v>236329.40000000002</v>
      </c>
      <c r="H29" s="253">
        <f t="shared" si="0"/>
        <v>66.75971751412429</v>
      </c>
    </row>
  </sheetData>
  <sheetProtection/>
  <mergeCells count="3">
    <mergeCell ref="A5:F5"/>
    <mergeCell ref="A6:F6"/>
    <mergeCell ref="A12:F12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4"/>
  <sheetViews>
    <sheetView workbookViewId="0" topLeftCell="A1">
      <selection activeCell="G507" sqref="G507"/>
    </sheetView>
  </sheetViews>
  <sheetFormatPr defaultColWidth="9.00390625" defaultRowHeight="12.75"/>
  <cols>
    <col min="1" max="1" width="4.875" style="9" customWidth="1"/>
    <col min="2" max="2" width="6.625" style="9" customWidth="1"/>
    <col min="3" max="3" width="4.875" style="9" customWidth="1"/>
    <col min="4" max="4" width="31.875" style="9" customWidth="1"/>
    <col min="5" max="6" width="13.75390625" style="32" customWidth="1"/>
    <col min="7" max="7" width="12.875" style="32" customWidth="1"/>
    <col min="8" max="8" width="7.875" style="349" customWidth="1"/>
  </cols>
  <sheetData>
    <row r="1" spans="1:7" ht="12.75">
      <c r="A1" s="286"/>
      <c r="B1" s="286"/>
      <c r="C1" s="286"/>
      <c r="D1" s="286"/>
      <c r="E1" s="68"/>
      <c r="F1" s="68"/>
      <c r="G1" s="68" t="s">
        <v>402</v>
      </c>
    </row>
    <row r="2" spans="1:7" ht="12.75">
      <c r="A2" s="286"/>
      <c r="B2" s="286"/>
      <c r="C2" s="286"/>
      <c r="D2" s="286"/>
      <c r="E2" s="68"/>
      <c r="F2" s="68"/>
      <c r="G2" s="68" t="s">
        <v>509</v>
      </c>
    </row>
    <row r="3" spans="1:7" ht="12.75">
      <c r="A3" s="286"/>
      <c r="B3" s="286"/>
      <c r="C3" s="286"/>
      <c r="D3" s="286"/>
      <c r="E3" s="68"/>
      <c r="F3" s="68"/>
      <c r="G3" s="68" t="s">
        <v>503</v>
      </c>
    </row>
    <row r="4" spans="1:7" ht="12.75">
      <c r="A4" s="286"/>
      <c r="B4" s="286"/>
      <c r="C4" s="286"/>
      <c r="D4" s="286"/>
      <c r="E4" s="68"/>
      <c r="F4" s="68"/>
      <c r="G4" s="68" t="s">
        <v>510</v>
      </c>
    </row>
    <row r="5" spans="1:7" ht="21" customHeight="1">
      <c r="A5" s="351" t="s">
        <v>512</v>
      </c>
      <c r="B5" s="351"/>
      <c r="C5" s="351"/>
      <c r="D5" s="351"/>
      <c r="E5" s="351"/>
      <c r="F5"/>
      <c r="G5"/>
    </row>
    <row r="6" spans="1:8" ht="12.75">
      <c r="A6" s="409" t="s">
        <v>0</v>
      </c>
      <c r="B6" s="409" t="s">
        <v>1</v>
      </c>
      <c r="C6" s="409" t="s">
        <v>2</v>
      </c>
      <c r="D6" s="409" t="s">
        <v>3</v>
      </c>
      <c r="E6" s="410" t="s">
        <v>119</v>
      </c>
      <c r="F6" s="411" t="s">
        <v>480</v>
      </c>
      <c r="G6" s="408" t="s">
        <v>505</v>
      </c>
      <c r="H6" s="408"/>
    </row>
    <row r="7" spans="1:8" s="9" customFormat="1" ht="12">
      <c r="A7" s="409"/>
      <c r="B7" s="409"/>
      <c r="C7" s="409"/>
      <c r="D7" s="409"/>
      <c r="E7" s="410"/>
      <c r="F7" s="411"/>
      <c r="G7" s="287" t="s">
        <v>506</v>
      </c>
      <c r="H7" s="342" t="s">
        <v>507</v>
      </c>
    </row>
    <row r="8" spans="1:8" s="13" customFormat="1" ht="21" customHeight="1">
      <c r="A8" s="352" t="s">
        <v>4</v>
      </c>
      <c r="B8" s="353"/>
      <c r="C8" s="354"/>
      <c r="D8" s="355" t="s">
        <v>5</v>
      </c>
      <c r="E8" s="356">
        <f>SUM(E9,E11,E15,E17)</f>
        <v>312000</v>
      </c>
      <c r="F8" s="356">
        <f>SUM(F9,F11,F15,F17)</f>
        <v>907419</v>
      </c>
      <c r="G8" s="356">
        <f>SUM(G9,G11,G15,G17)</f>
        <v>622566.98</v>
      </c>
      <c r="H8" s="202">
        <f>G8/F8*100</f>
        <v>68.60854577653764</v>
      </c>
    </row>
    <row r="9" spans="1:8" s="28" customFormat="1" ht="21" customHeight="1">
      <c r="A9" s="71"/>
      <c r="B9" s="85" t="s">
        <v>403</v>
      </c>
      <c r="C9" s="289"/>
      <c r="D9" s="43" t="s">
        <v>404</v>
      </c>
      <c r="E9" s="84">
        <f>SUM(E10)</f>
        <v>12000</v>
      </c>
      <c r="F9" s="84">
        <f>SUM(F10)</f>
        <v>12000</v>
      </c>
      <c r="G9" s="84">
        <f>SUM(G10)</f>
        <v>11328.34</v>
      </c>
      <c r="H9" s="203">
        <f aca="true" t="shared" si="0" ref="H9:H72">G9/F9*100</f>
        <v>94.40283333333333</v>
      </c>
    </row>
    <row r="10" spans="1:8" s="28" customFormat="1" ht="45">
      <c r="A10" s="86"/>
      <c r="B10" s="290"/>
      <c r="C10" s="289">
        <v>2850</v>
      </c>
      <c r="D10" s="43" t="s">
        <v>511</v>
      </c>
      <c r="E10" s="84">
        <v>12000</v>
      </c>
      <c r="F10" s="84">
        <v>12000</v>
      </c>
      <c r="G10" s="84">
        <v>11328.34</v>
      </c>
      <c r="H10" s="203">
        <f t="shared" si="0"/>
        <v>94.40283333333333</v>
      </c>
    </row>
    <row r="11" spans="1:8" s="292" customFormat="1" ht="24" customHeight="1">
      <c r="A11" s="291"/>
      <c r="B11" s="290" t="s">
        <v>405</v>
      </c>
      <c r="C11" s="289"/>
      <c r="D11" s="43" t="s">
        <v>406</v>
      </c>
      <c r="E11" s="84">
        <f>SUM(E12)</f>
        <v>300000</v>
      </c>
      <c r="F11" s="84">
        <f>SUM(F12:F14)</f>
        <v>300000</v>
      </c>
      <c r="G11" s="84">
        <f>SUM(G12:G14)</f>
        <v>15821</v>
      </c>
      <c r="H11" s="203">
        <f t="shared" si="0"/>
        <v>5.273666666666667</v>
      </c>
    </row>
    <row r="12" spans="1:8" s="28" customFormat="1" ht="21" customHeight="1">
      <c r="A12" s="86"/>
      <c r="B12" s="290"/>
      <c r="C12" s="289">
        <v>4300</v>
      </c>
      <c r="D12" s="43" t="s">
        <v>76</v>
      </c>
      <c r="E12" s="84">
        <v>300000</v>
      </c>
      <c r="F12" s="84">
        <v>293144</v>
      </c>
      <c r="G12" s="84">
        <v>9821</v>
      </c>
      <c r="H12" s="203">
        <f t="shared" si="0"/>
        <v>3.3502306033894604</v>
      </c>
    </row>
    <row r="13" spans="1:8" s="28" customFormat="1" ht="21" customHeight="1">
      <c r="A13" s="86"/>
      <c r="B13" s="290"/>
      <c r="C13" s="289">
        <v>4110</v>
      </c>
      <c r="D13" s="43" t="s">
        <v>82</v>
      </c>
      <c r="E13" s="84">
        <v>0</v>
      </c>
      <c r="F13" s="84">
        <v>856</v>
      </c>
      <c r="G13" s="84">
        <v>0</v>
      </c>
      <c r="H13" s="203">
        <f t="shared" si="0"/>
        <v>0</v>
      </c>
    </row>
    <row r="14" spans="1:8" s="28" customFormat="1" ht="21" customHeight="1">
      <c r="A14" s="86"/>
      <c r="B14" s="290"/>
      <c r="C14" s="289">
        <v>4170</v>
      </c>
      <c r="D14" s="43" t="s">
        <v>170</v>
      </c>
      <c r="E14" s="84">
        <v>0</v>
      </c>
      <c r="F14" s="84">
        <v>6000</v>
      </c>
      <c r="G14" s="84">
        <v>6000</v>
      </c>
      <c r="H14" s="203">
        <f t="shared" si="0"/>
        <v>100</v>
      </c>
    </row>
    <row r="15" spans="1:8" s="28" customFormat="1" ht="21" customHeight="1">
      <c r="A15" s="86"/>
      <c r="B15" s="290" t="s">
        <v>348</v>
      </c>
      <c r="C15" s="289"/>
      <c r="D15" s="43" t="s">
        <v>407</v>
      </c>
      <c r="E15" s="84">
        <f>SUM(E16)</f>
        <v>0</v>
      </c>
      <c r="F15" s="84">
        <f>SUM(F16)</f>
        <v>45000</v>
      </c>
      <c r="G15" s="84">
        <f>SUM(G16)</f>
        <v>45000</v>
      </c>
      <c r="H15" s="203">
        <f t="shared" si="0"/>
        <v>100</v>
      </c>
    </row>
    <row r="16" spans="1:8" s="28" customFormat="1" ht="56.25">
      <c r="A16" s="86"/>
      <c r="B16" s="290"/>
      <c r="C16" s="289">
        <v>2830</v>
      </c>
      <c r="D16" s="43" t="s">
        <v>341</v>
      </c>
      <c r="E16" s="84">
        <v>0</v>
      </c>
      <c r="F16" s="84">
        <v>45000</v>
      </c>
      <c r="G16" s="84">
        <v>45000</v>
      </c>
      <c r="H16" s="203">
        <f t="shared" si="0"/>
        <v>100</v>
      </c>
    </row>
    <row r="17" spans="1:8" s="28" customFormat="1" ht="21" customHeight="1">
      <c r="A17" s="86"/>
      <c r="B17" s="290" t="s">
        <v>234</v>
      </c>
      <c r="C17" s="289"/>
      <c r="D17" s="43" t="s">
        <v>6</v>
      </c>
      <c r="E17" s="84">
        <f>SUM(E18:E25)</f>
        <v>0</v>
      </c>
      <c r="F17" s="84">
        <f>SUM(F18:F25)</f>
        <v>550419</v>
      </c>
      <c r="G17" s="84">
        <f>SUM(G18:G25)</f>
        <v>550417.64</v>
      </c>
      <c r="H17" s="203">
        <f t="shared" si="0"/>
        <v>99.99975291550619</v>
      </c>
    </row>
    <row r="18" spans="1:8" s="28" customFormat="1" ht="21" customHeight="1">
      <c r="A18" s="86"/>
      <c r="B18" s="290"/>
      <c r="C18" s="289">
        <v>4010</v>
      </c>
      <c r="D18" s="43" t="s">
        <v>80</v>
      </c>
      <c r="E18" s="84">
        <v>0</v>
      </c>
      <c r="F18" s="84">
        <v>6756</v>
      </c>
      <c r="G18" s="84">
        <v>6756</v>
      </c>
      <c r="H18" s="203">
        <f t="shared" si="0"/>
        <v>100</v>
      </c>
    </row>
    <row r="19" spans="1:8" s="28" customFormat="1" ht="21" customHeight="1">
      <c r="A19" s="86"/>
      <c r="B19" s="290"/>
      <c r="C19" s="289">
        <v>4110</v>
      </c>
      <c r="D19" s="43" t="s">
        <v>82</v>
      </c>
      <c r="E19" s="84">
        <v>0</v>
      </c>
      <c r="F19" s="84">
        <v>1026</v>
      </c>
      <c r="G19" s="84">
        <v>1026</v>
      </c>
      <c r="H19" s="203">
        <f t="shared" si="0"/>
        <v>100</v>
      </c>
    </row>
    <row r="20" spans="1:8" s="28" customFormat="1" ht="21" customHeight="1">
      <c r="A20" s="86"/>
      <c r="B20" s="290"/>
      <c r="C20" s="289">
        <v>4120</v>
      </c>
      <c r="D20" s="43" t="s">
        <v>83</v>
      </c>
      <c r="E20" s="84">
        <v>0</v>
      </c>
      <c r="F20" s="84">
        <v>164</v>
      </c>
      <c r="G20" s="84">
        <v>164</v>
      </c>
      <c r="H20" s="203">
        <f t="shared" si="0"/>
        <v>100</v>
      </c>
    </row>
    <row r="21" spans="1:8" s="28" customFormat="1" ht="21" customHeight="1">
      <c r="A21" s="86"/>
      <c r="B21" s="290"/>
      <c r="C21" s="289">
        <v>4210</v>
      </c>
      <c r="D21" s="43" t="s">
        <v>69</v>
      </c>
      <c r="E21" s="84">
        <v>0</v>
      </c>
      <c r="F21" s="84">
        <v>388</v>
      </c>
      <c r="G21" s="84">
        <v>388</v>
      </c>
      <c r="H21" s="203">
        <f t="shared" si="0"/>
        <v>100</v>
      </c>
    </row>
    <row r="22" spans="1:8" s="28" customFormat="1" ht="21" customHeight="1">
      <c r="A22" s="86"/>
      <c r="B22" s="290"/>
      <c r="C22" s="289">
        <v>4300</v>
      </c>
      <c r="D22" s="43" t="s">
        <v>76</v>
      </c>
      <c r="E22" s="84">
        <v>0</v>
      </c>
      <c r="F22" s="84">
        <v>1890</v>
      </c>
      <c r="G22" s="84">
        <v>1890</v>
      </c>
      <c r="H22" s="203">
        <f t="shared" si="0"/>
        <v>100</v>
      </c>
    </row>
    <row r="23" spans="1:8" s="28" customFormat="1" ht="21" customHeight="1">
      <c r="A23" s="86"/>
      <c r="B23" s="290"/>
      <c r="C23" s="289">
        <v>4430</v>
      </c>
      <c r="D23" s="43" t="s">
        <v>88</v>
      </c>
      <c r="E23" s="84">
        <v>0</v>
      </c>
      <c r="F23" s="84">
        <v>539627</v>
      </c>
      <c r="G23" s="84">
        <v>539625.64</v>
      </c>
      <c r="H23" s="203">
        <f t="shared" si="0"/>
        <v>99.99974797406357</v>
      </c>
    </row>
    <row r="24" spans="1:8" s="28" customFormat="1" ht="33.75">
      <c r="A24" s="86"/>
      <c r="B24" s="290"/>
      <c r="C24" s="289">
        <v>4740</v>
      </c>
      <c r="D24" s="43" t="s">
        <v>195</v>
      </c>
      <c r="E24" s="84">
        <v>0</v>
      </c>
      <c r="F24" s="84">
        <v>50</v>
      </c>
      <c r="G24" s="84">
        <v>50</v>
      </c>
      <c r="H24" s="203">
        <f t="shared" si="0"/>
        <v>100</v>
      </c>
    </row>
    <row r="25" spans="1:8" s="28" customFormat="1" ht="22.5">
      <c r="A25" s="86"/>
      <c r="B25" s="290"/>
      <c r="C25" s="289">
        <v>4750</v>
      </c>
      <c r="D25" s="43" t="s">
        <v>408</v>
      </c>
      <c r="E25" s="84">
        <v>0</v>
      </c>
      <c r="F25" s="84">
        <v>518</v>
      </c>
      <c r="G25" s="84">
        <v>518</v>
      </c>
      <c r="H25" s="203">
        <f t="shared" si="0"/>
        <v>100</v>
      </c>
    </row>
    <row r="26" spans="1:8" s="8" customFormat="1" ht="21" customHeight="1">
      <c r="A26" s="39" t="s">
        <v>71</v>
      </c>
      <c r="B26" s="40"/>
      <c r="C26" s="41"/>
      <c r="D26" s="42" t="s">
        <v>72</v>
      </c>
      <c r="E26" s="288">
        <f>E29+E27</f>
        <v>7654925</v>
      </c>
      <c r="F26" s="288">
        <f>F29+F27</f>
        <v>6988391</v>
      </c>
      <c r="G26" s="288">
        <f>G29+G27</f>
        <v>4539824.87</v>
      </c>
      <c r="H26" s="202">
        <f t="shared" si="0"/>
        <v>64.96237646119114</v>
      </c>
    </row>
    <row r="27" spans="1:8" s="161" customFormat="1" ht="21" customHeight="1">
      <c r="A27" s="263"/>
      <c r="B27" s="231">
        <v>60013</v>
      </c>
      <c r="C27" s="232"/>
      <c r="D27" s="230" t="s">
        <v>373</v>
      </c>
      <c r="E27" s="293">
        <f>SUM(E28)</f>
        <v>0</v>
      </c>
      <c r="F27" s="293">
        <f>SUM(F28)</f>
        <v>19600</v>
      </c>
      <c r="G27" s="293">
        <f>SUM(G28)</f>
        <v>19600</v>
      </c>
      <c r="H27" s="203">
        <f t="shared" si="0"/>
        <v>100</v>
      </c>
    </row>
    <row r="28" spans="1:8" s="161" customFormat="1" ht="56.25">
      <c r="A28" s="263"/>
      <c r="B28" s="231"/>
      <c r="C28" s="232">
        <v>6300</v>
      </c>
      <c r="D28" s="230" t="s">
        <v>374</v>
      </c>
      <c r="E28" s="293">
        <v>0</v>
      </c>
      <c r="F28" s="293">
        <v>19600</v>
      </c>
      <c r="G28" s="293">
        <v>19600</v>
      </c>
      <c r="H28" s="203">
        <f t="shared" si="0"/>
        <v>100</v>
      </c>
    </row>
    <row r="29" spans="1:8" s="28" customFormat="1" ht="21" customHeight="1">
      <c r="A29" s="71"/>
      <c r="B29" s="85" t="s">
        <v>73</v>
      </c>
      <c r="C29" s="88"/>
      <c r="D29" s="43" t="s">
        <v>74</v>
      </c>
      <c r="E29" s="84">
        <f>SUM(E30:E34)</f>
        <v>7654925</v>
      </c>
      <c r="F29" s="84">
        <f>SUM(F30:F34)</f>
        <v>6968791</v>
      </c>
      <c r="G29" s="84">
        <f>SUM(G30:G34)</f>
        <v>4520224.87</v>
      </c>
      <c r="H29" s="203">
        <f t="shared" si="0"/>
        <v>64.86383176077457</v>
      </c>
    </row>
    <row r="30" spans="1:8" s="28" customFormat="1" ht="21" customHeight="1">
      <c r="A30" s="71"/>
      <c r="B30" s="294"/>
      <c r="C30" s="71">
        <v>4210</v>
      </c>
      <c r="D30" s="43" t="s">
        <v>69</v>
      </c>
      <c r="E30" s="84">
        <v>57205</v>
      </c>
      <c r="F30" s="84">
        <v>46788</v>
      </c>
      <c r="G30" s="84">
        <v>46531.06</v>
      </c>
      <c r="H30" s="203">
        <f t="shared" si="0"/>
        <v>99.450842096264</v>
      </c>
    </row>
    <row r="31" spans="1:8" s="28" customFormat="1" ht="21" customHeight="1">
      <c r="A31" s="71"/>
      <c r="B31" s="294"/>
      <c r="C31" s="71">
        <v>4270</v>
      </c>
      <c r="D31" s="43" t="s">
        <v>75</v>
      </c>
      <c r="E31" s="84">
        <v>245000</v>
      </c>
      <c r="F31" s="84">
        <v>265000</v>
      </c>
      <c r="G31" s="84">
        <v>221993.9</v>
      </c>
      <c r="H31" s="203">
        <f t="shared" si="0"/>
        <v>83.77128301886792</v>
      </c>
    </row>
    <row r="32" spans="1:8" s="28" customFormat="1" ht="21" customHeight="1">
      <c r="A32" s="71"/>
      <c r="B32" s="294"/>
      <c r="C32" s="71">
        <v>4300</v>
      </c>
      <c r="D32" s="43" t="s">
        <v>76</v>
      </c>
      <c r="E32" s="84">
        <f>21800+200000+80000+30000+25000</f>
        <v>356800</v>
      </c>
      <c r="F32" s="84">
        <v>342160</v>
      </c>
      <c r="G32" s="84">
        <v>314524.45</v>
      </c>
      <c r="H32" s="203">
        <f t="shared" si="0"/>
        <v>91.92320844049567</v>
      </c>
    </row>
    <row r="33" spans="1:8" s="28" customFormat="1" ht="21" customHeight="1">
      <c r="A33" s="71"/>
      <c r="B33" s="294"/>
      <c r="C33" s="71">
        <v>6050</v>
      </c>
      <c r="D33" s="43" t="s">
        <v>70</v>
      </c>
      <c r="E33" s="84">
        <v>6980920</v>
      </c>
      <c r="F33" s="84">
        <v>6300691</v>
      </c>
      <c r="G33" s="84">
        <v>3923023.46</v>
      </c>
      <c r="H33" s="203">
        <f t="shared" si="0"/>
        <v>62.263384444658534</v>
      </c>
    </row>
    <row r="34" spans="1:8" s="28" customFormat="1" ht="22.5">
      <c r="A34" s="71"/>
      <c r="B34" s="294"/>
      <c r="C34" s="71">
        <v>6060</v>
      </c>
      <c r="D34" s="43" t="s">
        <v>90</v>
      </c>
      <c r="E34" s="84">
        <v>15000</v>
      </c>
      <c r="F34" s="84">
        <v>14152</v>
      </c>
      <c r="G34" s="84">
        <v>14152</v>
      </c>
      <c r="H34" s="203">
        <f t="shared" si="0"/>
        <v>100</v>
      </c>
    </row>
    <row r="35" spans="1:8" s="8" customFormat="1" ht="21" customHeight="1">
      <c r="A35" s="39" t="s">
        <v>8</v>
      </c>
      <c r="B35" s="40"/>
      <c r="C35" s="41"/>
      <c r="D35" s="42" t="s">
        <v>9</v>
      </c>
      <c r="E35" s="288">
        <f>SUM(E36,E38,E49,E52)</f>
        <v>3562512</v>
      </c>
      <c r="F35" s="288">
        <f>SUM(F36,F38,F49,F52)</f>
        <v>3569560</v>
      </c>
      <c r="G35" s="288">
        <f>SUM(G36,G38,G49,G52)</f>
        <v>3156494.7900000005</v>
      </c>
      <c r="H35" s="202">
        <f t="shared" si="0"/>
        <v>88.42811971223345</v>
      </c>
    </row>
    <row r="36" spans="1:8" s="28" customFormat="1" ht="22.5">
      <c r="A36" s="71"/>
      <c r="B36" s="294">
        <v>70004</v>
      </c>
      <c r="C36" s="88"/>
      <c r="D36" s="43" t="s">
        <v>409</v>
      </c>
      <c r="E36" s="84">
        <f>SUM(E37)</f>
        <v>45000</v>
      </c>
      <c r="F36" s="84">
        <f>SUM(F37)</f>
        <v>45000</v>
      </c>
      <c r="G36" s="84">
        <f>SUM(G37)</f>
        <v>35486.83</v>
      </c>
      <c r="H36" s="203">
        <f t="shared" si="0"/>
        <v>78.85962222222223</v>
      </c>
    </row>
    <row r="37" spans="1:8" s="28" customFormat="1" ht="21" customHeight="1">
      <c r="A37" s="71"/>
      <c r="B37" s="294"/>
      <c r="C37" s="88">
        <v>4300</v>
      </c>
      <c r="D37" s="43" t="s">
        <v>76</v>
      </c>
      <c r="E37" s="84">
        <v>45000</v>
      </c>
      <c r="F37" s="84">
        <v>45000</v>
      </c>
      <c r="G37" s="84">
        <v>35486.83</v>
      </c>
      <c r="H37" s="203">
        <f t="shared" si="0"/>
        <v>78.85962222222223</v>
      </c>
    </row>
    <row r="38" spans="1:8" s="28" customFormat="1" ht="21" customHeight="1">
      <c r="A38" s="71"/>
      <c r="B38" s="85" t="s">
        <v>10</v>
      </c>
      <c r="C38" s="88"/>
      <c r="D38" s="43" t="s">
        <v>129</v>
      </c>
      <c r="E38" s="84">
        <f>SUM(E39:E48)</f>
        <v>2236932</v>
      </c>
      <c r="F38" s="84">
        <f>SUM(F39:F48)</f>
        <v>2241932</v>
      </c>
      <c r="G38" s="84">
        <f>SUM(G39:G48)</f>
        <v>2051069.6300000004</v>
      </c>
      <c r="H38" s="203">
        <f t="shared" si="0"/>
        <v>91.48670120235583</v>
      </c>
    </row>
    <row r="39" spans="1:8" s="28" customFormat="1" ht="21" customHeight="1">
      <c r="A39" s="71"/>
      <c r="B39" s="85"/>
      <c r="C39" s="88">
        <v>4170</v>
      </c>
      <c r="D39" s="43" t="s">
        <v>170</v>
      </c>
      <c r="E39" s="84">
        <v>0</v>
      </c>
      <c r="F39" s="84">
        <v>8000</v>
      </c>
      <c r="G39" s="84">
        <v>735</v>
      </c>
      <c r="H39" s="203">
        <f t="shared" si="0"/>
        <v>9.1875</v>
      </c>
    </row>
    <row r="40" spans="1:8" s="28" customFormat="1" ht="21" customHeight="1">
      <c r="A40" s="71"/>
      <c r="B40" s="85"/>
      <c r="C40" s="88">
        <v>4210</v>
      </c>
      <c r="D40" s="43" t="s">
        <v>69</v>
      </c>
      <c r="E40" s="84">
        <v>30000</v>
      </c>
      <c r="F40" s="84">
        <v>82000</v>
      </c>
      <c r="G40" s="84">
        <v>81524.94</v>
      </c>
      <c r="H40" s="203">
        <f t="shared" si="0"/>
        <v>99.42065853658536</v>
      </c>
    </row>
    <row r="41" spans="1:8" s="28" customFormat="1" ht="21" customHeight="1">
      <c r="A41" s="71"/>
      <c r="B41" s="85"/>
      <c r="C41" s="88">
        <v>4260</v>
      </c>
      <c r="D41" s="43" t="s">
        <v>89</v>
      </c>
      <c r="E41" s="84">
        <v>106000</v>
      </c>
      <c r="F41" s="84">
        <v>54000</v>
      </c>
      <c r="G41" s="84">
        <v>34798.01</v>
      </c>
      <c r="H41" s="203">
        <f t="shared" si="0"/>
        <v>64.44075925925927</v>
      </c>
    </row>
    <row r="42" spans="1:8" s="28" customFormat="1" ht="21" customHeight="1">
      <c r="A42" s="71"/>
      <c r="B42" s="85"/>
      <c r="C42" s="88">
        <v>4270</v>
      </c>
      <c r="D42" s="43" t="s">
        <v>75</v>
      </c>
      <c r="E42" s="84">
        <v>900000</v>
      </c>
      <c r="F42" s="84">
        <v>897000</v>
      </c>
      <c r="G42" s="84">
        <v>857516.15</v>
      </c>
      <c r="H42" s="203">
        <f t="shared" si="0"/>
        <v>95.59823299888518</v>
      </c>
    </row>
    <row r="43" spans="1:8" s="28" customFormat="1" ht="21" customHeight="1">
      <c r="A43" s="71"/>
      <c r="B43" s="294"/>
      <c r="C43" s="71">
        <v>4300</v>
      </c>
      <c r="D43" s="43" t="s">
        <v>76</v>
      </c>
      <c r="E43" s="84">
        <f>136600+160000</f>
        <v>296600</v>
      </c>
      <c r="F43" s="84">
        <v>290300</v>
      </c>
      <c r="G43" s="84">
        <v>236278.99</v>
      </c>
      <c r="H43" s="203">
        <f t="shared" si="0"/>
        <v>81.39131588012401</v>
      </c>
    </row>
    <row r="44" spans="1:8" s="28" customFormat="1" ht="33.75">
      <c r="A44" s="71"/>
      <c r="B44" s="294"/>
      <c r="C44" s="71">
        <v>4400</v>
      </c>
      <c r="D44" s="43" t="s">
        <v>233</v>
      </c>
      <c r="E44" s="84">
        <v>778500</v>
      </c>
      <c r="F44" s="84">
        <v>778500</v>
      </c>
      <c r="G44" s="84">
        <v>731804.05</v>
      </c>
      <c r="H44" s="203">
        <f t="shared" si="0"/>
        <v>94.00180475272961</v>
      </c>
    </row>
    <row r="45" spans="1:8" s="28" customFormat="1" ht="21" customHeight="1">
      <c r="A45" s="71"/>
      <c r="B45" s="294"/>
      <c r="C45" s="71">
        <v>4480</v>
      </c>
      <c r="D45" s="43" t="s">
        <v>31</v>
      </c>
      <c r="E45" s="84">
        <v>132</v>
      </c>
      <c r="F45" s="84">
        <v>132</v>
      </c>
      <c r="G45" s="84">
        <v>132</v>
      </c>
      <c r="H45" s="203">
        <f t="shared" si="0"/>
        <v>100</v>
      </c>
    </row>
    <row r="46" spans="1:8" s="28" customFormat="1" ht="21" customHeight="1">
      <c r="A46" s="71"/>
      <c r="B46" s="294"/>
      <c r="C46" s="88">
        <v>4510</v>
      </c>
      <c r="D46" s="43" t="s">
        <v>410</v>
      </c>
      <c r="E46" s="84">
        <v>700</v>
      </c>
      <c r="F46" s="84">
        <v>700</v>
      </c>
      <c r="G46" s="84">
        <v>385.59</v>
      </c>
      <c r="H46" s="203">
        <f t="shared" si="0"/>
        <v>55.084285714285706</v>
      </c>
    </row>
    <row r="47" spans="1:8" s="28" customFormat="1" ht="22.5">
      <c r="A47" s="71"/>
      <c r="B47" s="294"/>
      <c r="C47" s="88">
        <v>4610</v>
      </c>
      <c r="D47" s="43" t="s">
        <v>159</v>
      </c>
      <c r="E47" s="84">
        <v>0</v>
      </c>
      <c r="F47" s="84">
        <v>6300</v>
      </c>
      <c r="G47" s="84">
        <v>6223.07</v>
      </c>
      <c r="H47" s="203">
        <f t="shared" si="0"/>
        <v>98.77888888888889</v>
      </c>
    </row>
    <row r="48" spans="1:8" s="28" customFormat="1" ht="22.5">
      <c r="A48" s="71"/>
      <c r="B48" s="294"/>
      <c r="C48" s="71">
        <v>6050</v>
      </c>
      <c r="D48" s="43" t="s">
        <v>70</v>
      </c>
      <c r="E48" s="84">
        <f>65000+60000</f>
        <v>125000</v>
      </c>
      <c r="F48" s="84">
        <v>125000</v>
      </c>
      <c r="G48" s="84">
        <v>101671.83</v>
      </c>
      <c r="H48" s="203">
        <f t="shared" si="0"/>
        <v>81.337464</v>
      </c>
    </row>
    <row r="49" spans="1:8" s="28" customFormat="1" ht="21" customHeight="1">
      <c r="A49" s="71"/>
      <c r="B49" s="294">
        <v>70021</v>
      </c>
      <c r="C49" s="71"/>
      <c r="D49" s="43" t="s">
        <v>158</v>
      </c>
      <c r="E49" s="84">
        <f>SUM(E50:E51)</f>
        <v>680000</v>
      </c>
      <c r="F49" s="84">
        <f>SUM(F50:F51)</f>
        <v>680000</v>
      </c>
      <c r="G49" s="84">
        <f>SUM(G50:G51)</f>
        <v>680000</v>
      </c>
      <c r="H49" s="203">
        <f t="shared" si="0"/>
        <v>100</v>
      </c>
    </row>
    <row r="50" spans="1:8" s="28" customFormat="1" ht="21" customHeight="1">
      <c r="A50" s="71"/>
      <c r="B50" s="294"/>
      <c r="C50" s="71">
        <v>4150</v>
      </c>
      <c r="D50" s="43" t="s">
        <v>411</v>
      </c>
      <c r="E50" s="84">
        <v>680000</v>
      </c>
      <c r="F50" s="84">
        <v>400000</v>
      </c>
      <c r="G50" s="84">
        <v>400000</v>
      </c>
      <c r="H50" s="203">
        <f t="shared" si="0"/>
        <v>100</v>
      </c>
    </row>
    <row r="51" spans="1:8" s="28" customFormat="1" ht="58.5" customHeight="1">
      <c r="A51" s="71"/>
      <c r="B51" s="294"/>
      <c r="C51" s="71">
        <v>6010</v>
      </c>
      <c r="D51" s="43" t="s">
        <v>286</v>
      </c>
      <c r="E51" s="84">
        <v>0</v>
      </c>
      <c r="F51" s="84">
        <v>280000</v>
      </c>
      <c r="G51" s="84">
        <v>280000</v>
      </c>
      <c r="H51" s="203">
        <f t="shared" si="0"/>
        <v>100</v>
      </c>
    </row>
    <row r="52" spans="1:8" s="28" customFormat="1" ht="21" customHeight="1">
      <c r="A52" s="71"/>
      <c r="B52" s="85">
        <v>70095</v>
      </c>
      <c r="C52" s="88"/>
      <c r="D52" s="43" t="s">
        <v>6</v>
      </c>
      <c r="E52" s="84">
        <f>SUM(E53:E56)</f>
        <v>600580</v>
      </c>
      <c r="F52" s="84">
        <f>SUM(F53:F56)</f>
        <v>602628</v>
      </c>
      <c r="G52" s="84">
        <f>SUM(G53:G56)</f>
        <v>389938.33</v>
      </c>
      <c r="H52" s="203">
        <f t="shared" si="0"/>
        <v>64.70630803746258</v>
      </c>
    </row>
    <row r="53" spans="1:8" s="28" customFormat="1" ht="21" customHeight="1">
      <c r="A53" s="71"/>
      <c r="B53" s="85"/>
      <c r="C53" s="88">
        <v>4260</v>
      </c>
      <c r="D53" s="43" t="s">
        <v>89</v>
      </c>
      <c r="E53" s="84">
        <v>500</v>
      </c>
      <c r="F53" s="84">
        <v>555</v>
      </c>
      <c r="G53" s="84">
        <v>493.84</v>
      </c>
      <c r="H53" s="203">
        <f t="shared" si="0"/>
        <v>88.98018018018018</v>
      </c>
    </row>
    <row r="54" spans="1:8" s="28" customFormat="1" ht="21" customHeight="1">
      <c r="A54" s="71"/>
      <c r="B54" s="85"/>
      <c r="C54" s="88">
        <v>4300</v>
      </c>
      <c r="D54" s="43" t="s">
        <v>76</v>
      </c>
      <c r="E54" s="84">
        <v>80</v>
      </c>
      <c r="F54" s="84">
        <v>73</v>
      </c>
      <c r="G54" s="84">
        <v>72.5</v>
      </c>
      <c r="H54" s="203">
        <f t="shared" si="0"/>
        <v>99.31506849315068</v>
      </c>
    </row>
    <row r="55" spans="1:8" s="28" customFormat="1" ht="22.5" customHeight="1">
      <c r="A55" s="71"/>
      <c r="B55" s="85"/>
      <c r="C55" s="88">
        <v>4590</v>
      </c>
      <c r="D55" s="43" t="s">
        <v>487</v>
      </c>
      <c r="E55" s="84">
        <v>0</v>
      </c>
      <c r="F55" s="84">
        <v>2000</v>
      </c>
      <c r="G55" s="84">
        <v>1567.68</v>
      </c>
      <c r="H55" s="203">
        <f t="shared" si="0"/>
        <v>78.384</v>
      </c>
    </row>
    <row r="56" spans="1:8" s="28" customFormat="1" ht="21" customHeight="1">
      <c r="A56" s="71"/>
      <c r="B56" s="85"/>
      <c r="C56" s="71">
        <v>6050</v>
      </c>
      <c r="D56" s="43" t="s">
        <v>70</v>
      </c>
      <c r="E56" s="84">
        <v>600000</v>
      </c>
      <c r="F56" s="84">
        <v>600000</v>
      </c>
      <c r="G56" s="84">
        <v>387804.31</v>
      </c>
      <c r="H56" s="203">
        <f t="shared" si="0"/>
        <v>64.63405166666666</v>
      </c>
    </row>
    <row r="57" spans="1:8" s="8" customFormat="1" ht="21" customHeight="1">
      <c r="A57" s="39" t="s">
        <v>412</v>
      </c>
      <c r="B57" s="40"/>
      <c r="C57" s="41"/>
      <c r="D57" s="42" t="s">
        <v>77</v>
      </c>
      <c r="E57" s="288">
        <f>SUM(E58,E61)</f>
        <v>370500</v>
      </c>
      <c r="F57" s="288">
        <f>SUM(F58,F61)</f>
        <v>370333</v>
      </c>
      <c r="G57" s="288">
        <f>SUM(G58,G61)</f>
        <v>80999.20999999999</v>
      </c>
      <c r="H57" s="202">
        <f t="shared" si="0"/>
        <v>21.871993584152637</v>
      </c>
    </row>
    <row r="58" spans="1:8" s="28" customFormat="1" ht="21" customHeight="1">
      <c r="A58" s="71"/>
      <c r="B58" s="85" t="s">
        <v>413</v>
      </c>
      <c r="C58" s="88"/>
      <c r="D58" s="43" t="s">
        <v>78</v>
      </c>
      <c r="E58" s="84">
        <f>SUM(E59:E60)</f>
        <v>250000</v>
      </c>
      <c r="F58" s="84">
        <f>SUM(F59:F60)</f>
        <v>250000</v>
      </c>
      <c r="G58" s="84">
        <f>SUM(G59:G60)</f>
        <v>76793.7</v>
      </c>
      <c r="H58" s="203">
        <f t="shared" si="0"/>
        <v>30.71748</v>
      </c>
    </row>
    <row r="59" spans="1:8" s="28" customFormat="1" ht="21" customHeight="1">
      <c r="A59" s="71"/>
      <c r="B59" s="85"/>
      <c r="C59" s="88">
        <v>4170</v>
      </c>
      <c r="D59" s="43" t="s">
        <v>170</v>
      </c>
      <c r="E59" s="84">
        <v>0</v>
      </c>
      <c r="F59" s="84">
        <v>50000</v>
      </c>
      <c r="G59" s="84">
        <v>16412</v>
      </c>
      <c r="H59" s="203">
        <f t="shared" si="0"/>
        <v>32.824</v>
      </c>
    </row>
    <row r="60" spans="1:8" s="28" customFormat="1" ht="21" customHeight="1">
      <c r="A60" s="71"/>
      <c r="B60" s="85"/>
      <c r="C60" s="71">
        <v>4300</v>
      </c>
      <c r="D60" s="43" t="s">
        <v>76</v>
      </c>
      <c r="E60" s="84">
        <v>250000</v>
      </c>
      <c r="F60" s="84">
        <v>200000</v>
      </c>
      <c r="G60" s="84">
        <v>60381.7</v>
      </c>
      <c r="H60" s="203">
        <f t="shared" si="0"/>
        <v>30.190849999999998</v>
      </c>
    </row>
    <row r="61" spans="1:8" s="28" customFormat="1" ht="21" customHeight="1">
      <c r="A61" s="71"/>
      <c r="B61" s="85">
        <v>71035</v>
      </c>
      <c r="C61" s="71"/>
      <c r="D61" s="43" t="s">
        <v>13</v>
      </c>
      <c r="E61" s="84">
        <f>SUM(E62:E64)</f>
        <v>120500</v>
      </c>
      <c r="F61" s="84">
        <f>SUM(F62:F64)</f>
        <v>120333</v>
      </c>
      <c r="G61" s="84">
        <f>SUM(G62:G64)</f>
        <v>4205.51</v>
      </c>
      <c r="H61" s="203">
        <f t="shared" si="0"/>
        <v>3.494893337654675</v>
      </c>
    </row>
    <row r="62" spans="1:8" s="28" customFormat="1" ht="21" customHeight="1">
      <c r="A62" s="71"/>
      <c r="B62" s="85"/>
      <c r="C62" s="71">
        <v>4260</v>
      </c>
      <c r="D62" s="43" t="s">
        <v>89</v>
      </c>
      <c r="E62" s="84">
        <f>500+2000</f>
        <v>2500</v>
      </c>
      <c r="F62" s="84">
        <v>2333</v>
      </c>
      <c r="G62" s="84">
        <v>232.6</v>
      </c>
      <c r="H62" s="203">
        <f t="shared" si="0"/>
        <v>9.96999571367338</v>
      </c>
    </row>
    <row r="63" spans="1:8" s="28" customFormat="1" ht="21" customHeight="1">
      <c r="A63" s="71"/>
      <c r="B63" s="85"/>
      <c r="C63" s="71">
        <v>4270</v>
      </c>
      <c r="D63" s="43" t="s">
        <v>75</v>
      </c>
      <c r="E63" s="84">
        <v>100000</v>
      </c>
      <c r="F63" s="84">
        <v>100000</v>
      </c>
      <c r="G63" s="84">
        <v>0</v>
      </c>
      <c r="H63" s="203">
        <f t="shared" si="0"/>
        <v>0</v>
      </c>
    </row>
    <row r="64" spans="1:8" s="28" customFormat="1" ht="21" customHeight="1">
      <c r="A64" s="71"/>
      <c r="B64" s="85"/>
      <c r="C64" s="71">
        <v>4300</v>
      </c>
      <c r="D64" s="43" t="s">
        <v>76</v>
      </c>
      <c r="E64" s="84">
        <v>18000</v>
      </c>
      <c r="F64" s="84">
        <v>18000</v>
      </c>
      <c r="G64" s="84">
        <v>3972.91</v>
      </c>
      <c r="H64" s="203">
        <f t="shared" si="0"/>
        <v>22.07172222222222</v>
      </c>
    </row>
    <row r="65" spans="1:8" s="8" customFormat="1" ht="21" customHeight="1">
      <c r="A65" s="39" t="s">
        <v>14</v>
      </c>
      <c r="B65" s="40"/>
      <c r="C65" s="41"/>
      <c r="D65" s="42" t="s">
        <v>79</v>
      </c>
      <c r="E65" s="288">
        <f>SUM(E66,E84,E96,E121,E134,)</f>
        <v>5659077</v>
      </c>
      <c r="F65" s="288">
        <f>SUM(F66,F84,F96,F121,F134,)</f>
        <v>5621881</v>
      </c>
      <c r="G65" s="288">
        <f>SUM(G66,G84,G96,G121,G134,)</f>
        <v>5275454.830000001</v>
      </c>
      <c r="H65" s="202">
        <f t="shared" si="0"/>
        <v>93.83789571497513</v>
      </c>
    </row>
    <row r="66" spans="1:8" s="28" customFormat="1" ht="21" customHeight="1">
      <c r="A66" s="71"/>
      <c r="B66" s="85">
        <v>75011</v>
      </c>
      <c r="C66" s="88"/>
      <c r="D66" s="43" t="s">
        <v>16</v>
      </c>
      <c r="E66" s="84">
        <f>SUM(E67:E83)</f>
        <v>382320</v>
      </c>
      <c r="F66" s="84">
        <f>SUM(F67:F83)</f>
        <v>382320</v>
      </c>
      <c r="G66" s="84">
        <f>SUM(G67:G83)</f>
        <v>361678.23</v>
      </c>
      <c r="H66" s="203">
        <f t="shared" si="0"/>
        <v>94.60091807909605</v>
      </c>
    </row>
    <row r="67" spans="1:8" s="28" customFormat="1" ht="22.5">
      <c r="A67" s="71"/>
      <c r="B67" s="85"/>
      <c r="C67" s="88">
        <v>3020</v>
      </c>
      <c r="D67" s="43" t="s">
        <v>167</v>
      </c>
      <c r="E67" s="84">
        <v>1760</v>
      </c>
      <c r="F67" s="84">
        <v>1760</v>
      </c>
      <c r="G67" s="84">
        <v>1043.08</v>
      </c>
      <c r="H67" s="203">
        <f t="shared" si="0"/>
        <v>59.26590909090908</v>
      </c>
    </row>
    <row r="68" spans="1:8" s="28" customFormat="1" ht="21" customHeight="1">
      <c r="A68" s="71"/>
      <c r="B68" s="294"/>
      <c r="C68" s="71">
        <v>4010</v>
      </c>
      <c r="D68" s="43" t="s">
        <v>80</v>
      </c>
      <c r="E68" s="84">
        <f>112525+155895</f>
        <v>268420</v>
      </c>
      <c r="F68" s="84">
        <v>269882</v>
      </c>
      <c r="G68" s="84">
        <v>269788.37</v>
      </c>
      <c r="H68" s="203">
        <f t="shared" si="0"/>
        <v>99.96530706012257</v>
      </c>
    </row>
    <row r="69" spans="1:8" s="28" customFormat="1" ht="21" customHeight="1">
      <c r="A69" s="71"/>
      <c r="B69" s="294"/>
      <c r="C69" s="71">
        <v>4040</v>
      </c>
      <c r="D69" s="43" t="s">
        <v>81</v>
      </c>
      <c r="E69" s="84">
        <v>19000</v>
      </c>
      <c r="F69" s="84">
        <v>17300</v>
      </c>
      <c r="G69" s="84">
        <v>17299.79</v>
      </c>
      <c r="H69" s="203">
        <f t="shared" si="0"/>
        <v>99.99878612716763</v>
      </c>
    </row>
    <row r="70" spans="1:8" s="28" customFormat="1" ht="21" customHeight="1">
      <c r="A70" s="71"/>
      <c r="B70" s="294"/>
      <c r="C70" s="71">
        <v>4110</v>
      </c>
      <c r="D70" s="43" t="s">
        <v>82</v>
      </c>
      <c r="E70" s="84">
        <f>13626+29582</f>
        <v>43208</v>
      </c>
      <c r="F70" s="84">
        <v>43208</v>
      </c>
      <c r="G70" s="84">
        <v>40188.57</v>
      </c>
      <c r="H70" s="203">
        <f t="shared" si="0"/>
        <v>93.01187280133308</v>
      </c>
    </row>
    <row r="71" spans="1:8" s="28" customFormat="1" ht="21" customHeight="1">
      <c r="A71" s="71"/>
      <c r="B71" s="294"/>
      <c r="C71" s="71">
        <v>4120</v>
      </c>
      <c r="D71" s="43" t="s">
        <v>83</v>
      </c>
      <c r="E71" s="84">
        <f>2186+4743</f>
        <v>6929</v>
      </c>
      <c r="F71" s="84">
        <v>6929</v>
      </c>
      <c r="G71" s="84">
        <v>6502.91</v>
      </c>
      <c r="H71" s="203">
        <f t="shared" si="0"/>
        <v>93.85062779621879</v>
      </c>
    </row>
    <row r="72" spans="1:8" s="28" customFormat="1" ht="21" customHeight="1">
      <c r="A72" s="71"/>
      <c r="B72" s="294"/>
      <c r="C72" s="71">
        <v>4210</v>
      </c>
      <c r="D72" s="43" t="s">
        <v>87</v>
      </c>
      <c r="E72" s="84">
        <v>13980</v>
      </c>
      <c r="F72" s="84">
        <v>13480</v>
      </c>
      <c r="G72" s="84">
        <v>8674.03</v>
      </c>
      <c r="H72" s="203">
        <f t="shared" si="0"/>
        <v>64.34740356083086</v>
      </c>
    </row>
    <row r="73" spans="1:8" s="28" customFormat="1" ht="21" customHeight="1">
      <c r="A73" s="71"/>
      <c r="B73" s="294"/>
      <c r="C73" s="71">
        <v>4270</v>
      </c>
      <c r="D73" s="43" t="s">
        <v>75</v>
      </c>
      <c r="E73" s="84">
        <v>2000</v>
      </c>
      <c r="F73" s="84">
        <v>2000</v>
      </c>
      <c r="G73" s="84">
        <v>0</v>
      </c>
      <c r="H73" s="203">
        <f aca="true" t="shared" si="1" ref="H73:H136">G73/F73*100</f>
        <v>0</v>
      </c>
    </row>
    <row r="74" spans="1:8" s="28" customFormat="1" ht="21" customHeight="1">
      <c r="A74" s="71"/>
      <c r="B74" s="294"/>
      <c r="C74" s="71">
        <v>4280</v>
      </c>
      <c r="D74" s="43" t="s">
        <v>414</v>
      </c>
      <c r="E74" s="84">
        <v>960</v>
      </c>
      <c r="F74" s="84">
        <v>960</v>
      </c>
      <c r="G74" s="84">
        <v>804</v>
      </c>
      <c r="H74" s="203">
        <f t="shared" si="1"/>
        <v>83.75</v>
      </c>
    </row>
    <row r="75" spans="1:8" s="28" customFormat="1" ht="21" customHeight="1">
      <c r="A75" s="71"/>
      <c r="B75" s="294"/>
      <c r="C75" s="71">
        <v>4300</v>
      </c>
      <c r="D75" s="43" t="s">
        <v>76</v>
      </c>
      <c r="E75" s="84">
        <v>5000</v>
      </c>
      <c r="F75" s="84">
        <v>5000</v>
      </c>
      <c r="G75" s="84">
        <v>1702.24</v>
      </c>
      <c r="H75" s="203">
        <f t="shared" si="1"/>
        <v>34.0448</v>
      </c>
    </row>
    <row r="76" spans="1:8" s="28" customFormat="1" ht="27.75" customHeight="1">
      <c r="A76" s="71"/>
      <c r="B76" s="294"/>
      <c r="C76" s="71">
        <v>4370</v>
      </c>
      <c r="D76" s="43" t="s">
        <v>194</v>
      </c>
      <c r="E76" s="84">
        <v>2000</v>
      </c>
      <c r="F76" s="84">
        <v>2000</v>
      </c>
      <c r="G76" s="84">
        <v>0</v>
      </c>
      <c r="H76" s="203">
        <f t="shared" si="1"/>
        <v>0</v>
      </c>
    </row>
    <row r="77" spans="1:8" s="28" customFormat="1" ht="21" customHeight="1">
      <c r="A77" s="71"/>
      <c r="B77" s="294"/>
      <c r="C77" s="71">
        <v>4410</v>
      </c>
      <c r="D77" s="43" t="s">
        <v>86</v>
      </c>
      <c r="E77" s="84">
        <v>1000</v>
      </c>
      <c r="F77" s="84">
        <v>1000</v>
      </c>
      <c r="G77" s="84">
        <v>184.9</v>
      </c>
      <c r="H77" s="203">
        <f t="shared" si="1"/>
        <v>18.490000000000002</v>
      </c>
    </row>
    <row r="78" spans="1:8" s="28" customFormat="1" ht="21" customHeight="1">
      <c r="A78" s="71"/>
      <c r="B78" s="294"/>
      <c r="C78" s="71">
        <v>4430</v>
      </c>
      <c r="D78" s="43" t="s">
        <v>88</v>
      </c>
      <c r="E78" s="84">
        <v>3500</v>
      </c>
      <c r="F78" s="84">
        <v>3500</v>
      </c>
      <c r="G78" s="84">
        <v>3086.6</v>
      </c>
      <c r="H78" s="203">
        <f t="shared" si="1"/>
        <v>88.18857142857142</v>
      </c>
    </row>
    <row r="79" spans="1:8" s="28" customFormat="1" ht="22.5" customHeight="1">
      <c r="A79" s="71"/>
      <c r="B79" s="294"/>
      <c r="C79" s="289">
        <v>4440</v>
      </c>
      <c r="D79" s="43" t="s">
        <v>84</v>
      </c>
      <c r="E79" s="84">
        <v>9263</v>
      </c>
      <c r="F79" s="84">
        <v>9501</v>
      </c>
      <c r="G79" s="84">
        <v>9500.37</v>
      </c>
      <c r="H79" s="203">
        <f t="shared" si="1"/>
        <v>99.99336911904011</v>
      </c>
    </row>
    <row r="80" spans="1:8" s="28" customFormat="1" ht="21" customHeight="1">
      <c r="A80" s="71"/>
      <c r="B80" s="294"/>
      <c r="C80" s="289">
        <v>4580</v>
      </c>
      <c r="D80" s="43" t="s">
        <v>11</v>
      </c>
      <c r="E80" s="84">
        <v>0</v>
      </c>
      <c r="F80" s="84">
        <v>500</v>
      </c>
      <c r="G80" s="84">
        <v>66.97</v>
      </c>
      <c r="H80" s="203">
        <f t="shared" si="1"/>
        <v>13.394</v>
      </c>
    </row>
    <row r="81" spans="1:8" s="28" customFormat="1" ht="22.5">
      <c r="A81" s="71"/>
      <c r="B81" s="294"/>
      <c r="C81" s="289">
        <v>4700</v>
      </c>
      <c r="D81" s="43" t="s">
        <v>241</v>
      </c>
      <c r="E81" s="84">
        <v>3300</v>
      </c>
      <c r="F81" s="84">
        <v>2300</v>
      </c>
      <c r="G81" s="84">
        <v>510</v>
      </c>
      <c r="H81" s="203">
        <f t="shared" si="1"/>
        <v>22.17391304347826</v>
      </c>
    </row>
    <row r="82" spans="1:8" s="28" customFormat="1" ht="33.75">
      <c r="A82" s="71"/>
      <c r="B82" s="294"/>
      <c r="C82" s="289">
        <v>4740</v>
      </c>
      <c r="D82" s="43" t="s">
        <v>195</v>
      </c>
      <c r="E82" s="84">
        <v>1000</v>
      </c>
      <c r="F82" s="84">
        <v>500</v>
      </c>
      <c r="G82" s="84">
        <v>0</v>
      </c>
      <c r="H82" s="203">
        <f t="shared" si="1"/>
        <v>0</v>
      </c>
    </row>
    <row r="83" spans="1:8" s="28" customFormat="1" ht="22.5">
      <c r="A83" s="71"/>
      <c r="B83" s="294"/>
      <c r="C83" s="289">
        <v>4750</v>
      </c>
      <c r="D83" s="43" t="s">
        <v>408</v>
      </c>
      <c r="E83" s="84">
        <v>1000</v>
      </c>
      <c r="F83" s="84">
        <v>2500</v>
      </c>
      <c r="G83" s="84">
        <v>2326.4</v>
      </c>
      <c r="H83" s="203">
        <f t="shared" si="1"/>
        <v>93.05600000000001</v>
      </c>
    </row>
    <row r="84" spans="1:8" s="28" customFormat="1" ht="21" customHeight="1">
      <c r="A84" s="88"/>
      <c r="B84" s="85" t="s">
        <v>415</v>
      </c>
      <c r="C84" s="88"/>
      <c r="D84" s="43" t="s">
        <v>416</v>
      </c>
      <c r="E84" s="84">
        <f>SUM(E85:E95)</f>
        <v>312700</v>
      </c>
      <c r="F84" s="84">
        <f>SUM(F85:F95)</f>
        <v>320700</v>
      </c>
      <c r="G84" s="84">
        <f>SUM(G85:G95)</f>
        <v>295574.7</v>
      </c>
      <c r="H84" s="203">
        <f t="shared" si="1"/>
        <v>92.16548175865294</v>
      </c>
    </row>
    <row r="85" spans="1:8" s="28" customFormat="1" ht="21" customHeight="1">
      <c r="A85" s="88"/>
      <c r="B85" s="85"/>
      <c r="C85" s="71">
        <v>3030</v>
      </c>
      <c r="D85" s="43" t="s">
        <v>85</v>
      </c>
      <c r="E85" s="84">
        <v>261600</v>
      </c>
      <c r="F85" s="84">
        <v>255600</v>
      </c>
      <c r="G85" s="84">
        <v>253790.91</v>
      </c>
      <c r="H85" s="203">
        <f t="shared" si="1"/>
        <v>99.29221830985917</v>
      </c>
    </row>
    <row r="86" spans="1:8" s="28" customFormat="1" ht="21" customHeight="1">
      <c r="A86" s="88"/>
      <c r="B86" s="85"/>
      <c r="C86" s="71">
        <v>4170</v>
      </c>
      <c r="D86" s="43" t="s">
        <v>170</v>
      </c>
      <c r="E86" s="84">
        <v>2000</v>
      </c>
      <c r="F86" s="84">
        <v>2000</v>
      </c>
      <c r="G86" s="84">
        <v>1998</v>
      </c>
      <c r="H86" s="203">
        <f t="shared" si="1"/>
        <v>99.9</v>
      </c>
    </row>
    <row r="87" spans="1:8" s="28" customFormat="1" ht="21" customHeight="1">
      <c r="A87" s="88"/>
      <c r="B87" s="85"/>
      <c r="C87" s="71">
        <v>4210</v>
      </c>
      <c r="D87" s="43" t="s">
        <v>87</v>
      </c>
      <c r="E87" s="84">
        <v>17500</v>
      </c>
      <c r="F87" s="84">
        <v>31500</v>
      </c>
      <c r="G87" s="84">
        <v>21862.86</v>
      </c>
      <c r="H87" s="203">
        <f t="shared" si="1"/>
        <v>69.40590476190476</v>
      </c>
    </row>
    <row r="88" spans="1:8" s="28" customFormat="1" ht="21" customHeight="1">
      <c r="A88" s="88"/>
      <c r="B88" s="85"/>
      <c r="C88" s="71">
        <v>4300</v>
      </c>
      <c r="D88" s="43" t="s">
        <v>76</v>
      </c>
      <c r="E88" s="84">
        <v>22000</v>
      </c>
      <c r="F88" s="84">
        <v>18000</v>
      </c>
      <c r="G88" s="84">
        <v>9950.64</v>
      </c>
      <c r="H88" s="203">
        <f t="shared" si="1"/>
        <v>55.28133333333333</v>
      </c>
    </row>
    <row r="89" spans="1:8" s="28" customFormat="1" ht="21.75" customHeight="1">
      <c r="A89" s="88"/>
      <c r="B89" s="85"/>
      <c r="C89" s="71">
        <v>4370</v>
      </c>
      <c r="D89" s="43" t="s">
        <v>194</v>
      </c>
      <c r="E89" s="84">
        <v>100</v>
      </c>
      <c r="F89" s="84">
        <v>100</v>
      </c>
      <c r="G89" s="84">
        <v>15.01</v>
      </c>
      <c r="H89" s="203">
        <f t="shared" si="1"/>
        <v>15.010000000000002</v>
      </c>
    </row>
    <row r="90" spans="1:8" s="28" customFormat="1" ht="21" customHeight="1">
      <c r="A90" s="88"/>
      <c r="B90" s="85"/>
      <c r="C90" s="71">
        <v>4410</v>
      </c>
      <c r="D90" s="43" t="s">
        <v>86</v>
      </c>
      <c r="E90" s="84">
        <v>4000</v>
      </c>
      <c r="F90" s="84">
        <v>4000</v>
      </c>
      <c r="G90" s="84">
        <v>4014.2</v>
      </c>
      <c r="H90" s="203">
        <f t="shared" si="1"/>
        <v>100.35499999999999</v>
      </c>
    </row>
    <row r="91" spans="1:8" s="28" customFormat="1" ht="21" customHeight="1">
      <c r="A91" s="88"/>
      <c r="B91" s="85"/>
      <c r="C91" s="71">
        <v>4420</v>
      </c>
      <c r="D91" s="43" t="s">
        <v>417</v>
      </c>
      <c r="E91" s="84">
        <v>2000</v>
      </c>
      <c r="F91" s="84">
        <v>2000</v>
      </c>
      <c r="G91" s="84">
        <v>1755.61</v>
      </c>
      <c r="H91" s="203">
        <f t="shared" si="1"/>
        <v>87.78049999999999</v>
      </c>
    </row>
    <row r="92" spans="1:8" s="28" customFormat="1" ht="21" customHeight="1">
      <c r="A92" s="88"/>
      <c r="B92" s="85"/>
      <c r="C92" s="289">
        <v>4430</v>
      </c>
      <c r="D92" s="43" t="s">
        <v>88</v>
      </c>
      <c r="E92" s="84">
        <v>500</v>
      </c>
      <c r="F92" s="84">
        <v>500</v>
      </c>
      <c r="G92" s="84">
        <v>158.6</v>
      </c>
      <c r="H92" s="203">
        <f t="shared" si="1"/>
        <v>31.72</v>
      </c>
    </row>
    <row r="93" spans="1:8" s="28" customFormat="1" ht="21" customHeight="1">
      <c r="A93" s="88"/>
      <c r="B93" s="85"/>
      <c r="C93" s="289">
        <v>4610</v>
      </c>
      <c r="D93" s="43" t="s">
        <v>159</v>
      </c>
      <c r="E93" s="84">
        <v>0</v>
      </c>
      <c r="F93" s="84">
        <v>4000</v>
      </c>
      <c r="G93" s="84">
        <v>0</v>
      </c>
      <c r="H93" s="203">
        <f t="shared" si="1"/>
        <v>0</v>
      </c>
    </row>
    <row r="94" spans="1:8" s="28" customFormat="1" ht="33.75">
      <c r="A94" s="88"/>
      <c r="B94" s="85"/>
      <c r="C94" s="289">
        <v>4740</v>
      </c>
      <c r="D94" s="43" t="s">
        <v>418</v>
      </c>
      <c r="E94" s="84">
        <v>2000</v>
      </c>
      <c r="F94" s="84">
        <v>2000</v>
      </c>
      <c r="G94" s="84">
        <v>1475.21</v>
      </c>
      <c r="H94" s="203">
        <f t="shared" si="1"/>
        <v>73.76050000000001</v>
      </c>
    </row>
    <row r="95" spans="1:8" s="28" customFormat="1" ht="22.5">
      <c r="A95" s="88"/>
      <c r="B95" s="85"/>
      <c r="C95" s="289">
        <v>4750</v>
      </c>
      <c r="D95" s="43" t="s">
        <v>408</v>
      </c>
      <c r="E95" s="84">
        <v>1000</v>
      </c>
      <c r="F95" s="84">
        <v>1000</v>
      </c>
      <c r="G95" s="84">
        <v>553.66</v>
      </c>
      <c r="H95" s="203">
        <f t="shared" si="1"/>
        <v>55.36599999999999</v>
      </c>
    </row>
    <row r="96" spans="1:8" s="28" customFormat="1" ht="22.5">
      <c r="A96" s="88"/>
      <c r="B96" s="85" t="s">
        <v>17</v>
      </c>
      <c r="C96" s="88"/>
      <c r="D96" s="43" t="s">
        <v>18</v>
      </c>
      <c r="E96" s="84">
        <f>SUM(E97:E120)</f>
        <v>4639517</v>
      </c>
      <c r="F96" s="84">
        <f>SUM(F97:F120)</f>
        <v>4593017</v>
      </c>
      <c r="G96" s="84">
        <f>SUM(G97:G120)</f>
        <v>4312993.570000001</v>
      </c>
      <c r="H96" s="203">
        <f t="shared" si="1"/>
        <v>93.90327904294718</v>
      </c>
    </row>
    <row r="97" spans="1:8" s="28" customFormat="1" ht="22.5">
      <c r="A97" s="88"/>
      <c r="B97" s="85"/>
      <c r="C97" s="71">
        <v>3020</v>
      </c>
      <c r="D97" s="43" t="s">
        <v>167</v>
      </c>
      <c r="E97" s="84">
        <v>24500</v>
      </c>
      <c r="F97" s="84">
        <v>18500</v>
      </c>
      <c r="G97" s="84">
        <v>16569.38</v>
      </c>
      <c r="H97" s="203">
        <f t="shared" si="1"/>
        <v>89.56421621621622</v>
      </c>
    </row>
    <row r="98" spans="1:8" s="28" customFormat="1" ht="21" customHeight="1">
      <c r="A98" s="88"/>
      <c r="B98" s="85"/>
      <c r="C98" s="71">
        <v>4010</v>
      </c>
      <c r="D98" s="43" t="s">
        <v>80</v>
      </c>
      <c r="E98" s="84">
        <v>2819359</v>
      </c>
      <c r="F98" s="84">
        <v>2820479</v>
      </c>
      <c r="G98" s="84">
        <v>2800363.39</v>
      </c>
      <c r="H98" s="203">
        <f t="shared" si="1"/>
        <v>99.2868016390124</v>
      </c>
    </row>
    <row r="99" spans="1:8" s="28" customFormat="1" ht="21" customHeight="1">
      <c r="A99" s="88"/>
      <c r="B99" s="85"/>
      <c r="C99" s="71">
        <v>4040</v>
      </c>
      <c r="D99" s="43" t="s">
        <v>81</v>
      </c>
      <c r="E99" s="84">
        <v>182000</v>
      </c>
      <c r="F99" s="84">
        <v>175880</v>
      </c>
      <c r="G99" s="84">
        <v>172820.56</v>
      </c>
      <c r="H99" s="203">
        <f t="shared" si="1"/>
        <v>98.26049579258586</v>
      </c>
    </row>
    <row r="100" spans="1:8" s="28" customFormat="1" ht="21" customHeight="1">
      <c r="A100" s="88"/>
      <c r="B100" s="85"/>
      <c r="C100" s="71">
        <v>4110</v>
      </c>
      <c r="D100" s="43" t="s">
        <v>82</v>
      </c>
      <c r="E100" s="84">
        <v>466390</v>
      </c>
      <c r="F100" s="84">
        <v>461390</v>
      </c>
      <c r="G100" s="84">
        <v>398126.37</v>
      </c>
      <c r="H100" s="203">
        <f t="shared" si="1"/>
        <v>86.28846962439584</v>
      </c>
    </row>
    <row r="101" spans="1:8" s="28" customFormat="1" ht="21" customHeight="1">
      <c r="A101" s="88"/>
      <c r="B101" s="85"/>
      <c r="C101" s="71">
        <v>4120</v>
      </c>
      <c r="D101" s="43" t="s">
        <v>83</v>
      </c>
      <c r="E101" s="84">
        <v>86712</v>
      </c>
      <c r="F101" s="84">
        <v>86712</v>
      </c>
      <c r="G101" s="84">
        <v>65175.66</v>
      </c>
      <c r="H101" s="203">
        <f t="shared" si="1"/>
        <v>75.16336839191807</v>
      </c>
    </row>
    <row r="102" spans="1:8" s="28" customFormat="1" ht="21" customHeight="1">
      <c r="A102" s="88"/>
      <c r="B102" s="85"/>
      <c r="C102" s="71">
        <v>4170</v>
      </c>
      <c r="D102" s="43" t="s">
        <v>170</v>
      </c>
      <c r="E102" s="84">
        <v>23728</v>
      </c>
      <c r="F102" s="84">
        <v>68728</v>
      </c>
      <c r="G102" s="84">
        <v>68544.5</v>
      </c>
      <c r="H102" s="203">
        <f t="shared" si="1"/>
        <v>99.73300547084158</v>
      </c>
    </row>
    <row r="103" spans="1:8" s="28" customFormat="1" ht="21" customHeight="1">
      <c r="A103" s="88"/>
      <c r="B103" s="85"/>
      <c r="C103" s="71">
        <v>4210</v>
      </c>
      <c r="D103" s="43" t="s">
        <v>87</v>
      </c>
      <c r="E103" s="84">
        <v>156450</v>
      </c>
      <c r="F103" s="84">
        <v>155450</v>
      </c>
      <c r="G103" s="84">
        <v>115194.11</v>
      </c>
      <c r="H103" s="203">
        <f t="shared" si="1"/>
        <v>74.10364104213573</v>
      </c>
    </row>
    <row r="104" spans="1:8" s="28" customFormat="1" ht="21" customHeight="1">
      <c r="A104" s="88"/>
      <c r="B104" s="85"/>
      <c r="C104" s="71">
        <v>4260</v>
      </c>
      <c r="D104" s="43" t="s">
        <v>89</v>
      </c>
      <c r="E104" s="84">
        <v>89200</v>
      </c>
      <c r="F104" s="84">
        <v>118200</v>
      </c>
      <c r="G104" s="84">
        <v>106203.37</v>
      </c>
      <c r="H104" s="203">
        <f t="shared" si="1"/>
        <v>89.8505668358714</v>
      </c>
    </row>
    <row r="105" spans="1:8" s="28" customFormat="1" ht="21" customHeight="1">
      <c r="A105" s="88"/>
      <c r="B105" s="85"/>
      <c r="C105" s="71">
        <v>4270</v>
      </c>
      <c r="D105" s="43" t="s">
        <v>75</v>
      </c>
      <c r="E105" s="84">
        <v>50000</v>
      </c>
      <c r="F105" s="84">
        <v>52000</v>
      </c>
      <c r="G105" s="84">
        <v>51179.73</v>
      </c>
      <c r="H105" s="203">
        <f t="shared" si="1"/>
        <v>98.4225576923077</v>
      </c>
    </row>
    <row r="106" spans="1:8" s="28" customFormat="1" ht="21" customHeight="1">
      <c r="A106" s="88"/>
      <c r="B106" s="85"/>
      <c r="C106" s="71">
        <v>4280</v>
      </c>
      <c r="D106" s="43" t="s">
        <v>414</v>
      </c>
      <c r="E106" s="84">
        <v>10000</v>
      </c>
      <c r="F106" s="84">
        <v>13000</v>
      </c>
      <c r="G106" s="84">
        <v>12470</v>
      </c>
      <c r="H106" s="203">
        <f t="shared" si="1"/>
        <v>95.92307692307692</v>
      </c>
    </row>
    <row r="107" spans="1:8" s="28" customFormat="1" ht="21" customHeight="1">
      <c r="A107" s="88"/>
      <c r="B107" s="85"/>
      <c r="C107" s="71">
        <v>4300</v>
      </c>
      <c r="D107" s="43" t="s">
        <v>76</v>
      </c>
      <c r="E107" s="84">
        <v>210700</v>
      </c>
      <c r="F107" s="84">
        <v>209200</v>
      </c>
      <c r="G107" s="84">
        <v>171813.81</v>
      </c>
      <c r="H107" s="203">
        <f t="shared" si="1"/>
        <v>82.1289722753346</v>
      </c>
    </row>
    <row r="108" spans="1:8" s="28" customFormat="1" ht="21" customHeight="1">
      <c r="A108" s="88"/>
      <c r="B108" s="85"/>
      <c r="C108" s="71">
        <v>4350</v>
      </c>
      <c r="D108" s="43" t="s">
        <v>419</v>
      </c>
      <c r="E108" s="84">
        <v>15000</v>
      </c>
      <c r="F108" s="84">
        <v>15000</v>
      </c>
      <c r="G108" s="84">
        <v>13477.31</v>
      </c>
      <c r="H108" s="203">
        <f t="shared" si="1"/>
        <v>89.84873333333333</v>
      </c>
    </row>
    <row r="109" spans="1:8" s="28" customFormat="1" ht="24.75" customHeight="1">
      <c r="A109" s="88"/>
      <c r="B109" s="85"/>
      <c r="C109" s="71">
        <v>4360</v>
      </c>
      <c r="D109" s="43" t="s">
        <v>420</v>
      </c>
      <c r="E109" s="84">
        <v>23500</v>
      </c>
      <c r="F109" s="84">
        <v>23500</v>
      </c>
      <c r="G109" s="84">
        <v>21308.89</v>
      </c>
      <c r="H109" s="203">
        <f t="shared" si="1"/>
        <v>90.67612765957446</v>
      </c>
    </row>
    <row r="110" spans="1:8" s="28" customFormat="1" ht="26.25" customHeight="1">
      <c r="A110" s="88"/>
      <c r="B110" s="85"/>
      <c r="C110" s="71">
        <v>4370</v>
      </c>
      <c r="D110" s="43" t="s">
        <v>194</v>
      </c>
      <c r="E110" s="84">
        <v>51500</v>
      </c>
      <c r="F110" s="84">
        <v>44500</v>
      </c>
      <c r="G110" s="84">
        <v>26900.32</v>
      </c>
      <c r="H110" s="203">
        <f t="shared" si="1"/>
        <v>60.45015730337079</v>
      </c>
    </row>
    <row r="111" spans="1:8" s="28" customFormat="1" ht="21" customHeight="1">
      <c r="A111" s="88"/>
      <c r="B111" s="85"/>
      <c r="C111" s="71">
        <v>4410</v>
      </c>
      <c r="D111" s="43" t="s">
        <v>86</v>
      </c>
      <c r="E111" s="84">
        <v>53200</v>
      </c>
      <c r="F111" s="84">
        <v>53200</v>
      </c>
      <c r="G111" s="84">
        <v>45829.35</v>
      </c>
      <c r="H111" s="203">
        <f t="shared" si="1"/>
        <v>86.1453947368421</v>
      </c>
    </row>
    <row r="112" spans="1:8" s="28" customFormat="1" ht="21" customHeight="1">
      <c r="A112" s="88"/>
      <c r="B112" s="85"/>
      <c r="C112" s="88">
        <v>4420</v>
      </c>
      <c r="D112" s="43" t="s">
        <v>417</v>
      </c>
      <c r="E112" s="84">
        <v>5000</v>
      </c>
      <c r="F112" s="84">
        <v>200</v>
      </c>
      <c r="G112" s="84">
        <v>197.8</v>
      </c>
      <c r="H112" s="203">
        <f t="shared" si="1"/>
        <v>98.9</v>
      </c>
    </row>
    <row r="113" spans="1:8" s="28" customFormat="1" ht="21" customHeight="1">
      <c r="A113" s="88"/>
      <c r="B113" s="85"/>
      <c r="C113" s="289">
        <v>4430</v>
      </c>
      <c r="D113" s="43" t="s">
        <v>88</v>
      </c>
      <c r="E113" s="84">
        <v>63502</v>
      </c>
      <c r="F113" s="84">
        <v>43502</v>
      </c>
      <c r="G113" s="84">
        <v>30216.89</v>
      </c>
      <c r="H113" s="203">
        <f t="shared" si="1"/>
        <v>69.46092133695002</v>
      </c>
    </row>
    <row r="114" spans="1:8" s="28" customFormat="1" ht="22.5">
      <c r="A114" s="88"/>
      <c r="B114" s="85"/>
      <c r="C114" s="289">
        <v>4440</v>
      </c>
      <c r="D114" s="43" t="s">
        <v>84</v>
      </c>
      <c r="E114" s="84">
        <f>125776-5000</f>
        <v>120776</v>
      </c>
      <c r="F114" s="84">
        <v>100776</v>
      </c>
      <c r="G114" s="84">
        <v>85578.28</v>
      </c>
      <c r="H114" s="203">
        <f t="shared" si="1"/>
        <v>84.91930618401207</v>
      </c>
    </row>
    <row r="115" spans="1:8" s="28" customFormat="1" ht="21" customHeight="1">
      <c r="A115" s="88"/>
      <c r="B115" s="85"/>
      <c r="C115" s="289">
        <v>4510</v>
      </c>
      <c r="D115" s="43" t="s">
        <v>410</v>
      </c>
      <c r="E115" s="84">
        <v>4000</v>
      </c>
      <c r="F115" s="84">
        <v>500</v>
      </c>
      <c r="G115" s="84">
        <v>200</v>
      </c>
      <c r="H115" s="203">
        <f t="shared" si="1"/>
        <v>40</v>
      </c>
    </row>
    <row r="116" spans="1:8" s="28" customFormat="1" ht="21" customHeight="1">
      <c r="A116" s="88"/>
      <c r="B116" s="85"/>
      <c r="C116" s="289">
        <v>4580</v>
      </c>
      <c r="D116" s="43" t="s">
        <v>11</v>
      </c>
      <c r="E116" s="84">
        <v>0</v>
      </c>
      <c r="F116" s="84">
        <v>1000</v>
      </c>
      <c r="G116" s="84">
        <v>289.39</v>
      </c>
      <c r="H116" s="203">
        <f t="shared" si="1"/>
        <v>28.938999999999997</v>
      </c>
    </row>
    <row r="117" spans="1:8" s="28" customFormat="1" ht="27" customHeight="1">
      <c r="A117" s="88"/>
      <c r="B117" s="85"/>
      <c r="C117" s="289">
        <v>4700</v>
      </c>
      <c r="D117" s="43" t="s">
        <v>241</v>
      </c>
      <c r="E117" s="84">
        <v>31000</v>
      </c>
      <c r="F117" s="84">
        <v>41800</v>
      </c>
      <c r="G117" s="84">
        <v>35048.04</v>
      </c>
      <c r="H117" s="203">
        <f t="shared" si="1"/>
        <v>83.84698564593302</v>
      </c>
    </row>
    <row r="118" spans="1:8" s="28" customFormat="1" ht="33.75">
      <c r="A118" s="88"/>
      <c r="B118" s="85"/>
      <c r="C118" s="289">
        <v>4740</v>
      </c>
      <c r="D118" s="43" t="s">
        <v>195</v>
      </c>
      <c r="E118" s="84">
        <v>20000</v>
      </c>
      <c r="F118" s="84">
        <v>20000</v>
      </c>
      <c r="G118" s="84">
        <v>9641.9</v>
      </c>
      <c r="H118" s="203">
        <f t="shared" si="1"/>
        <v>48.2095</v>
      </c>
    </row>
    <row r="119" spans="1:8" s="28" customFormat="1" ht="26.25" customHeight="1">
      <c r="A119" s="88"/>
      <c r="B119" s="85"/>
      <c r="C119" s="289">
        <v>4750</v>
      </c>
      <c r="D119" s="43" t="s">
        <v>408</v>
      </c>
      <c r="E119" s="84">
        <v>38000</v>
      </c>
      <c r="F119" s="84">
        <v>42387</v>
      </c>
      <c r="G119" s="84">
        <v>40284.58</v>
      </c>
      <c r="H119" s="203">
        <f t="shared" si="1"/>
        <v>95.03994149149504</v>
      </c>
    </row>
    <row r="120" spans="1:8" s="28" customFormat="1" ht="25.5" customHeight="1">
      <c r="A120" s="88"/>
      <c r="B120" s="85"/>
      <c r="C120" s="289">
        <v>6060</v>
      </c>
      <c r="D120" s="43" t="s">
        <v>90</v>
      </c>
      <c r="E120" s="84">
        <v>95000</v>
      </c>
      <c r="F120" s="84">
        <v>27113</v>
      </c>
      <c r="G120" s="84">
        <v>25559.94</v>
      </c>
      <c r="H120" s="203">
        <f t="shared" si="1"/>
        <v>94.27189908899788</v>
      </c>
    </row>
    <row r="121" spans="1:8" s="28" customFormat="1" ht="24.75" customHeight="1">
      <c r="A121" s="88"/>
      <c r="B121" s="85">
        <v>75075</v>
      </c>
      <c r="C121" s="88"/>
      <c r="D121" s="43" t="s">
        <v>421</v>
      </c>
      <c r="E121" s="84">
        <f>SUM(E122:E133)</f>
        <v>199960</v>
      </c>
      <c r="F121" s="84">
        <f>SUM(F122:F133)</f>
        <v>203960</v>
      </c>
      <c r="G121" s="84">
        <f>SUM(G122:G133)</f>
        <v>187542.76000000004</v>
      </c>
      <c r="H121" s="203">
        <f t="shared" si="1"/>
        <v>91.95075505000983</v>
      </c>
    </row>
    <row r="122" spans="1:8" s="28" customFormat="1" ht="22.5" customHeight="1">
      <c r="A122" s="88"/>
      <c r="B122" s="85"/>
      <c r="C122" s="88">
        <v>3020</v>
      </c>
      <c r="D122" s="43" t="s">
        <v>167</v>
      </c>
      <c r="E122" s="84">
        <v>8000</v>
      </c>
      <c r="F122" s="84">
        <v>8000</v>
      </c>
      <c r="G122" s="84">
        <v>7600</v>
      </c>
      <c r="H122" s="203">
        <f t="shared" si="1"/>
        <v>95</v>
      </c>
    </row>
    <row r="123" spans="1:8" s="28" customFormat="1" ht="21" customHeight="1">
      <c r="A123" s="88"/>
      <c r="B123" s="85"/>
      <c r="C123" s="88">
        <v>4110</v>
      </c>
      <c r="D123" s="43" t="s">
        <v>82</v>
      </c>
      <c r="E123" s="84">
        <v>1000</v>
      </c>
      <c r="F123" s="84">
        <v>200</v>
      </c>
      <c r="G123" s="84">
        <v>75.95</v>
      </c>
      <c r="H123" s="203">
        <f t="shared" si="1"/>
        <v>37.975</v>
      </c>
    </row>
    <row r="124" spans="1:8" s="28" customFormat="1" ht="21" customHeight="1">
      <c r="A124" s="88"/>
      <c r="B124" s="85"/>
      <c r="C124" s="88">
        <v>4120</v>
      </c>
      <c r="D124" s="43" t="s">
        <v>83</v>
      </c>
      <c r="E124" s="84">
        <v>100</v>
      </c>
      <c r="F124" s="84">
        <v>30</v>
      </c>
      <c r="G124" s="84">
        <v>12.25</v>
      </c>
      <c r="H124" s="203">
        <f t="shared" si="1"/>
        <v>40.833333333333336</v>
      </c>
    </row>
    <row r="125" spans="1:8" s="28" customFormat="1" ht="21" customHeight="1">
      <c r="A125" s="88"/>
      <c r="B125" s="85"/>
      <c r="C125" s="88">
        <v>4170</v>
      </c>
      <c r="D125" s="43" t="s">
        <v>170</v>
      </c>
      <c r="E125" s="84">
        <v>6000</v>
      </c>
      <c r="F125" s="84">
        <v>6870</v>
      </c>
      <c r="G125" s="84">
        <v>6268</v>
      </c>
      <c r="H125" s="203">
        <f t="shared" si="1"/>
        <v>91.2372634643377</v>
      </c>
    </row>
    <row r="126" spans="1:8" s="28" customFormat="1" ht="21" customHeight="1">
      <c r="A126" s="88"/>
      <c r="B126" s="85"/>
      <c r="C126" s="88">
        <v>4210</v>
      </c>
      <c r="D126" s="43" t="s">
        <v>87</v>
      </c>
      <c r="E126" s="84">
        <v>75000</v>
      </c>
      <c r="F126" s="84">
        <v>59000</v>
      </c>
      <c r="G126" s="84">
        <v>46779.99</v>
      </c>
      <c r="H126" s="203">
        <f t="shared" si="1"/>
        <v>79.2881186440678</v>
      </c>
    </row>
    <row r="127" spans="1:8" s="28" customFormat="1" ht="21" customHeight="1">
      <c r="A127" s="88"/>
      <c r="B127" s="85"/>
      <c r="C127" s="71">
        <v>4300</v>
      </c>
      <c r="D127" s="43" t="s">
        <v>76</v>
      </c>
      <c r="E127" s="84">
        <v>96360</v>
      </c>
      <c r="F127" s="84">
        <v>118360</v>
      </c>
      <c r="G127" s="84">
        <v>117818.16</v>
      </c>
      <c r="H127" s="203">
        <f t="shared" si="1"/>
        <v>99.54221020615073</v>
      </c>
    </row>
    <row r="128" spans="1:8" s="28" customFormat="1" ht="21" customHeight="1">
      <c r="A128" s="88"/>
      <c r="B128" s="85"/>
      <c r="C128" s="71">
        <v>4350</v>
      </c>
      <c r="D128" s="43" t="s">
        <v>179</v>
      </c>
      <c r="E128" s="84">
        <v>1000</v>
      </c>
      <c r="F128" s="84">
        <v>0</v>
      </c>
      <c r="G128" s="84">
        <v>0</v>
      </c>
      <c r="H128" s="203">
        <v>0</v>
      </c>
    </row>
    <row r="129" spans="1:8" s="28" customFormat="1" ht="21" customHeight="1">
      <c r="A129" s="88"/>
      <c r="B129" s="85"/>
      <c r="C129" s="71">
        <v>4410</v>
      </c>
      <c r="D129" s="43" t="s">
        <v>86</v>
      </c>
      <c r="E129" s="84">
        <v>3000</v>
      </c>
      <c r="F129" s="84">
        <v>1200</v>
      </c>
      <c r="G129" s="84">
        <v>714.64</v>
      </c>
      <c r="H129" s="203">
        <f t="shared" si="1"/>
        <v>59.553333333333335</v>
      </c>
    </row>
    <row r="130" spans="1:8" s="28" customFormat="1" ht="21" customHeight="1">
      <c r="A130" s="88"/>
      <c r="B130" s="85"/>
      <c r="C130" s="88">
        <v>4420</v>
      </c>
      <c r="D130" s="43" t="s">
        <v>417</v>
      </c>
      <c r="E130" s="84">
        <v>3000</v>
      </c>
      <c r="F130" s="84">
        <v>7800</v>
      </c>
      <c r="G130" s="84">
        <v>7471.94</v>
      </c>
      <c r="H130" s="203">
        <f t="shared" si="1"/>
        <v>95.79410256410256</v>
      </c>
    </row>
    <row r="131" spans="1:8" s="28" customFormat="1" ht="21" customHeight="1">
      <c r="A131" s="88"/>
      <c r="B131" s="85"/>
      <c r="C131" s="71">
        <v>4430</v>
      </c>
      <c r="D131" s="43" t="s">
        <v>88</v>
      </c>
      <c r="E131" s="84">
        <v>2000</v>
      </c>
      <c r="F131" s="84">
        <v>1760</v>
      </c>
      <c r="G131" s="84">
        <v>552</v>
      </c>
      <c r="H131" s="203">
        <f t="shared" si="1"/>
        <v>31.363636363636367</v>
      </c>
    </row>
    <row r="132" spans="1:8" s="28" customFormat="1" ht="33.75">
      <c r="A132" s="88"/>
      <c r="B132" s="85"/>
      <c r="C132" s="71">
        <v>4740</v>
      </c>
      <c r="D132" s="43" t="s">
        <v>195</v>
      </c>
      <c r="E132" s="84">
        <v>1000</v>
      </c>
      <c r="F132" s="84">
        <v>240</v>
      </c>
      <c r="G132" s="84">
        <v>139.88</v>
      </c>
      <c r="H132" s="203">
        <f t="shared" si="1"/>
        <v>58.28333333333333</v>
      </c>
    </row>
    <row r="133" spans="1:8" s="28" customFormat="1" ht="22.5">
      <c r="A133" s="88"/>
      <c r="B133" s="85"/>
      <c r="C133" s="71">
        <v>4750</v>
      </c>
      <c r="D133" s="43" t="s">
        <v>408</v>
      </c>
      <c r="E133" s="84">
        <v>3500</v>
      </c>
      <c r="F133" s="84">
        <v>500</v>
      </c>
      <c r="G133" s="84">
        <v>109.95</v>
      </c>
      <c r="H133" s="203">
        <f t="shared" si="1"/>
        <v>21.990000000000002</v>
      </c>
    </row>
    <row r="134" spans="1:8" s="28" customFormat="1" ht="21" customHeight="1">
      <c r="A134" s="88"/>
      <c r="B134" s="85">
        <v>75095</v>
      </c>
      <c r="C134" s="71"/>
      <c r="D134" s="43" t="s">
        <v>6</v>
      </c>
      <c r="E134" s="84">
        <f>SUM(E135:E140)</f>
        <v>124580</v>
      </c>
      <c r="F134" s="84">
        <f>SUM(F135:F140)</f>
        <v>121884</v>
      </c>
      <c r="G134" s="84">
        <f>SUM(G135:G140)</f>
        <v>117665.56999999999</v>
      </c>
      <c r="H134" s="203">
        <f t="shared" si="1"/>
        <v>96.5389796856027</v>
      </c>
    </row>
    <row r="135" spans="1:8" s="28" customFormat="1" ht="21" customHeight="1">
      <c r="A135" s="88"/>
      <c r="B135" s="85"/>
      <c r="C135" s="71">
        <v>3030</v>
      </c>
      <c r="D135" s="43" t="s">
        <v>85</v>
      </c>
      <c r="E135" s="84">
        <v>60000</v>
      </c>
      <c r="F135" s="84">
        <v>59000</v>
      </c>
      <c r="G135" s="84">
        <v>58050</v>
      </c>
      <c r="H135" s="203">
        <f t="shared" si="1"/>
        <v>98.38983050847457</v>
      </c>
    </row>
    <row r="136" spans="1:8" s="28" customFormat="1" ht="21" customHeight="1">
      <c r="A136" s="88"/>
      <c r="B136" s="85"/>
      <c r="C136" s="71">
        <v>4210</v>
      </c>
      <c r="D136" s="43" t="s">
        <v>87</v>
      </c>
      <c r="E136" s="84">
        <f>22980+1000</f>
        <v>23980</v>
      </c>
      <c r="F136" s="84">
        <v>22134</v>
      </c>
      <c r="G136" s="84">
        <v>21973.79</v>
      </c>
      <c r="H136" s="203">
        <f t="shared" si="1"/>
        <v>99.27618144031807</v>
      </c>
    </row>
    <row r="137" spans="1:8" s="28" customFormat="1" ht="21" customHeight="1">
      <c r="A137" s="88"/>
      <c r="B137" s="85"/>
      <c r="C137" s="71">
        <v>4300</v>
      </c>
      <c r="D137" s="43" t="s">
        <v>76</v>
      </c>
      <c r="E137" s="84">
        <v>5500</v>
      </c>
      <c r="F137" s="84">
        <v>4650</v>
      </c>
      <c r="G137" s="84">
        <v>4649.29</v>
      </c>
      <c r="H137" s="203">
        <f aca="true" t="shared" si="2" ref="H137:H200">G137/F137*100</f>
        <v>99.9847311827957</v>
      </c>
    </row>
    <row r="138" spans="1:8" s="28" customFormat="1" ht="21" customHeight="1">
      <c r="A138" s="88"/>
      <c r="B138" s="85"/>
      <c r="C138" s="71">
        <v>4410</v>
      </c>
      <c r="D138" s="43" t="s">
        <v>86</v>
      </c>
      <c r="E138" s="84">
        <v>5000</v>
      </c>
      <c r="F138" s="84">
        <v>4100</v>
      </c>
      <c r="G138" s="84">
        <v>2331.8</v>
      </c>
      <c r="H138" s="203">
        <f t="shared" si="2"/>
        <v>56.873170731707326</v>
      </c>
    </row>
    <row r="139" spans="1:8" s="28" customFormat="1" ht="21" customHeight="1">
      <c r="A139" s="88"/>
      <c r="B139" s="85"/>
      <c r="C139" s="71">
        <v>4430</v>
      </c>
      <c r="D139" s="43" t="s">
        <v>88</v>
      </c>
      <c r="E139" s="84">
        <v>30000</v>
      </c>
      <c r="F139" s="84">
        <v>31900</v>
      </c>
      <c r="G139" s="84">
        <v>30580.71</v>
      </c>
      <c r="H139" s="203">
        <f t="shared" si="2"/>
        <v>95.86429467084639</v>
      </c>
    </row>
    <row r="140" spans="1:8" s="28" customFormat="1" ht="33.75">
      <c r="A140" s="88"/>
      <c r="B140" s="85"/>
      <c r="C140" s="71">
        <v>4740</v>
      </c>
      <c r="D140" s="43" t="s">
        <v>195</v>
      </c>
      <c r="E140" s="84">
        <v>100</v>
      </c>
      <c r="F140" s="84">
        <v>100</v>
      </c>
      <c r="G140" s="84">
        <v>79.98</v>
      </c>
      <c r="H140" s="203">
        <f t="shared" si="2"/>
        <v>79.98</v>
      </c>
    </row>
    <row r="141" spans="1:8" s="8" customFormat="1" ht="36">
      <c r="A141" s="39">
        <v>751</v>
      </c>
      <c r="B141" s="40"/>
      <c r="C141" s="41"/>
      <c r="D141" s="42" t="s">
        <v>422</v>
      </c>
      <c r="E141" s="288">
        <f>SUM(E142)</f>
        <v>3910</v>
      </c>
      <c r="F141" s="288">
        <f>SUM(F142,F150)</f>
        <v>46082</v>
      </c>
      <c r="G141" s="288">
        <f>SUM(G142,G150)</f>
        <v>45914.899999999994</v>
      </c>
      <c r="H141" s="202">
        <f t="shared" si="2"/>
        <v>99.63738553014191</v>
      </c>
    </row>
    <row r="142" spans="1:8" s="28" customFormat="1" ht="26.25" customHeight="1">
      <c r="A142" s="88"/>
      <c r="B142" s="85">
        <v>75101</v>
      </c>
      <c r="C142" s="88"/>
      <c r="D142" s="43" t="s">
        <v>20</v>
      </c>
      <c r="E142" s="84">
        <f>SUM(E143:E149)</f>
        <v>3910</v>
      </c>
      <c r="F142" s="84">
        <f>SUM(F143:F149)</f>
        <v>3910</v>
      </c>
      <c r="G142" s="84">
        <f>SUM(G143:G149)</f>
        <v>3910</v>
      </c>
      <c r="H142" s="203">
        <f t="shared" si="2"/>
        <v>100</v>
      </c>
    </row>
    <row r="143" spans="1:8" s="28" customFormat="1" ht="21" customHeight="1">
      <c r="A143" s="88"/>
      <c r="B143" s="85"/>
      <c r="C143" s="88">
        <v>4010</v>
      </c>
      <c r="D143" s="43" t="s">
        <v>80</v>
      </c>
      <c r="E143" s="84">
        <v>0</v>
      </c>
      <c r="F143" s="84">
        <v>2771</v>
      </c>
      <c r="G143" s="84">
        <v>2771</v>
      </c>
      <c r="H143" s="203">
        <f t="shared" si="2"/>
        <v>100</v>
      </c>
    </row>
    <row r="144" spans="1:8" s="28" customFormat="1" ht="21" customHeight="1">
      <c r="A144" s="88"/>
      <c r="B144" s="85"/>
      <c r="C144" s="88">
        <v>4110</v>
      </c>
      <c r="D144" s="43" t="s">
        <v>423</v>
      </c>
      <c r="E144" s="84">
        <v>0</v>
      </c>
      <c r="F144" s="84">
        <v>420</v>
      </c>
      <c r="G144" s="84">
        <v>420</v>
      </c>
      <c r="H144" s="203">
        <f t="shared" si="2"/>
        <v>100</v>
      </c>
    </row>
    <row r="145" spans="1:8" s="28" customFormat="1" ht="21" customHeight="1">
      <c r="A145" s="88"/>
      <c r="B145" s="85"/>
      <c r="C145" s="88">
        <v>4120</v>
      </c>
      <c r="D145" s="43" t="s">
        <v>83</v>
      </c>
      <c r="E145" s="84">
        <v>0</v>
      </c>
      <c r="F145" s="84">
        <v>67</v>
      </c>
      <c r="G145" s="84">
        <v>67</v>
      </c>
      <c r="H145" s="203">
        <f t="shared" si="2"/>
        <v>100</v>
      </c>
    </row>
    <row r="146" spans="1:8" s="28" customFormat="1" ht="21" customHeight="1">
      <c r="A146" s="88"/>
      <c r="B146" s="85"/>
      <c r="C146" s="71">
        <v>4210</v>
      </c>
      <c r="D146" s="43" t="s">
        <v>87</v>
      </c>
      <c r="E146" s="84">
        <v>1410</v>
      </c>
      <c r="F146" s="84">
        <v>292</v>
      </c>
      <c r="G146" s="84">
        <v>292</v>
      </c>
      <c r="H146" s="203">
        <f t="shared" si="2"/>
        <v>100</v>
      </c>
    </row>
    <row r="147" spans="1:8" s="28" customFormat="1" ht="27" customHeight="1">
      <c r="A147" s="88"/>
      <c r="B147" s="85"/>
      <c r="C147" s="71">
        <v>4700</v>
      </c>
      <c r="D147" s="43" t="s">
        <v>241</v>
      </c>
      <c r="E147" s="84">
        <v>500</v>
      </c>
      <c r="F147" s="84">
        <v>360</v>
      </c>
      <c r="G147" s="84">
        <v>360</v>
      </c>
      <c r="H147" s="203">
        <f t="shared" si="2"/>
        <v>100</v>
      </c>
    </row>
    <row r="148" spans="1:8" s="28" customFormat="1" ht="33.75">
      <c r="A148" s="88"/>
      <c r="B148" s="85"/>
      <c r="C148" s="71">
        <v>4740</v>
      </c>
      <c r="D148" s="43" t="s">
        <v>195</v>
      </c>
      <c r="E148" s="84">
        <v>1000</v>
      </c>
      <c r="F148" s="84">
        <v>0</v>
      </c>
      <c r="G148" s="84">
        <v>0</v>
      </c>
      <c r="H148" s="203">
        <v>0</v>
      </c>
    </row>
    <row r="149" spans="1:8" s="28" customFormat="1" ht="22.5">
      <c r="A149" s="88"/>
      <c r="B149" s="85"/>
      <c r="C149" s="71">
        <v>4750</v>
      </c>
      <c r="D149" s="43" t="s">
        <v>408</v>
      </c>
      <c r="E149" s="84">
        <v>1000</v>
      </c>
      <c r="F149" s="84">
        <v>0</v>
      </c>
      <c r="G149" s="84">
        <v>0</v>
      </c>
      <c r="H149" s="203">
        <v>0</v>
      </c>
    </row>
    <row r="150" spans="1:8" s="28" customFormat="1" ht="21" customHeight="1">
      <c r="A150" s="88"/>
      <c r="B150" s="85">
        <v>75113</v>
      </c>
      <c r="C150" s="71"/>
      <c r="D150" s="43" t="s">
        <v>359</v>
      </c>
      <c r="E150" s="84">
        <f>SUM(E151:E159)</f>
        <v>0</v>
      </c>
      <c r="F150" s="84">
        <f>SUM(F151:F159)</f>
        <v>42172</v>
      </c>
      <c r="G150" s="84">
        <f>SUM(G151:G159)</f>
        <v>42004.899999999994</v>
      </c>
      <c r="H150" s="203">
        <f t="shared" si="2"/>
        <v>99.60376553163235</v>
      </c>
    </row>
    <row r="151" spans="1:8" s="28" customFormat="1" ht="21" customHeight="1">
      <c r="A151" s="88"/>
      <c r="B151" s="85"/>
      <c r="C151" s="71">
        <v>3030</v>
      </c>
      <c r="D151" s="43" t="s">
        <v>85</v>
      </c>
      <c r="E151" s="84">
        <v>0</v>
      </c>
      <c r="F151" s="84">
        <v>21240</v>
      </c>
      <c r="G151" s="84">
        <v>21240</v>
      </c>
      <c r="H151" s="203">
        <f t="shared" si="2"/>
        <v>100</v>
      </c>
    </row>
    <row r="152" spans="1:8" s="28" customFormat="1" ht="21" customHeight="1">
      <c r="A152" s="88"/>
      <c r="B152" s="85"/>
      <c r="C152" s="71">
        <v>4110</v>
      </c>
      <c r="D152" s="43" t="s">
        <v>82</v>
      </c>
      <c r="E152" s="84">
        <v>0</v>
      </c>
      <c r="F152" s="84">
        <v>579</v>
      </c>
      <c r="G152" s="84">
        <v>575.75</v>
      </c>
      <c r="H152" s="203">
        <f t="shared" si="2"/>
        <v>99.43868739205527</v>
      </c>
    </row>
    <row r="153" spans="1:8" s="28" customFormat="1" ht="21" customHeight="1">
      <c r="A153" s="88"/>
      <c r="B153" s="85"/>
      <c r="C153" s="71">
        <v>4120</v>
      </c>
      <c r="D153" s="43" t="s">
        <v>424</v>
      </c>
      <c r="E153" s="84">
        <v>0</v>
      </c>
      <c r="F153" s="84">
        <v>95</v>
      </c>
      <c r="G153" s="84">
        <v>92.86</v>
      </c>
      <c r="H153" s="203">
        <f t="shared" si="2"/>
        <v>97.74736842105263</v>
      </c>
    </row>
    <row r="154" spans="1:8" s="28" customFormat="1" ht="21" customHeight="1">
      <c r="A154" s="88"/>
      <c r="B154" s="85"/>
      <c r="C154" s="71">
        <v>4170</v>
      </c>
      <c r="D154" s="43" t="s">
        <v>170</v>
      </c>
      <c r="E154" s="84">
        <v>0</v>
      </c>
      <c r="F154" s="84">
        <v>7230</v>
      </c>
      <c r="G154" s="84">
        <v>7230</v>
      </c>
      <c r="H154" s="203">
        <f t="shared" si="2"/>
        <v>100</v>
      </c>
    </row>
    <row r="155" spans="1:8" s="28" customFormat="1" ht="21" customHeight="1">
      <c r="A155" s="88"/>
      <c r="B155" s="85"/>
      <c r="C155" s="71">
        <v>4210</v>
      </c>
      <c r="D155" s="43" t="s">
        <v>87</v>
      </c>
      <c r="E155" s="84">
        <v>0</v>
      </c>
      <c r="F155" s="84">
        <v>6688</v>
      </c>
      <c r="G155" s="84">
        <v>6527.54</v>
      </c>
      <c r="H155" s="203">
        <f t="shared" si="2"/>
        <v>97.60077751196172</v>
      </c>
    </row>
    <row r="156" spans="1:8" s="28" customFormat="1" ht="21" customHeight="1">
      <c r="A156" s="88"/>
      <c r="B156" s="85"/>
      <c r="C156" s="71">
        <v>4300</v>
      </c>
      <c r="D156" s="43" t="s">
        <v>76</v>
      </c>
      <c r="E156" s="84">
        <v>0</v>
      </c>
      <c r="F156" s="84">
        <v>2037</v>
      </c>
      <c r="G156" s="84">
        <v>2036.06</v>
      </c>
      <c r="H156" s="203">
        <f t="shared" si="2"/>
        <v>99.95385370643103</v>
      </c>
    </row>
    <row r="157" spans="1:8" s="28" customFormat="1" ht="21" customHeight="1">
      <c r="A157" s="88"/>
      <c r="B157" s="85"/>
      <c r="C157" s="71">
        <v>4410</v>
      </c>
      <c r="D157" s="43" t="s">
        <v>86</v>
      </c>
      <c r="E157" s="84">
        <v>0</v>
      </c>
      <c r="F157" s="84">
        <v>1105</v>
      </c>
      <c r="G157" s="84">
        <v>1104.99</v>
      </c>
      <c r="H157" s="203">
        <f t="shared" si="2"/>
        <v>99.99909502262445</v>
      </c>
    </row>
    <row r="158" spans="1:8" s="28" customFormat="1" ht="33.75">
      <c r="A158" s="88"/>
      <c r="B158" s="85"/>
      <c r="C158" s="71">
        <v>4740</v>
      </c>
      <c r="D158" s="43" t="s">
        <v>195</v>
      </c>
      <c r="E158" s="84">
        <v>0</v>
      </c>
      <c r="F158" s="84">
        <v>280</v>
      </c>
      <c r="G158" s="84">
        <v>280</v>
      </c>
      <c r="H158" s="203">
        <f t="shared" si="2"/>
        <v>100</v>
      </c>
    </row>
    <row r="159" spans="1:8" s="28" customFormat="1" ht="25.5" customHeight="1">
      <c r="A159" s="88"/>
      <c r="B159" s="85"/>
      <c r="C159" s="71">
        <v>4750</v>
      </c>
      <c r="D159" s="43" t="s">
        <v>408</v>
      </c>
      <c r="E159" s="84">
        <v>0</v>
      </c>
      <c r="F159" s="84">
        <v>2918</v>
      </c>
      <c r="G159" s="84">
        <v>2917.7</v>
      </c>
      <c r="H159" s="203">
        <f t="shared" si="2"/>
        <v>99.98971898560657</v>
      </c>
    </row>
    <row r="160" spans="1:8" s="8" customFormat="1" ht="24.75" customHeight="1">
      <c r="A160" s="39" t="s">
        <v>21</v>
      </c>
      <c r="B160" s="40"/>
      <c r="C160" s="41"/>
      <c r="D160" s="42" t="s">
        <v>22</v>
      </c>
      <c r="E160" s="288">
        <f>SUM(E163,E178,E199,E161,E196)</f>
        <v>598253</v>
      </c>
      <c r="F160" s="288">
        <f>SUM(F163,F178,F199,F161,F196)</f>
        <v>827253</v>
      </c>
      <c r="G160" s="288">
        <f>SUM(G163,G178,G199,G161,G196)</f>
        <v>655181.3300000001</v>
      </c>
      <c r="H160" s="202">
        <f t="shared" si="2"/>
        <v>79.1996317934175</v>
      </c>
    </row>
    <row r="161" spans="1:8" s="161" customFormat="1" ht="24.75" customHeight="1">
      <c r="A161" s="263"/>
      <c r="B161" s="231">
        <v>75411</v>
      </c>
      <c r="C161" s="232"/>
      <c r="D161" s="230" t="s">
        <v>362</v>
      </c>
      <c r="E161" s="293">
        <f>SUM(E162)</f>
        <v>0</v>
      </c>
      <c r="F161" s="293">
        <f>SUM(F162)</f>
        <v>150000</v>
      </c>
      <c r="G161" s="293">
        <f>SUM(G162)</f>
        <v>150000</v>
      </c>
      <c r="H161" s="203">
        <f t="shared" si="2"/>
        <v>100</v>
      </c>
    </row>
    <row r="162" spans="1:8" s="161" customFormat="1" ht="56.25">
      <c r="A162" s="263"/>
      <c r="B162" s="231"/>
      <c r="C162" s="232">
        <v>6620</v>
      </c>
      <c r="D162" s="230" t="s">
        <v>363</v>
      </c>
      <c r="E162" s="293">
        <v>0</v>
      </c>
      <c r="F162" s="293">
        <v>150000</v>
      </c>
      <c r="G162" s="293">
        <v>150000</v>
      </c>
      <c r="H162" s="203">
        <f t="shared" si="2"/>
        <v>100</v>
      </c>
    </row>
    <row r="163" spans="1:8" s="28" customFormat="1" ht="21.75" customHeight="1">
      <c r="A163" s="88"/>
      <c r="B163" s="85" t="s">
        <v>425</v>
      </c>
      <c r="C163" s="88"/>
      <c r="D163" s="43" t="s">
        <v>91</v>
      </c>
      <c r="E163" s="84">
        <f>SUM(E164:E177)</f>
        <v>184000</v>
      </c>
      <c r="F163" s="84">
        <f>SUM(F164:F177)</f>
        <v>187000</v>
      </c>
      <c r="G163" s="84">
        <f>SUM(G164:G177)</f>
        <v>181493.27</v>
      </c>
      <c r="H163" s="203">
        <f t="shared" si="2"/>
        <v>97.05522459893048</v>
      </c>
    </row>
    <row r="164" spans="1:8" s="28" customFormat="1" ht="45">
      <c r="A164" s="88"/>
      <c r="B164" s="85"/>
      <c r="C164" s="88">
        <v>2820</v>
      </c>
      <c r="D164" s="43" t="s">
        <v>255</v>
      </c>
      <c r="E164" s="84">
        <v>10000</v>
      </c>
      <c r="F164" s="84">
        <v>15633</v>
      </c>
      <c r="G164" s="84">
        <v>15632.06</v>
      </c>
      <c r="H164" s="203">
        <f t="shared" si="2"/>
        <v>99.99398707861575</v>
      </c>
    </row>
    <row r="165" spans="1:8" s="28" customFormat="1" ht="24" customHeight="1">
      <c r="A165" s="88"/>
      <c r="B165" s="85"/>
      <c r="C165" s="88">
        <v>3020</v>
      </c>
      <c r="D165" s="43" t="s">
        <v>167</v>
      </c>
      <c r="E165" s="84">
        <v>19350</v>
      </c>
      <c r="F165" s="84">
        <v>18050</v>
      </c>
      <c r="G165" s="84">
        <v>16837.97</v>
      </c>
      <c r="H165" s="203">
        <f t="shared" si="2"/>
        <v>93.28515235457064</v>
      </c>
    </row>
    <row r="166" spans="1:8" s="28" customFormat="1" ht="21" customHeight="1">
      <c r="A166" s="88"/>
      <c r="B166" s="85"/>
      <c r="C166" s="88">
        <v>3030</v>
      </c>
      <c r="D166" s="43" t="s">
        <v>85</v>
      </c>
      <c r="E166" s="84">
        <v>15000</v>
      </c>
      <c r="F166" s="84">
        <v>34050</v>
      </c>
      <c r="G166" s="84">
        <v>33724.6</v>
      </c>
      <c r="H166" s="203">
        <f t="shared" si="2"/>
        <v>99.04434654919237</v>
      </c>
    </row>
    <row r="167" spans="1:8" s="28" customFormat="1" ht="21" customHeight="1">
      <c r="A167" s="88"/>
      <c r="B167" s="85"/>
      <c r="C167" s="88">
        <v>4110</v>
      </c>
      <c r="D167" s="43" t="s">
        <v>82</v>
      </c>
      <c r="E167" s="84">
        <v>4550</v>
      </c>
      <c r="F167" s="84">
        <v>2250</v>
      </c>
      <c r="G167" s="84">
        <v>2189.46</v>
      </c>
      <c r="H167" s="203">
        <f t="shared" si="2"/>
        <v>97.30933333333334</v>
      </c>
    </row>
    <row r="168" spans="1:8" s="28" customFormat="1" ht="21" customHeight="1">
      <c r="A168" s="88"/>
      <c r="B168" s="85"/>
      <c r="C168" s="88">
        <v>4120</v>
      </c>
      <c r="D168" s="43" t="s">
        <v>424</v>
      </c>
      <c r="E168" s="84">
        <v>700</v>
      </c>
      <c r="F168" s="84">
        <v>0</v>
      </c>
      <c r="G168" s="84">
        <v>0</v>
      </c>
      <c r="H168" s="203">
        <v>0</v>
      </c>
    </row>
    <row r="169" spans="1:8" s="28" customFormat="1" ht="21" customHeight="1">
      <c r="A169" s="88"/>
      <c r="B169" s="85"/>
      <c r="C169" s="71">
        <v>4170</v>
      </c>
      <c r="D169" s="43" t="s">
        <v>170</v>
      </c>
      <c r="E169" s="84">
        <v>28500</v>
      </c>
      <c r="F169" s="84">
        <v>28500</v>
      </c>
      <c r="G169" s="84">
        <v>28264.06</v>
      </c>
      <c r="H169" s="203">
        <f t="shared" si="2"/>
        <v>99.1721403508772</v>
      </c>
    </row>
    <row r="170" spans="1:8" s="28" customFormat="1" ht="21" customHeight="1">
      <c r="A170" s="88"/>
      <c r="B170" s="85"/>
      <c r="C170" s="71">
        <v>4210</v>
      </c>
      <c r="D170" s="43" t="s">
        <v>87</v>
      </c>
      <c r="E170" s="84">
        <f>9000+43500</f>
        <v>52500</v>
      </c>
      <c r="F170" s="84">
        <v>45647</v>
      </c>
      <c r="G170" s="84">
        <v>44196.64</v>
      </c>
      <c r="H170" s="203">
        <f t="shared" si="2"/>
        <v>96.8226608539444</v>
      </c>
    </row>
    <row r="171" spans="1:8" s="28" customFormat="1" ht="21" customHeight="1">
      <c r="A171" s="88"/>
      <c r="B171" s="85"/>
      <c r="C171" s="71">
        <v>4260</v>
      </c>
      <c r="D171" s="43" t="s">
        <v>89</v>
      </c>
      <c r="E171" s="84">
        <v>15000</v>
      </c>
      <c r="F171" s="84">
        <v>15000</v>
      </c>
      <c r="G171" s="84">
        <v>14515.62</v>
      </c>
      <c r="H171" s="203">
        <f t="shared" si="2"/>
        <v>96.77080000000001</v>
      </c>
    </row>
    <row r="172" spans="1:8" s="28" customFormat="1" ht="21" customHeight="1">
      <c r="A172" s="88"/>
      <c r="B172" s="85"/>
      <c r="C172" s="71">
        <v>4270</v>
      </c>
      <c r="D172" s="43" t="s">
        <v>75</v>
      </c>
      <c r="E172" s="84">
        <v>13000</v>
      </c>
      <c r="F172" s="84">
        <v>8000</v>
      </c>
      <c r="G172" s="84">
        <v>7879.31</v>
      </c>
      <c r="H172" s="203">
        <f t="shared" si="2"/>
        <v>98.491375</v>
      </c>
    </row>
    <row r="173" spans="1:8" s="28" customFormat="1" ht="21" customHeight="1">
      <c r="A173" s="88"/>
      <c r="B173" s="85"/>
      <c r="C173" s="71">
        <v>4280</v>
      </c>
      <c r="D173" s="43" t="s">
        <v>414</v>
      </c>
      <c r="E173" s="84">
        <v>6000</v>
      </c>
      <c r="F173" s="84">
        <v>3000</v>
      </c>
      <c r="G173" s="84">
        <v>2700</v>
      </c>
      <c r="H173" s="203">
        <f t="shared" si="2"/>
        <v>90</v>
      </c>
    </row>
    <row r="174" spans="1:8" s="28" customFormat="1" ht="21" customHeight="1">
      <c r="A174" s="88"/>
      <c r="B174" s="85"/>
      <c r="C174" s="71">
        <v>4300</v>
      </c>
      <c r="D174" s="43" t="s">
        <v>76</v>
      </c>
      <c r="E174" s="84">
        <v>5400</v>
      </c>
      <c r="F174" s="84">
        <v>6100</v>
      </c>
      <c r="G174" s="84">
        <v>5316.09</v>
      </c>
      <c r="H174" s="203">
        <f t="shared" si="2"/>
        <v>87.14901639344262</v>
      </c>
    </row>
    <row r="175" spans="1:8" s="28" customFormat="1" ht="21" customHeight="1">
      <c r="A175" s="88"/>
      <c r="B175" s="85"/>
      <c r="C175" s="71">
        <v>4410</v>
      </c>
      <c r="D175" s="43" t="s">
        <v>86</v>
      </c>
      <c r="E175" s="84">
        <v>4000</v>
      </c>
      <c r="F175" s="84">
        <v>3100</v>
      </c>
      <c r="G175" s="84">
        <v>3034.08</v>
      </c>
      <c r="H175" s="203">
        <f t="shared" si="2"/>
        <v>97.87354838709678</v>
      </c>
    </row>
    <row r="176" spans="1:8" s="28" customFormat="1" ht="21" customHeight="1">
      <c r="A176" s="88"/>
      <c r="B176" s="85"/>
      <c r="C176" s="71">
        <v>4430</v>
      </c>
      <c r="D176" s="43" t="s">
        <v>88</v>
      </c>
      <c r="E176" s="84">
        <v>10000</v>
      </c>
      <c r="F176" s="84">
        <v>7500</v>
      </c>
      <c r="G176" s="84">
        <v>7033.5</v>
      </c>
      <c r="H176" s="203">
        <f t="shared" si="2"/>
        <v>93.78</v>
      </c>
    </row>
    <row r="177" spans="1:8" s="28" customFormat="1" ht="21" customHeight="1">
      <c r="A177" s="88"/>
      <c r="B177" s="85"/>
      <c r="C177" s="71">
        <v>6050</v>
      </c>
      <c r="D177" s="16" t="s">
        <v>70</v>
      </c>
      <c r="E177" s="84">
        <v>0</v>
      </c>
      <c r="F177" s="84">
        <v>170</v>
      </c>
      <c r="G177" s="84">
        <v>169.88</v>
      </c>
      <c r="H177" s="203">
        <f t="shared" si="2"/>
        <v>99.92941176470588</v>
      </c>
    </row>
    <row r="178" spans="1:8" s="28" customFormat="1" ht="21" customHeight="1">
      <c r="A178" s="88"/>
      <c r="B178" s="85">
        <v>75416</v>
      </c>
      <c r="C178" s="88"/>
      <c r="D178" s="43" t="s">
        <v>24</v>
      </c>
      <c r="E178" s="84">
        <f>SUM(E179:E195)</f>
        <v>259253</v>
      </c>
      <c r="F178" s="84">
        <f>SUM(F179:F195)</f>
        <v>259253</v>
      </c>
      <c r="G178" s="84">
        <f>SUM(G179:G195)</f>
        <v>244448.67000000004</v>
      </c>
      <c r="H178" s="203">
        <f t="shared" si="2"/>
        <v>94.28962056369649</v>
      </c>
    </row>
    <row r="179" spans="1:8" s="28" customFormat="1" ht="27.75" customHeight="1">
      <c r="A179" s="88"/>
      <c r="B179" s="85"/>
      <c r="C179" s="71">
        <v>3020</v>
      </c>
      <c r="D179" s="43" t="s">
        <v>167</v>
      </c>
      <c r="E179" s="84">
        <v>6045</v>
      </c>
      <c r="F179" s="84">
        <v>12045</v>
      </c>
      <c r="G179" s="84">
        <v>8926.97</v>
      </c>
      <c r="H179" s="203">
        <f t="shared" si="2"/>
        <v>74.1134910751349</v>
      </c>
    </row>
    <row r="180" spans="1:8" s="28" customFormat="1" ht="21" customHeight="1">
      <c r="A180" s="88"/>
      <c r="B180" s="85"/>
      <c r="C180" s="71">
        <v>4010</v>
      </c>
      <c r="D180" s="43" t="s">
        <v>80</v>
      </c>
      <c r="E180" s="84">
        <v>176055</v>
      </c>
      <c r="F180" s="84">
        <v>176055</v>
      </c>
      <c r="G180" s="84">
        <v>176033.95</v>
      </c>
      <c r="H180" s="203">
        <f t="shared" si="2"/>
        <v>99.98804350913068</v>
      </c>
    </row>
    <row r="181" spans="1:8" s="28" customFormat="1" ht="21" customHeight="1">
      <c r="A181" s="88"/>
      <c r="B181" s="85"/>
      <c r="C181" s="71">
        <v>4040</v>
      </c>
      <c r="D181" s="43" t="s">
        <v>81</v>
      </c>
      <c r="E181" s="84">
        <v>10000</v>
      </c>
      <c r="F181" s="84">
        <v>10000</v>
      </c>
      <c r="G181" s="84">
        <v>8239.36</v>
      </c>
      <c r="H181" s="203">
        <f t="shared" si="2"/>
        <v>82.3936</v>
      </c>
    </row>
    <row r="182" spans="1:8" s="28" customFormat="1" ht="21" customHeight="1">
      <c r="A182" s="88"/>
      <c r="B182" s="85"/>
      <c r="C182" s="71">
        <v>4110</v>
      </c>
      <c r="D182" s="43" t="s">
        <v>82</v>
      </c>
      <c r="E182" s="84">
        <v>28487</v>
      </c>
      <c r="F182" s="84">
        <v>28487</v>
      </c>
      <c r="G182" s="84">
        <v>23680.44</v>
      </c>
      <c r="H182" s="203">
        <f t="shared" si="2"/>
        <v>83.12718081932108</v>
      </c>
    </row>
    <row r="183" spans="1:8" s="28" customFormat="1" ht="21" customHeight="1">
      <c r="A183" s="88"/>
      <c r="B183" s="85"/>
      <c r="C183" s="71">
        <v>4120</v>
      </c>
      <c r="D183" s="43" t="s">
        <v>83</v>
      </c>
      <c r="E183" s="84">
        <v>4491</v>
      </c>
      <c r="F183" s="84">
        <v>4361</v>
      </c>
      <c r="G183" s="84">
        <v>3980.12</v>
      </c>
      <c r="H183" s="203">
        <f t="shared" si="2"/>
        <v>91.26622334326989</v>
      </c>
    </row>
    <row r="184" spans="1:8" s="28" customFormat="1" ht="21" customHeight="1">
      <c r="A184" s="88"/>
      <c r="B184" s="85"/>
      <c r="C184" s="71">
        <v>4210</v>
      </c>
      <c r="D184" s="43" t="s">
        <v>87</v>
      </c>
      <c r="E184" s="84">
        <v>12900</v>
      </c>
      <c r="F184" s="84">
        <v>6721</v>
      </c>
      <c r="G184" s="84">
        <v>5357.09</v>
      </c>
      <c r="H184" s="203">
        <f t="shared" si="2"/>
        <v>79.7067400684422</v>
      </c>
    </row>
    <row r="185" spans="1:8" s="28" customFormat="1" ht="21" customHeight="1">
      <c r="A185" s="88"/>
      <c r="B185" s="85"/>
      <c r="C185" s="71">
        <v>4270</v>
      </c>
      <c r="D185" s="43" t="s">
        <v>75</v>
      </c>
      <c r="E185" s="84">
        <v>2000</v>
      </c>
      <c r="F185" s="84">
        <v>1000</v>
      </c>
      <c r="G185" s="84">
        <v>115</v>
      </c>
      <c r="H185" s="203">
        <f t="shared" si="2"/>
        <v>11.5</v>
      </c>
    </row>
    <row r="186" spans="1:8" s="28" customFormat="1" ht="21" customHeight="1">
      <c r="A186" s="88"/>
      <c r="B186" s="85"/>
      <c r="C186" s="71">
        <v>4280</v>
      </c>
      <c r="D186" s="43" t="s">
        <v>414</v>
      </c>
      <c r="E186" s="84">
        <v>1200</v>
      </c>
      <c r="F186" s="84">
        <v>1200</v>
      </c>
      <c r="G186" s="84">
        <v>1150</v>
      </c>
      <c r="H186" s="203">
        <f t="shared" si="2"/>
        <v>95.83333333333334</v>
      </c>
    </row>
    <row r="187" spans="1:8" s="28" customFormat="1" ht="21" customHeight="1">
      <c r="A187" s="88"/>
      <c r="B187" s="85"/>
      <c r="C187" s="71">
        <v>4300</v>
      </c>
      <c r="D187" s="43" t="s">
        <v>76</v>
      </c>
      <c r="E187" s="84">
        <v>3000</v>
      </c>
      <c r="F187" s="84">
        <v>4679</v>
      </c>
      <c r="G187" s="84">
        <v>4002.75</v>
      </c>
      <c r="H187" s="203">
        <f t="shared" si="2"/>
        <v>85.54712545415687</v>
      </c>
    </row>
    <row r="188" spans="1:8" s="28" customFormat="1" ht="33.75">
      <c r="A188" s="88"/>
      <c r="B188" s="85"/>
      <c r="C188" s="71">
        <v>4360</v>
      </c>
      <c r="D188" s="43" t="s">
        <v>420</v>
      </c>
      <c r="E188" s="84">
        <v>1800</v>
      </c>
      <c r="F188" s="84">
        <v>1800</v>
      </c>
      <c r="G188" s="84">
        <v>1465.64</v>
      </c>
      <c r="H188" s="203">
        <f t="shared" si="2"/>
        <v>81.42444444444446</v>
      </c>
    </row>
    <row r="189" spans="1:8" s="28" customFormat="1" ht="33.75">
      <c r="A189" s="88"/>
      <c r="B189" s="85"/>
      <c r="C189" s="71">
        <v>4400</v>
      </c>
      <c r="D189" s="43" t="s">
        <v>233</v>
      </c>
      <c r="E189" s="84">
        <v>1000</v>
      </c>
      <c r="F189" s="84">
        <v>904</v>
      </c>
      <c r="G189" s="84">
        <v>558</v>
      </c>
      <c r="H189" s="203">
        <f t="shared" si="2"/>
        <v>61.72566371681416</v>
      </c>
    </row>
    <row r="190" spans="1:8" s="28" customFormat="1" ht="21" customHeight="1">
      <c r="A190" s="88"/>
      <c r="B190" s="85"/>
      <c r="C190" s="71">
        <v>4410</v>
      </c>
      <c r="D190" s="43" t="s">
        <v>86</v>
      </c>
      <c r="E190" s="84">
        <v>1200</v>
      </c>
      <c r="F190" s="84">
        <v>1200</v>
      </c>
      <c r="G190" s="84">
        <v>690.74</v>
      </c>
      <c r="H190" s="203">
        <f t="shared" si="2"/>
        <v>57.56166666666667</v>
      </c>
    </row>
    <row r="191" spans="1:8" s="28" customFormat="1" ht="21" customHeight="1">
      <c r="A191" s="88"/>
      <c r="B191" s="85"/>
      <c r="C191" s="289">
        <v>4430</v>
      </c>
      <c r="D191" s="43" t="s">
        <v>88</v>
      </c>
      <c r="E191" s="84">
        <v>3500</v>
      </c>
      <c r="F191" s="84">
        <v>3000</v>
      </c>
      <c r="G191" s="84">
        <v>2848.5</v>
      </c>
      <c r="H191" s="203">
        <f t="shared" si="2"/>
        <v>94.95</v>
      </c>
    </row>
    <row r="192" spans="1:8" s="28" customFormat="1" ht="22.5">
      <c r="A192" s="88"/>
      <c r="B192" s="85"/>
      <c r="C192" s="289">
        <v>4440</v>
      </c>
      <c r="D192" s="43" t="s">
        <v>84</v>
      </c>
      <c r="E192" s="84">
        <v>4875</v>
      </c>
      <c r="F192" s="84">
        <v>5005</v>
      </c>
      <c r="G192" s="84">
        <v>5000.19</v>
      </c>
      <c r="H192" s="203">
        <f t="shared" si="2"/>
        <v>99.9038961038961</v>
      </c>
    </row>
    <row r="193" spans="1:8" s="28" customFormat="1" ht="21" customHeight="1">
      <c r="A193" s="88"/>
      <c r="B193" s="85"/>
      <c r="C193" s="289">
        <v>4510</v>
      </c>
      <c r="D193" s="43" t="s">
        <v>410</v>
      </c>
      <c r="E193" s="84">
        <v>200</v>
      </c>
      <c r="F193" s="84">
        <v>200</v>
      </c>
      <c r="G193" s="84">
        <v>0</v>
      </c>
      <c r="H193" s="203">
        <f t="shared" si="2"/>
        <v>0</v>
      </c>
    </row>
    <row r="194" spans="1:8" s="28" customFormat="1" ht="21" customHeight="1">
      <c r="A194" s="88"/>
      <c r="B194" s="85"/>
      <c r="C194" s="289">
        <v>4580</v>
      </c>
      <c r="D194" s="43" t="s">
        <v>11</v>
      </c>
      <c r="E194" s="84">
        <v>0</v>
      </c>
      <c r="F194" s="84">
        <v>96</v>
      </c>
      <c r="G194" s="84">
        <v>54.92</v>
      </c>
      <c r="H194" s="203">
        <f t="shared" si="2"/>
        <v>57.208333333333336</v>
      </c>
    </row>
    <row r="195" spans="1:8" s="28" customFormat="1" ht="22.5">
      <c r="A195" s="88"/>
      <c r="B195" s="85"/>
      <c r="C195" s="289">
        <v>4700</v>
      </c>
      <c r="D195" s="43" t="s">
        <v>241</v>
      </c>
      <c r="E195" s="84">
        <v>2500</v>
      </c>
      <c r="F195" s="84">
        <v>2500</v>
      </c>
      <c r="G195" s="84">
        <v>2345</v>
      </c>
      <c r="H195" s="203">
        <f t="shared" si="2"/>
        <v>93.8</v>
      </c>
    </row>
    <row r="196" spans="1:8" s="28" customFormat="1" ht="21" customHeight="1">
      <c r="A196" s="88"/>
      <c r="B196" s="85">
        <v>75421</v>
      </c>
      <c r="C196" s="289"/>
      <c r="D196" s="43" t="s">
        <v>485</v>
      </c>
      <c r="E196" s="84">
        <f>SUM(E197:E198)</f>
        <v>0</v>
      </c>
      <c r="F196" s="84">
        <f>SUM(F197:F198)</f>
        <v>76000</v>
      </c>
      <c r="G196" s="84">
        <f>SUM(G197:G198)</f>
        <v>74239.39</v>
      </c>
      <c r="H196" s="203">
        <f t="shared" si="2"/>
        <v>97.68340789473685</v>
      </c>
    </row>
    <row r="197" spans="1:8" s="28" customFormat="1" ht="21" customHeight="1">
      <c r="A197" s="88"/>
      <c r="B197" s="85"/>
      <c r="C197" s="289">
        <v>4270</v>
      </c>
      <c r="D197" s="43" t="s">
        <v>75</v>
      </c>
      <c r="E197" s="84">
        <v>0</v>
      </c>
      <c r="F197" s="84">
        <v>10000</v>
      </c>
      <c r="G197" s="84">
        <v>8603.39</v>
      </c>
      <c r="H197" s="203">
        <f t="shared" si="2"/>
        <v>86.0339</v>
      </c>
    </row>
    <row r="198" spans="1:8" s="28" customFormat="1" ht="22.5" customHeight="1">
      <c r="A198" s="88"/>
      <c r="B198" s="85"/>
      <c r="C198" s="289">
        <v>6060</v>
      </c>
      <c r="D198" s="43" t="s">
        <v>90</v>
      </c>
      <c r="E198" s="84">
        <v>0</v>
      </c>
      <c r="F198" s="84">
        <v>66000</v>
      </c>
      <c r="G198" s="84">
        <v>65636</v>
      </c>
      <c r="H198" s="203">
        <f t="shared" si="2"/>
        <v>99.44848484848485</v>
      </c>
    </row>
    <row r="199" spans="1:8" s="28" customFormat="1" ht="21" customHeight="1">
      <c r="A199" s="88"/>
      <c r="B199" s="85" t="s">
        <v>92</v>
      </c>
      <c r="C199" s="88"/>
      <c r="D199" s="43" t="s">
        <v>6</v>
      </c>
      <c r="E199" s="84">
        <f>SUM(E200:E201)</f>
        <v>155000</v>
      </c>
      <c r="F199" s="84">
        <f>SUM(F200:F201)</f>
        <v>155000</v>
      </c>
      <c r="G199" s="84">
        <f>SUM(G200:G201)</f>
        <v>5000</v>
      </c>
      <c r="H199" s="203">
        <f t="shared" si="2"/>
        <v>3.225806451612903</v>
      </c>
    </row>
    <row r="200" spans="1:8" s="28" customFormat="1" ht="21" customHeight="1">
      <c r="A200" s="88"/>
      <c r="B200" s="85"/>
      <c r="C200" s="289">
        <v>4430</v>
      </c>
      <c r="D200" s="43" t="s">
        <v>88</v>
      </c>
      <c r="E200" s="84">
        <v>5000</v>
      </c>
      <c r="F200" s="84">
        <v>5000</v>
      </c>
      <c r="G200" s="84">
        <v>5000</v>
      </c>
      <c r="H200" s="203">
        <f t="shared" si="2"/>
        <v>100</v>
      </c>
    </row>
    <row r="201" spans="1:8" s="28" customFormat="1" ht="22.5">
      <c r="A201" s="88"/>
      <c r="B201" s="85"/>
      <c r="C201" s="289">
        <v>6050</v>
      </c>
      <c r="D201" s="16" t="s">
        <v>70</v>
      </c>
      <c r="E201" s="84">
        <v>150000</v>
      </c>
      <c r="F201" s="84">
        <v>150000</v>
      </c>
      <c r="G201" s="84">
        <v>0</v>
      </c>
      <c r="H201" s="203">
        <f aca="true" t="shared" si="3" ref="H201:H263">G201/F201*100</f>
        <v>0</v>
      </c>
    </row>
    <row r="202" spans="1:8" s="46" customFormat="1" ht="72">
      <c r="A202" s="41">
        <v>756</v>
      </c>
      <c r="B202" s="295"/>
      <c r="C202" s="259"/>
      <c r="D202" s="42" t="s">
        <v>426</v>
      </c>
      <c r="E202" s="288">
        <f>SUM(E203)</f>
        <v>109900</v>
      </c>
      <c r="F202" s="288">
        <f>SUM(F203)</f>
        <v>101900</v>
      </c>
      <c r="G202" s="288">
        <f>SUM(G203)</f>
        <v>90086.58</v>
      </c>
      <c r="H202" s="202">
        <f t="shared" si="3"/>
        <v>88.40684985279687</v>
      </c>
    </row>
    <row r="203" spans="1:8" s="28" customFormat="1" ht="25.5" customHeight="1">
      <c r="A203" s="88"/>
      <c r="B203" s="85">
        <v>75647</v>
      </c>
      <c r="C203" s="289"/>
      <c r="D203" s="43" t="s">
        <v>427</v>
      </c>
      <c r="E203" s="84">
        <f>SUM(E204:E211)</f>
        <v>109900</v>
      </c>
      <c r="F203" s="84">
        <f>SUM(F204:F211)</f>
        <v>101900</v>
      </c>
      <c r="G203" s="84">
        <f>SUM(G204:G211)</f>
        <v>90086.58</v>
      </c>
      <c r="H203" s="203">
        <f t="shared" si="3"/>
        <v>88.40684985279687</v>
      </c>
    </row>
    <row r="204" spans="1:8" s="28" customFormat="1" ht="21" customHeight="1">
      <c r="A204" s="88"/>
      <c r="B204" s="85"/>
      <c r="C204" s="289">
        <v>4100</v>
      </c>
      <c r="D204" s="43" t="s">
        <v>428</v>
      </c>
      <c r="E204" s="84">
        <v>40000</v>
      </c>
      <c r="F204" s="84">
        <v>36000</v>
      </c>
      <c r="G204" s="84">
        <v>35231.53</v>
      </c>
      <c r="H204" s="203">
        <f t="shared" si="3"/>
        <v>97.8653611111111</v>
      </c>
    </row>
    <row r="205" spans="1:8" s="28" customFormat="1" ht="21" customHeight="1">
      <c r="A205" s="88"/>
      <c r="B205" s="85"/>
      <c r="C205" s="289">
        <v>4170</v>
      </c>
      <c r="D205" s="43" t="s">
        <v>170</v>
      </c>
      <c r="E205" s="84">
        <v>5000</v>
      </c>
      <c r="F205" s="84">
        <v>5000</v>
      </c>
      <c r="G205" s="84">
        <v>2600</v>
      </c>
      <c r="H205" s="203">
        <f t="shared" si="3"/>
        <v>52</v>
      </c>
    </row>
    <row r="206" spans="1:8" s="28" customFormat="1" ht="21" customHeight="1">
      <c r="A206" s="88"/>
      <c r="B206" s="85"/>
      <c r="C206" s="289">
        <v>4210</v>
      </c>
      <c r="D206" s="43" t="s">
        <v>69</v>
      </c>
      <c r="E206" s="84">
        <v>2000</v>
      </c>
      <c r="F206" s="84">
        <v>2000</v>
      </c>
      <c r="G206" s="84">
        <v>1532.83</v>
      </c>
      <c r="H206" s="203">
        <f t="shared" si="3"/>
        <v>76.6415</v>
      </c>
    </row>
    <row r="207" spans="1:8" s="28" customFormat="1" ht="21" customHeight="1">
      <c r="A207" s="88"/>
      <c r="B207" s="85"/>
      <c r="C207" s="289">
        <v>4300</v>
      </c>
      <c r="D207" s="43" t="s">
        <v>76</v>
      </c>
      <c r="E207" s="84">
        <v>20000</v>
      </c>
      <c r="F207" s="84">
        <v>20000</v>
      </c>
      <c r="G207" s="84">
        <v>19804.31</v>
      </c>
      <c r="H207" s="203">
        <f t="shared" si="3"/>
        <v>99.02155</v>
      </c>
    </row>
    <row r="208" spans="1:8" s="28" customFormat="1" ht="21" customHeight="1">
      <c r="A208" s="88"/>
      <c r="B208" s="85"/>
      <c r="C208" s="289">
        <v>4430</v>
      </c>
      <c r="D208" s="43" t="s">
        <v>88</v>
      </c>
      <c r="E208" s="84">
        <v>4900</v>
      </c>
      <c r="F208" s="84">
        <v>900</v>
      </c>
      <c r="G208" s="84">
        <v>0</v>
      </c>
      <c r="H208" s="203">
        <f t="shared" si="3"/>
        <v>0</v>
      </c>
    </row>
    <row r="209" spans="1:8" s="28" customFormat="1" ht="21.75" customHeight="1">
      <c r="A209" s="88"/>
      <c r="B209" s="85"/>
      <c r="C209" s="289">
        <v>4610</v>
      </c>
      <c r="D209" s="43" t="s">
        <v>159</v>
      </c>
      <c r="E209" s="84">
        <f>24000+10000</f>
        <v>34000</v>
      </c>
      <c r="F209" s="84">
        <v>34000</v>
      </c>
      <c r="G209" s="84">
        <v>26917.91</v>
      </c>
      <c r="H209" s="203">
        <f t="shared" si="3"/>
        <v>79.17032352941177</v>
      </c>
    </row>
    <row r="210" spans="1:8" s="28" customFormat="1" ht="33.75">
      <c r="A210" s="88"/>
      <c r="B210" s="85"/>
      <c r="C210" s="289">
        <v>4740</v>
      </c>
      <c r="D210" s="43" t="s">
        <v>195</v>
      </c>
      <c r="E210" s="84">
        <v>2000</v>
      </c>
      <c r="F210" s="84">
        <v>2000</v>
      </c>
      <c r="G210" s="84">
        <v>2000</v>
      </c>
      <c r="H210" s="203">
        <f t="shared" si="3"/>
        <v>100</v>
      </c>
    </row>
    <row r="211" spans="1:8" s="28" customFormat="1" ht="22.5">
      <c r="A211" s="88"/>
      <c r="B211" s="85"/>
      <c r="C211" s="289">
        <v>4750</v>
      </c>
      <c r="D211" s="43" t="s">
        <v>408</v>
      </c>
      <c r="E211" s="84">
        <v>2000</v>
      </c>
      <c r="F211" s="84">
        <v>2000</v>
      </c>
      <c r="G211" s="84">
        <v>2000</v>
      </c>
      <c r="H211" s="203">
        <f t="shared" si="3"/>
        <v>100</v>
      </c>
    </row>
    <row r="212" spans="1:8" s="8" customFormat="1" ht="21.75" customHeight="1">
      <c r="A212" s="39" t="s">
        <v>429</v>
      </c>
      <c r="B212" s="40"/>
      <c r="C212" s="41"/>
      <c r="D212" s="42" t="s">
        <v>430</v>
      </c>
      <c r="E212" s="288">
        <f>SUM(E213)</f>
        <v>356637</v>
      </c>
      <c r="F212" s="288">
        <f>SUM(F213)</f>
        <v>486637</v>
      </c>
      <c r="G212" s="288">
        <f>SUM(G213)</f>
        <v>385435.21</v>
      </c>
      <c r="H212" s="202">
        <f t="shared" si="3"/>
        <v>79.20384393295208</v>
      </c>
    </row>
    <row r="213" spans="1:8" s="28" customFormat="1" ht="33.75">
      <c r="A213" s="71"/>
      <c r="B213" s="85" t="s">
        <v>431</v>
      </c>
      <c r="C213" s="88"/>
      <c r="D213" s="43" t="s">
        <v>432</v>
      </c>
      <c r="E213" s="84">
        <f>SUM(E214:E214)</f>
        <v>356637</v>
      </c>
      <c r="F213" s="84">
        <f>SUM(F214:F214)</f>
        <v>486637</v>
      </c>
      <c r="G213" s="84">
        <f>SUM(G214:G214)</f>
        <v>385435.21</v>
      </c>
      <c r="H213" s="203">
        <f t="shared" si="3"/>
        <v>79.20384393295208</v>
      </c>
    </row>
    <row r="214" spans="1:8" s="28" customFormat="1" ht="56.25">
      <c r="A214" s="71"/>
      <c r="B214" s="294"/>
      <c r="C214" s="88">
        <v>8070</v>
      </c>
      <c r="D214" s="43" t="s">
        <v>433</v>
      </c>
      <c r="E214" s="84">
        <v>356637</v>
      </c>
      <c r="F214" s="84">
        <v>486637</v>
      </c>
      <c r="G214" s="84">
        <v>385435.21</v>
      </c>
      <c r="H214" s="203">
        <f t="shared" si="3"/>
        <v>79.20384393295208</v>
      </c>
    </row>
    <row r="215" spans="1:8" s="8" customFormat="1" ht="21" customHeight="1">
      <c r="A215" s="39" t="s">
        <v>46</v>
      </c>
      <c r="B215" s="40"/>
      <c r="C215" s="41"/>
      <c r="D215" s="42" t="s">
        <v>47</v>
      </c>
      <c r="E215" s="288">
        <f>SUM(E216)</f>
        <v>2217300</v>
      </c>
      <c r="F215" s="288">
        <f>SUM(F216)</f>
        <v>394156</v>
      </c>
      <c r="G215" s="288">
        <f>SUM(G216)</f>
        <v>0</v>
      </c>
      <c r="H215" s="202">
        <f t="shared" si="3"/>
        <v>0</v>
      </c>
    </row>
    <row r="216" spans="1:8" s="28" customFormat="1" ht="21" customHeight="1">
      <c r="A216" s="71"/>
      <c r="B216" s="85" t="s">
        <v>434</v>
      </c>
      <c r="C216" s="88"/>
      <c r="D216" s="43" t="s">
        <v>93</v>
      </c>
      <c r="E216" s="84">
        <f>SUM(E217:E218)</f>
        <v>2217300</v>
      </c>
      <c r="F216" s="84">
        <f>SUM(F217:F218)</f>
        <v>394156</v>
      </c>
      <c r="G216" s="84">
        <f>SUM(G217:G218)</f>
        <v>0</v>
      </c>
      <c r="H216" s="203">
        <f t="shared" si="3"/>
        <v>0</v>
      </c>
    </row>
    <row r="217" spans="1:8" s="28" customFormat="1" ht="21" customHeight="1">
      <c r="A217" s="71"/>
      <c r="B217" s="294"/>
      <c r="C217" s="88">
        <v>4810</v>
      </c>
      <c r="D217" s="43" t="s">
        <v>94</v>
      </c>
      <c r="E217" s="84">
        <v>1347300</v>
      </c>
      <c r="F217" s="84">
        <v>394156</v>
      </c>
      <c r="G217" s="84">
        <v>0</v>
      </c>
      <c r="H217" s="203">
        <f t="shared" si="3"/>
        <v>0</v>
      </c>
    </row>
    <row r="218" spans="1:8" s="28" customFormat="1" ht="21" customHeight="1">
      <c r="A218" s="71"/>
      <c r="B218" s="294"/>
      <c r="C218" s="88">
        <v>6800</v>
      </c>
      <c r="D218" s="43" t="s">
        <v>246</v>
      </c>
      <c r="E218" s="84">
        <v>870000</v>
      </c>
      <c r="F218" s="84">
        <v>0</v>
      </c>
      <c r="G218" s="84">
        <v>0</v>
      </c>
      <c r="H218" s="203">
        <v>0</v>
      </c>
    </row>
    <row r="219" spans="1:8" s="9" customFormat="1" ht="20.25" customHeight="1">
      <c r="A219" s="39" t="s">
        <v>95</v>
      </c>
      <c r="B219" s="40"/>
      <c r="C219" s="41"/>
      <c r="D219" s="42" t="s">
        <v>96</v>
      </c>
      <c r="E219" s="288">
        <f>SUM(E220,E249,E264,E270,E296,E303,E308,E319)</f>
        <v>25868430</v>
      </c>
      <c r="F219" s="288">
        <f>SUM(F220,F249,F264,F270,F296,F303,F308,F319)</f>
        <v>24737720</v>
      </c>
      <c r="G219" s="288">
        <f>SUM(G220,G249,G264,G270,G296,G303,G308,G319)</f>
        <v>24429763.61</v>
      </c>
      <c r="H219" s="202">
        <f t="shared" si="3"/>
        <v>98.75511409297218</v>
      </c>
    </row>
    <row r="220" spans="1:8" s="28" customFormat="1" ht="21" customHeight="1">
      <c r="A220" s="71"/>
      <c r="B220" s="85" t="s">
        <v>97</v>
      </c>
      <c r="C220" s="88"/>
      <c r="D220" s="43" t="s">
        <v>52</v>
      </c>
      <c r="E220" s="84">
        <f>SUM(E221:E248)</f>
        <v>12420346</v>
      </c>
      <c r="F220" s="84">
        <f>SUM(F221:F248)</f>
        <v>12892697</v>
      </c>
      <c r="G220" s="84">
        <f>SUM(G221:G248)</f>
        <v>12788634.520000001</v>
      </c>
      <c r="H220" s="203">
        <f t="shared" si="3"/>
        <v>99.19285716557211</v>
      </c>
    </row>
    <row r="221" spans="1:8" s="28" customFormat="1" ht="22.5">
      <c r="A221" s="71"/>
      <c r="B221" s="85"/>
      <c r="C221" s="88">
        <v>2540</v>
      </c>
      <c r="D221" s="43" t="s">
        <v>435</v>
      </c>
      <c r="E221" s="84">
        <v>447149</v>
      </c>
      <c r="F221" s="84">
        <v>298109</v>
      </c>
      <c r="G221" s="84">
        <v>298109</v>
      </c>
      <c r="H221" s="203">
        <f t="shared" si="3"/>
        <v>100</v>
      </c>
    </row>
    <row r="222" spans="1:8" s="28" customFormat="1" ht="56.25">
      <c r="A222" s="71"/>
      <c r="B222" s="85"/>
      <c r="C222" s="88">
        <v>2590</v>
      </c>
      <c r="D222" s="43" t="s">
        <v>445</v>
      </c>
      <c r="E222" s="84">
        <v>0</v>
      </c>
      <c r="F222" s="84">
        <v>239259</v>
      </c>
      <c r="G222" s="84">
        <v>239259</v>
      </c>
      <c r="H222" s="203">
        <f t="shared" si="3"/>
        <v>100</v>
      </c>
    </row>
    <row r="223" spans="1:8" s="28" customFormat="1" ht="22.5">
      <c r="A223" s="71"/>
      <c r="B223" s="85"/>
      <c r="C223" s="71">
        <v>3020</v>
      </c>
      <c r="D223" s="43" t="s">
        <v>436</v>
      </c>
      <c r="E223" s="84">
        <v>195991</v>
      </c>
      <c r="F223" s="84">
        <v>203458</v>
      </c>
      <c r="G223" s="84">
        <v>199868.7</v>
      </c>
      <c r="H223" s="203">
        <f t="shared" si="3"/>
        <v>98.23585211689883</v>
      </c>
    </row>
    <row r="224" spans="1:8" s="28" customFormat="1" ht="21" customHeight="1">
      <c r="A224" s="71"/>
      <c r="B224" s="85"/>
      <c r="C224" s="71">
        <v>4010</v>
      </c>
      <c r="D224" s="43" t="s">
        <v>80</v>
      </c>
      <c r="E224" s="84">
        <v>7107101</v>
      </c>
      <c r="F224" s="84">
        <v>7243333</v>
      </c>
      <c r="G224" s="84">
        <v>7216063.56</v>
      </c>
      <c r="H224" s="203">
        <f t="shared" si="3"/>
        <v>99.62352359059012</v>
      </c>
    </row>
    <row r="225" spans="1:8" s="28" customFormat="1" ht="21" customHeight="1">
      <c r="A225" s="71"/>
      <c r="B225" s="85"/>
      <c r="C225" s="71">
        <v>4040</v>
      </c>
      <c r="D225" s="43" t="s">
        <v>81</v>
      </c>
      <c r="E225" s="84">
        <v>551652</v>
      </c>
      <c r="F225" s="84">
        <v>533263</v>
      </c>
      <c r="G225" s="84">
        <v>533259.38</v>
      </c>
      <c r="H225" s="203">
        <f t="shared" si="3"/>
        <v>99.99932116047803</v>
      </c>
    </row>
    <row r="226" spans="1:8" s="28" customFormat="1" ht="21" customHeight="1">
      <c r="A226" s="71"/>
      <c r="B226" s="85"/>
      <c r="C226" s="71">
        <v>4110</v>
      </c>
      <c r="D226" s="43" t="s">
        <v>82</v>
      </c>
      <c r="E226" s="84">
        <v>1159019</v>
      </c>
      <c r="F226" s="84">
        <v>1167214</v>
      </c>
      <c r="G226" s="84">
        <v>1164885.21</v>
      </c>
      <c r="H226" s="203">
        <f t="shared" si="3"/>
        <v>99.80048303053253</v>
      </c>
    </row>
    <row r="227" spans="1:8" s="28" customFormat="1" ht="21" customHeight="1">
      <c r="A227" s="71"/>
      <c r="B227" s="85"/>
      <c r="C227" s="71">
        <v>4120</v>
      </c>
      <c r="D227" s="43" t="s">
        <v>83</v>
      </c>
      <c r="E227" s="84">
        <v>186008</v>
      </c>
      <c r="F227" s="84">
        <v>183154</v>
      </c>
      <c r="G227" s="84">
        <v>180586.56</v>
      </c>
      <c r="H227" s="203">
        <f t="shared" si="3"/>
        <v>98.59820697336667</v>
      </c>
    </row>
    <row r="228" spans="1:8" s="28" customFormat="1" ht="21" customHeight="1">
      <c r="A228" s="71"/>
      <c r="B228" s="85"/>
      <c r="C228" s="71">
        <v>4170</v>
      </c>
      <c r="D228" s="43" t="s">
        <v>170</v>
      </c>
      <c r="E228" s="84">
        <v>13100</v>
      </c>
      <c r="F228" s="84">
        <v>20529</v>
      </c>
      <c r="G228" s="84">
        <v>14763.29</v>
      </c>
      <c r="H228" s="203">
        <f t="shared" si="3"/>
        <v>71.91431633299236</v>
      </c>
    </row>
    <row r="229" spans="1:8" s="28" customFormat="1" ht="21" customHeight="1">
      <c r="A229" s="71"/>
      <c r="B229" s="85"/>
      <c r="C229" s="71">
        <v>4210</v>
      </c>
      <c r="D229" s="43" t="s">
        <v>87</v>
      </c>
      <c r="E229" s="84">
        <f>6800+450205</f>
        <v>457005</v>
      </c>
      <c r="F229" s="84">
        <v>443651</v>
      </c>
      <c r="G229" s="84">
        <v>442311.81</v>
      </c>
      <c r="H229" s="203">
        <f t="shared" si="3"/>
        <v>99.69814336043422</v>
      </c>
    </row>
    <row r="230" spans="1:8" s="28" customFormat="1" ht="22.5">
      <c r="A230" s="71"/>
      <c r="B230" s="85"/>
      <c r="C230" s="88">
        <v>4230</v>
      </c>
      <c r="D230" s="43" t="s">
        <v>437</v>
      </c>
      <c r="E230" s="84">
        <v>2000</v>
      </c>
      <c r="F230" s="84">
        <v>1875</v>
      </c>
      <c r="G230" s="84">
        <v>1733.31</v>
      </c>
      <c r="H230" s="203">
        <f t="shared" si="3"/>
        <v>92.44319999999999</v>
      </c>
    </row>
    <row r="231" spans="1:8" s="28" customFormat="1" ht="22.5">
      <c r="A231" s="71"/>
      <c r="B231" s="85"/>
      <c r="C231" s="88">
        <v>4240</v>
      </c>
      <c r="D231" s="43" t="s">
        <v>102</v>
      </c>
      <c r="E231" s="84">
        <f>500+84060</f>
        <v>84560</v>
      </c>
      <c r="F231" s="84">
        <v>144151</v>
      </c>
      <c r="G231" s="84">
        <v>144063.08</v>
      </c>
      <c r="H231" s="203">
        <f t="shared" si="3"/>
        <v>99.93900840091293</v>
      </c>
    </row>
    <row r="232" spans="1:8" s="28" customFormat="1" ht="21" customHeight="1">
      <c r="A232" s="71"/>
      <c r="B232" s="85"/>
      <c r="C232" s="71">
        <v>4260</v>
      </c>
      <c r="D232" s="43" t="s">
        <v>89</v>
      </c>
      <c r="E232" s="84">
        <v>505430</v>
      </c>
      <c r="F232" s="84">
        <v>558325</v>
      </c>
      <c r="G232" s="84">
        <v>531025.24</v>
      </c>
      <c r="H232" s="203">
        <f t="shared" si="3"/>
        <v>95.11041776742937</v>
      </c>
    </row>
    <row r="233" spans="1:8" s="28" customFormat="1" ht="21" customHeight="1">
      <c r="A233" s="71"/>
      <c r="B233" s="85"/>
      <c r="C233" s="71">
        <v>4270</v>
      </c>
      <c r="D233" s="43" t="s">
        <v>75</v>
      </c>
      <c r="E233" s="84">
        <v>153158</v>
      </c>
      <c r="F233" s="84">
        <v>247758</v>
      </c>
      <c r="G233" s="84">
        <v>244346.36</v>
      </c>
      <c r="H233" s="203">
        <f t="shared" si="3"/>
        <v>98.62299501933339</v>
      </c>
    </row>
    <row r="234" spans="1:8" s="28" customFormat="1" ht="21" customHeight="1">
      <c r="A234" s="71"/>
      <c r="B234" s="85"/>
      <c r="C234" s="71">
        <v>4280</v>
      </c>
      <c r="D234" s="43" t="s">
        <v>438</v>
      </c>
      <c r="E234" s="84">
        <v>18900</v>
      </c>
      <c r="F234" s="84">
        <v>15089</v>
      </c>
      <c r="G234" s="84">
        <v>13066</v>
      </c>
      <c r="H234" s="203">
        <f t="shared" si="3"/>
        <v>86.5928822320896</v>
      </c>
    </row>
    <row r="235" spans="1:8" s="28" customFormat="1" ht="21" customHeight="1">
      <c r="A235" s="71"/>
      <c r="B235" s="85"/>
      <c r="C235" s="71">
        <v>4300</v>
      </c>
      <c r="D235" s="43" t="s">
        <v>76</v>
      </c>
      <c r="E235" s="84">
        <v>110748</v>
      </c>
      <c r="F235" s="84">
        <v>168189</v>
      </c>
      <c r="G235" s="84">
        <v>161696.74</v>
      </c>
      <c r="H235" s="203">
        <f t="shared" si="3"/>
        <v>96.13990213390888</v>
      </c>
    </row>
    <row r="236" spans="1:8" s="28" customFormat="1" ht="21" customHeight="1">
      <c r="A236" s="71"/>
      <c r="B236" s="85"/>
      <c r="C236" s="71">
        <v>4350</v>
      </c>
      <c r="D236" s="43" t="s">
        <v>179</v>
      </c>
      <c r="E236" s="84">
        <v>4050</v>
      </c>
      <c r="F236" s="84">
        <v>3559</v>
      </c>
      <c r="G236" s="84">
        <v>3338.92</v>
      </c>
      <c r="H236" s="203">
        <f t="shared" si="3"/>
        <v>93.81624051699916</v>
      </c>
    </row>
    <row r="237" spans="1:8" s="28" customFormat="1" ht="27" customHeight="1">
      <c r="A237" s="71"/>
      <c r="B237" s="85"/>
      <c r="C237" s="71">
        <v>4360</v>
      </c>
      <c r="D237" s="43" t="s">
        <v>420</v>
      </c>
      <c r="E237" s="84">
        <v>0</v>
      </c>
      <c r="F237" s="84">
        <v>420</v>
      </c>
      <c r="G237" s="84">
        <v>392.36</v>
      </c>
      <c r="H237" s="203">
        <f t="shared" si="3"/>
        <v>93.41904761904762</v>
      </c>
    </row>
    <row r="238" spans="1:8" s="28" customFormat="1" ht="33.75">
      <c r="A238" s="71"/>
      <c r="B238" s="85"/>
      <c r="C238" s="71">
        <v>4370</v>
      </c>
      <c r="D238" s="16" t="s">
        <v>194</v>
      </c>
      <c r="E238" s="84">
        <v>20770</v>
      </c>
      <c r="F238" s="84">
        <v>18534</v>
      </c>
      <c r="G238" s="84">
        <v>15231.17</v>
      </c>
      <c r="H238" s="203">
        <f t="shared" si="3"/>
        <v>82.17961584115679</v>
      </c>
    </row>
    <row r="239" spans="1:8" s="28" customFormat="1" ht="27" customHeight="1">
      <c r="A239" s="71"/>
      <c r="B239" s="85"/>
      <c r="C239" s="71">
        <v>4390</v>
      </c>
      <c r="D239" s="43" t="s">
        <v>439</v>
      </c>
      <c r="E239" s="84">
        <v>5400</v>
      </c>
      <c r="F239" s="84">
        <v>800</v>
      </c>
      <c r="G239" s="84">
        <v>800</v>
      </c>
      <c r="H239" s="203">
        <f t="shared" si="3"/>
        <v>100</v>
      </c>
    </row>
    <row r="240" spans="1:8" s="28" customFormat="1" ht="21" customHeight="1">
      <c r="A240" s="71"/>
      <c r="B240" s="85"/>
      <c r="C240" s="71">
        <v>4410</v>
      </c>
      <c r="D240" s="43" t="s">
        <v>86</v>
      </c>
      <c r="E240" s="84">
        <v>18780</v>
      </c>
      <c r="F240" s="84">
        <v>18657</v>
      </c>
      <c r="G240" s="84">
        <v>17864.42</v>
      </c>
      <c r="H240" s="203">
        <f t="shared" si="3"/>
        <v>95.75183577209626</v>
      </c>
    </row>
    <row r="241" spans="1:8" s="28" customFormat="1" ht="21" customHeight="1">
      <c r="A241" s="71"/>
      <c r="B241" s="85"/>
      <c r="C241" s="71">
        <v>4420</v>
      </c>
      <c r="D241" s="43" t="s">
        <v>417</v>
      </c>
      <c r="E241" s="84">
        <v>0</v>
      </c>
      <c r="F241" s="84">
        <v>283</v>
      </c>
      <c r="G241" s="84">
        <v>282.15</v>
      </c>
      <c r="H241" s="203">
        <f t="shared" si="3"/>
        <v>99.69964664310953</v>
      </c>
    </row>
    <row r="242" spans="1:8" s="28" customFormat="1" ht="21" customHeight="1">
      <c r="A242" s="71"/>
      <c r="B242" s="85"/>
      <c r="C242" s="289">
        <v>4430</v>
      </c>
      <c r="D242" s="43" t="s">
        <v>88</v>
      </c>
      <c r="E242" s="84">
        <v>8100</v>
      </c>
      <c r="F242" s="84">
        <v>9707</v>
      </c>
      <c r="G242" s="84">
        <v>9496.5</v>
      </c>
      <c r="H242" s="203">
        <f t="shared" si="3"/>
        <v>97.83146183166787</v>
      </c>
    </row>
    <row r="243" spans="1:8" s="28" customFormat="1" ht="23.25" customHeight="1">
      <c r="A243" s="71"/>
      <c r="B243" s="85"/>
      <c r="C243" s="289">
        <v>4440</v>
      </c>
      <c r="D243" s="43" t="s">
        <v>84</v>
      </c>
      <c r="E243" s="84">
        <v>414975</v>
      </c>
      <c r="F243" s="84">
        <v>422834</v>
      </c>
      <c r="G243" s="84">
        <v>422834</v>
      </c>
      <c r="H243" s="203">
        <f t="shared" si="3"/>
        <v>100</v>
      </c>
    </row>
    <row r="244" spans="1:8" s="28" customFormat="1" ht="22.5">
      <c r="A244" s="71"/>
      <c r="B244" s="85"/>
      <c r="C244" s="289">
        <v>4570</v>
      </c>
      <c r="D244" s="43" t="s">
        <v>440</v>
      </c>
      <c r="E244" s="84">
        <v>0</v>
      </c>
      <c r="F244" s="84">
        <v>38</v>
      </c>
      <c r="G244" s="84">
        <v>38</v>
      </c>
      <c r="H244" s="203">
        <f t="shared" si="3"/>
        <v>100</v>
      </c>
    </row>
    <row r="245" spans="1:8" s="28" customFormat="1" ht="22.5">
      <c r="A245" s="71"/>
      <c r="B245" s="85"/>
      <c r="C245" s="289">
        <v>4700</v>
      </c>
      <c r="D245" s="43" t="s">
        <v>241</v>
      </c>
      <c r="E245" s="84">
        <v>8860</v>
      </c>
      <c r="F245" s="84">
        <v>3625</v>
      </c>
      <c r="G245" s="84">
        <v>1475</v>
      </c>
      <c r="H245" s="203">
        <f t="shared" si="3"/>
        <v>40.689655172413794</v>
      </c>
    </row>
    <row r="246" spans="1:8" s="28" customFormat="1" ht="33.75">
      <c r="A246" s="71"/>
      <c r="B246" s="85"/>
      <c r="C246" s="289">
        <v>4740</v>
      </c>
      <c r="D246" s="16" t="s">
        <v>195</v>
      </c>
      <c r="E246" s="84">
        <v>5900</v>
      </c>
      <c r="F246" s="84">
        <v>5265</v>
      </c>
      <c r="G246" s="84">
        <v>5063.59</v>
      </c>
      <c r="H246" s="203">
        <f t="shared" si="3"/>
        <v>96.17454890788224</v>
      </c>
    </row>
    <row r="247" spans="1:8" s="28" customFormat="1" ht="23.25" customHeight="1">
      <c r="A247" s="71"/>
      <c r="B247" s="85"/>
      <c r="C247" s="289">
        <v>4750</v>
      </c>
      <c r="D247" s="16" t="s">
        <v>408</v>
      </c>
      <c r="E247" s="84">
        <v>41690</v>
      </c>
      <c r="F247" s="84">
        <v>41618</v>
      </c>
      <c r="G247" s="84">
        <v>39599.1</v>
      </c>
      <c r="H247" s="203">
        <f t="shared" si="3"/>
        <v>95.1489740016339</v>
      </c>
    </row>
    <row r="248" spans="1:8" s="28" customFormat="1" ht="21" customHeight="1">
      <c r="A248" s="71"/>
      <c r="B248" s="85"/>
      <c r="C248" s="289">
        <v>6050</v>
      </c>
      <c r="D248" s="16" t="s">
        <v>70</v>
      </c>
      <c r="E248" s="84">
        <v>900000</v>
      </c>
      <c r="F248" s="84">
        <v>900000</v>
      </c>
      <c r="G248" s="84">
        <v>887182.07</v>
      </c>
      <c r="H248" s="203">
        <f t="shared" si="3"/>
        <v>98.57578555555556</v>
      </c>
    </row>
    <row r="249" spans="1:8" s="28" customFormat="1" ht="27" customHeight="1">
      <c r="A249" s="71"/>
      <c r="B249" s="85">
        <v>80103</v>
      </c>
      <c r="C249" s="289"/>
      <c r="D249" s="43" t="s">
        <v>177</v>
      </c>
      <c r="E249" s="84">
        <f>SUM(E250:E263)</f>
        <v>449927</v>
      </c>
      <c r="F249" s="84">
        <f>SUM(F250:F263)</f>
        <v>477634</v>
      </c>
      <c r="G249" s="84">
        <f>SUM(G250:G263)</f>
        <v>468622.10000000003</v>
      </c>
      <c r="H249" s="203">
        <f t="shared" si="3"/>
        <v>98.11322058312433</v>
      </c>
    </row>
    <row r="250" spans="1:8" s="28" customFormat="1" ht="22.5">
      <c r="A250" s="71"/>
      <c r="B250" s="85"/>
      <c r="C250" s="88">
        <v>2540</v>
      </c>
      <c r="D250" s="43" t="s">
        <v>435</v>
      </c>
      <c r="E250" s="84">
        <v>61433</v>
      </c>
      <c r="F250" s="84">
        <v>41033</v>
      </c>
      <c r="G250" s="84">
        <v>41033</v>
      </c>
      <c r="H250" s="203">
        <f t="shared" si="3"/>
        <v>100</v>
      </c>
    </row>
    <row r="251" spans="1:8" s="28" customFormat="1" ht="56.25">
      <c r="A251" s="71"/>
      <c r="B251" s="85"/>
      <c r="C251" s="88">
        <v>2590</v>
      </c>
      <c r="D251" s="43" t="s">
        <v>445</v>
      </c>
      <c r="E251" s="84">
        <v>0</v>
      </c>
      <c r="F251" s="84">
        <v>9321</v>
      </c>
      <c r="G251" s="84">
        <v>9321</v>
      </c>
      <c r="H251" s="203">
        <f t="shared" si="3"/>
        <v>100</v>
      </c>
    </row>
    <row r="252" spans="1:8" s="28" customFormat="1" ht="21.75" customHeight="1">
      <c r="A252" s="71"/>
      <c r="B252" s="85"/>
      <c r="C252" s="88">
        <v>3020</v>
      </c>
      <c r="D252" s="43" t="s">
        <v>167</v>
      </c>
      <c r="E252" s="84">
        <v>19723</v>
      </c>
      <c r="F252" s="84">
        <v>20062</v>
      </c>
      <c r="G252" s="84">
        <v>19213.95</v>
      </c>
      <c r="H252" s="203">
        <f t="shared" si="3"/>
        <v>95.7728541521284</v>
      </c>
    </row>
    <row r="253" spans="1:8" s="28" customFormat="1" ht="21" customHeight="1">
      <c r="A253" s="71"/>
      <c r="B253" s="85"/>
      <c r="C253" s="88">
        <v>4010</v>
      </c>
      <c r="D253" s="43" t="s">
        <v>80</v>
      </c>
      <c r="E253" s="84">
        <v>258770</v>
      </c>
      <c r="F253" s="84">
        <v>285212</v>
      </c>
      <c r="G253" s="84">
        <v>281060.57</v>
      </c>
      <c r="H253" s="203">
        <f t="shared" si="3"/>
        <v>98.5444406266216</v>
      </c>
    </row>
    <row r="254" spans="1:8" s="28" customFormat="1" ht="21" customHeight="1">
      <c r="A254" s="71"/>
      <c r="B254" s="85"/>
      <c r="C254" s="88">
        <v>4040</v>
      </c>
      <c r="D254" s="43" t="s">
        <v>81</v>
      </c>
      <c r="E254" s="84">
        <v>19531</v>
      </c>
      <c r="F254" s="84">
        <v>18591</v>
      </c>
      <c r="G254" s="84">
        <v>18589.45</v>
      </c>
      <c r="H254" s="203">
        <f t="shared" si="3"/>
        <v>99.99166263245657</v>
      </c>
    </row>
    <row r="255" spans="1:8" s="28" customFormat="1" ht="21" customHeight="1">
      <c r="A255" s="71"/>
      <c r="B255" s="85"/>
      <c r="C255" s="88">
        <v>4110</v>
      </c>
      <c r="D255" s="43" t="s">
        <v>82</v>
      </c>
      <c r="E255" s="84">
        <v>43218</v>
      </c>
      <c r="F255" s="84">
        <v>49814</v>
      </c>
      <c r="G255" s="84">
        <v>46918.5</v>
      </c>
      <c r="H255" s="203">
        <f t="shared" si="3"/>
        <v>94.18737704259847</v>
      </c>
    </row>
    <row r="256" spans="1:8" s="28" customFormat="1" ht="21" customHeight="1">
      <c r="A256" s="71"/>
      <c r="B256" s="85"/>
      <c r="C256" s="88">
        <v>4120</v>
      </c>
      <c r="D256" s="43" t="s">
        <v>83</v>
      </c>
      <c r="E256" s="84">
        <v>7444</v>
      </c>
      <c r="F256" s="84">
        <v>7910</v>
      </c>
      <c r="G256" s="84">
        <v>7554.76</v>
      </c>
      <c r="H256" s="203">
        <f t="shared" si="3"/>
        <v>95.50897597977244</v>
      </c>
    </row>
    <row r="257" spans="1:8" s="28" customFormat="1" ht="21" customHeight="1">
      <c r="A257" s="71"/>
      <c r="B257" s="85"/>
      <c r="C257" s="88">
        <v>4210</v>
      </c>
      <c r="D257" s="43" t="s">
        <v>69</v>
      </c>
      <c r="E257" s="84">
        <f>1700+8950</f>
        <v>10650</v>
      </c>
      <c r="F257" s="84">
        <v>16777</v>
      </c>
      <c r="G257" s="84">
        <v>16521.31</v>
      </c>
      <c r="H257" s="203">
        <f t="shared" si="3"/>
        <v>98.47594921618884</v>
      </c>
    </row>
    <row r="258" spans="1:8" s="28" customFormat="1" ht="22.5" customHeight="1">
      <c r="A258" s="71"/>
      <c r="B258" s="85"/>
      <c r="C258" s="88">
        <v>4240</v>
      </c>
      <c r="D258" s="43" t="s">
        <v>102</v>
      </c>
      <c r="E258" s="84">
        <v>3200</v>
      </c>
      <c r="F258" s="84">
        <v>7096</v>
      </c>
      <c r="G258" s="84">
        <v>7053.03</v>
      </c>
      <c r="H258" s="203">
        <f t="shared" si="3"/>
        <v>99.39444757609921</v>
      </c>
    </row>
    <row r="259" spans="1:8" s="28" customFormat="1" ht="21" customHeight="1">
      <c r="A259" s="71"/>
      <c r="B259" s="85"/>
      <c r="C259" s="88">
        <v>4260</v>
      </c>
      <c r="D259" s="43" t="s">
        <v>89</v>
      </c>
      <c r="E259" s="84">
        <v>600</v>
      </c>
      <c r="F259" s="84">
        <v>817</v>
      </c>
      <c r="G259" s="84">
        <v>716.23</v>
      </c>
      <c r="H259" s="203">
        <f t="shared" si="3"/>
        <v>87.66585067319461</v>
      </c>
    </row>
    <row r="260" spans="1:8" s="28" customFormat="1" ht="21" customHeight="1">
      <c r="A260" s="71"/>
      <c r="B260" s="85"/>
      <c r="C260" s="88">
        <v>4270</v>
      </c>
      <c r="D260" s="43" t="s">
        <v>75</v>
      </c>
      <c r="E260" s="84">
        <v>6000</v>
      </c>
      <c r="F260" s="84">
        <v>1000</v>
      </c>
      <c r="G260" s="84">
        <v>933.86</v>
      </c>
      <c r="H260" s="203">
        <f t="shared" si="3"/>
        <v>93.386</v>
      </c>
    </row>
    <row r="261" spans="1:8" s="28" customFormat="1" ht="21" customHeight="1">
      <c r="A261" s="71"/>
      <c r="B261" s="85"/>
      <c r="C261" s="88">
        <v>4280</v>
      </c>
      <c r="D261" s="43" t="s">
        <v>438</v>
      </c>
      <c r="E261" s="84">
        <v>600</v>
      </c>
      <c r="F261" s="84">
        <v>600</v>
      </c>
      <c r="G261" s="84">
        <v>310</v>
      </c>
      <c r="H261" s="203">
        <f t="shared" si="3"/>
        <v>51.66666666666667</v>
      </c>
    </row>
    <row r="262" spans="1:8" s="28" customFormat="1" ht="24" customHeight="1">
      <c r="A262" s="71"/>
      <c r="B262" s="85"/>
      <c r="C262" s="88">
        <v>4440</v>
      </c>
      <c r="D262" s="43" t="s">
        <v>441</v>
      </c>
      <c r="E262" s="84">
        <v>18558</v>
      </c>
      <c r="F262" s="84">
        <v>19201</v>
      </c>
      <c r="G262" s="84">
        <v>19201</v>
      </c>
      <c r="H262" s="203">
        <f t="shared" si="3"/>
        <v>100</v>
      </c>
    </row>
    <row r="263" spans="1:8" s="28" customFormat="1" ht="33.75">
      <c r="A263" s="71"/>
      <c r="B263" s="85"/>
      <c r="C263" s="88">
        <v>4740</v>
      </c>
      <c r="D263" s="16" t="s">
        <v>195</v>
      </c>
      <c r="E263" s="84">
        <v>200</v>
      </c>
      <c r="F263" s="84">
        <v>200</v>
      </c>
      <c r="G263" s="84">
        <v>195.44</v>
      </c>
      <c r="H263" s="203">
        <f t="shared" si="3"/>
        <v>97.72</v>
      </c>
    </row>
    <row r="264" spans="1:8" s="28" customFormat="1" ht="21" customHeight="1">
      <c r="A264" s="278"/>
      <c r="B264" s="85" t="s">
        <v>442</v>
      </c>
      <c r="C264" s="88"/>
      <c r="D264" s="43" t="s">
        <v>103</v>
      </c>
      <c r="E264" s="84">
        <f>SUM(E265:E269)</f>
        <v>3355548</v>
      </c>
      <c r="F264" s="84">
        <f>SUM(F265:F269)</f>
        <v>3630225</v>
      </c>
      <c r="G264" s="84">
        <f>SUM(G265:G269)</f>
        <v>3599309.27</v>
      </c>
      <c r="H264" s="203">
        <f aca="true" t="shared" si="4" ref="H264:H326">G264/F264*100</f>
        <v>99.14837978362223</v>
      </c>
    </row>
    <row r="265" spans="1:8" s="28" customFormat="1" ht="45">
      <c r="A265" s="278"/>
      <c r="B265" s="85"/>
      <c r="C265" s="88">
        <v>2310</v>
      </c>
      <c r="D265" s="43" t="s">
        <v>495</v>
      </c>
      <c r="E265" s="84">
        <v>0</v>
      </c>
      <c r="F265" s="84">
        <v>2800</v>
      </c>
      <c r="G265" s="84">
        <v>2657.02</v>
      </c>
      <c r="H265" s="203">
        <f t="shared" si="4"/>
        <v>94.89357142857143</v>
      </c>
    </row>
    <row r="266" spans="1:8" s="28" customFormat="1" ht="22.5" customHeight="1">
      <c r="A266" s="278"/>
      <c r="B266" s="85"/>
      <c r="C266" s="88">
        <v>2510</v>
      </c>
      <c r="D266" s="43" t="s">
        <v>443</v>
      </c>
      <c r="E266" s="84">
        <v>3355048</v>
      </c>
      <c r="F266" s="84">
        <v>3601425</v>
      </c>
      <c r="G266" s="84">
        <v>3571967</v>
      </c>
      <c r="H266" s="203">
        <f t="shared" si="4"/>
        <v>99.18204599568227</v>
      </c>
    </row>
    <row r="267" spans="1:8" s="28" customFormat="1" ht="21" customHeight="1">
      <c r="A267" s="278"/>
      <c r="B267" s="85"/>
      <c r="C267" s="88">
        <v>4170</v>
      </c>
      <c r="D267" s="43" t="s">
        <v>170</v>
      </c>
      <c r="E267" s="84">
        <v>0</v>
      </c>
      <c r="F267" s="84">
        <v>300</v>
      </c>
      <c r="G267" s="84">
        <v>194.84</v>
      </c>
      <c r="H267" s="203">
        <f t="shared" si="4"/>
        <v>64.94666666666666</v>
      </c>
    </row>
    <row r="268" spans="1:8" s="28" customFormat="1" ht="21" customHeight="1">
      <c r="A268" s="278"/>
      <c r="B268" s="85"/>
      <c r="C268" s="88">
        <v>4210</v>
      </c>
      <c r="D268" s="43" t="s">
        <v>69</v>
      </c>
      <c r="E268" s="84">
        <v>500</v>
      </c>
      <c r="F268" s="84">
        <v>0</v>
      </c>
      <c r="G268" s="84">
        <v>0</v>
      </c>
      <c r="H268" s="203">
        <v>0</v>
      </c>
    </row>
    <row r="269" spans="1:8" s="28" customFormat="1" ht="21" customHeight="1">
      <c r="A269" s="278"/>
      <c r="B269" s="85"/>
      <c r="C269" s="88">
        <v>4270</v>
      </c>
      <c r="D269" s="43" t="s">
        <v>75</v>
      </c>
      <c r="E269" s="84">
        <v>0</v>
      </c>
      <c r="F269" s="84">
        <v>25700</v>
      </c>
      <c r="G269" s="84">
        <v>24490.41</v>
      </c>
      <c r="H269" s="203">
        <f t="shared" si="4"/>
        <v>95.29342412451362</v>
      </c>
    </row>
    <row r="270" spans="1:8" s="28" customFormat="1" ht="21" customHeight="1">
      <c r="A270" s="278"/>
      <c r="B270" s="85" t="s">
        <v>444</v>
      </c>
      <c r="C270" s="88"/>
      <c r="D270" s="43" t="s">
        <v>53</v>
      </c>
      <c r="E270" s="84">
        <f>SUM(E271:E295)</f>
        <v>8735030</v>
      </c>
      <c r="F270" s="84">
        <f>SUM(F271:F295)</f>
        <v>6876845</v>
      </c>
      <c r="G270" s="84">
        <f>SUM(G271:G295)</f>
        <v>6748747.25</v>
      </c>
      <c r="H270" s="203">
        <f t="shared" si="4"/>
        <v>98.13725989170906</v>
      </c>
    </row>
    <row r="271" spans="1:8" s="28" customFormat="1" ht="56.25">
      <c r="A271" s="278"/>
      <c r="B271" s="85"/>
      <c r="C271" s="88">
        <v>2590</v>
      </c>
      <c r="D271" s="43" t="s">
        <v>445</v>
      </c>
      <c r="E271" s="84">
        <v>101210</v>
      </c>
      <c r="F271" s="84">
        <v>109935</v>
      </c>
      <c r="G271" s="84">
        <v>109935</v>
      </c>
      <c r="H271" s="203">
        <f t="shared" si="4"/>
        <v>100</v>
      </c>
    </row>
    <row r="272" spans="1:8" s="28" customFormat="1" ht="22.5">
      <c r="A272" s="71"/>
      <c r="B272" s="85"/>
      <c r="C272" s="88">
        <v>3020</v>
      </c>
      <c r="D272" s="43" t="s">
        <v>167</v>
      </c>
      <c r="E272" s="84">
        <v>42171</v>
      </c>
      <c r="F272" s="84">
        <v>48511</v>
      </c>
      <c r="G272" s="84">
        <v>43887.54</v>
      </c>
      <c r="H272" s="203">
        <f t="shared" si="4"/>
        <v>90.4692543959102</v>
      </c>
    </row>
    <row r="273" spans="1:8" s="28" customFormat="1" ht="21" customHeight="1">
      <c r="A273" s="71"/>
      <c r="B273" s="85"/>
      <c r="C273" s="88">
        <v>4010</v>
      </c>
      <c r="D273" s="43" t="s">
        <v>80</v>
      </c>
      <c r="E273" s="84">
        <v>3501950</v>
      </c>
      <c r="F273" s="84">
        <v>3654349</v>
      </c>
      <c r="G273" s="84">
        <v>3612032.43</v>
      </c>
      <c r="H273" s="203">
        <f t="shared" si="4"/>
        <v>98.84202165693534</v>
      </c>
    </row>
    <row r="274" spans="1:8" s="28" customFormat="1" ht="21" customHeight="1">
      <c r="A274" s="71"/>
      <c r="B274" s="85"/>
      <c r="C274" s="88">
        <v>4040</v>
      </c>
      <c r="D274" s="43" t="s">
        <v>81</v>
      </c>
      <c r="E274" s="84">
        <v>264234</v>
      </c>
      <c r="F274" s="84">
        <v>255211</v>
      </c>
      <c r="G274" s="84">
        <v>255208.96</v>
      </c>
      <c r="H274" s="203">
        <f t="shared" si="4"/>
        <v>99.9992006614135</v>
      </c>
    </row>
    <row r="275" spans="1:8" s="28" customFormat="1" ht="21" customHeight="1">
      <c r="A275" s="71"/>
      <c r="B275" s="85"/>
      <c r="C275" s="88">
        <v>4110</v>
      </c>
      <c r="D275" s="43" t="s">
        <v>82</v>
      </c>
      <c r="E275" s="84">
        <v>570864</v>
      </c>
      <c r="F275" s="84">
        <v>582268</v>
      </c>
      <c r="G275" s="84">
        <v>572485.64</v>
      </c>
      <c r="H275" s="203">
        <f t="shared" si="4"/>
        <v>98.31995575920367</v>
      </c>
    </row>
    <row r="276" spans="1:8" s="28" customFormat="1" ht="21" customHeight="1">
      <c r="A276" s="71"/>
      <c r="B276" s="85"/>
      <c r="C276" s="88">
        <v>4120</v>
      </c>
      <c r="D276" s="43" t="s">
        <v>83</v>
      </c>
      <c r="E276" s="84">
        <v>94292</v>
      </c>
      <c r="F276" s="84">
        <v>93093</v>
      </c>
      <c r="G276" s="84">
        <v>90267.7</v>
      </c>
      <c r="H276" s="203">
        <f t="shared" si="4"/>
        <v>96.96507793281987</v>
      </c>
    </row>
    <row r="277" spans="1:8" s="28" customFormat="1" ht="21" customHeight="1">
      <c r="A277" s="71"/>
      <c r="B277" s="85"/>
      <c r="C277" s="88">
        <v>4170</v>
      </c>
      <c r="D277" s="43" t="s">
        <v>170</v>
      </c>
      <c r="E277" s="84">
        <v>12700</v>
      </c>
      <c r="F277" s="84">
        <v>10700</v>
      </c>
      <c r="G277" s="84">
        <v>10622.14</v>
      </c>
      <c r="H277" s="203">
        <f t="shared" si="4"/>
        <v>99.27233644859813</v>
      </c>
    </row>
    <row r="278" spans="1:8" s="28" customFormat="1" ht="21" customHeight="1">
      <c r="A278" s="71"/>
      <c r="B278" s="85"/>
      <c r="C278" s="88">
        <v>4210</v>
      </c>
      <c r="D278" s="43" t="s">
        <v>87</v>
      </c>
      <c r="E278" s="84">
        <f>1000+170700</f>
        <v>171700</v>
      </c>
      <c r="F278" s="84">
        <v>163943</v>
      </c>
      <c r="G278" s="84">
        <v>163655.3</v>
      </c>
      <c r="H278" s="203">
        <f t="shared" si="4"/>
        <v>99.82451217801308</v>
      </c>
    </row>
    <row r="279" spans="1:8" s="28" customFormat="1" ht="22.5">
      <c r="A279" s="71"/>
      <c r="B279" s="85"/>
      <c r="C279" s="88">
        <v>4230</v>
      </c>
      <c r="D279" s="43" t="s">
        <v>437</v>
      </c>
      <c r="E279" s="84">
        <v>1500</v>
      </c>
      <c r="F279" s="84">
        <v>1504</v>
      </c>
      <c r="G279" s="84">
        <v>1502.5</v>
      </c>
      <c r="H279" s="203">
        <f t="shared" si="4"/>
        <v>99.9002659574468</v>
      </c>
    </row>
    <row r="280" spans="1:8" s="28" customFormat="1" ht="22.5">
      <c r="A280" s="71"/>
      <c r="B280" s="85"/>
      <c r="C280" s="88">
        <v>4240</v>
      </c>
      <c r="D280" s="43" t="s">
        <v>102</v>
      </c>
      <c r="E280" s="84">
        <v>11100</v>
      </c>
      <c r="F280" s="84">
        <v>27600</v>
      </c>
      <c r="G280" s="84">
        <v>27411.42</v>
      </c>
      <c r="H280" s="203">
        <f t="shared" si="4"/>
        <v>99.31673913043477</v>
      </c>
    </row>
    <row r="281" spans="1:8" s="28" customFormat="1" ht="21" customHeight="1">
      <c r="A281" s="71"/>
      <c r="B281" s="85"/>
      <c r="C281" s="88">
        <v>4260</v>
      </c>
      <c r="D281" s="43" t="s">
        <v>89</v>
      </c>
      <c r="E281" s="84">
        <v>291500</v>
      </c>
      <c r="F281" s="84">
        <v>329024</v>
      </c>
      <c r="G281" s="84">
        <v>324702.89</v>
      </c>
      <c r="H281" s="203">
        <f t="shared" si="4"/>
        <v>98.68668850904494</v>
      </c>
    </row>
    <row r="282" spans="1:8" s="28" customFormat="1" ht="21" customHeight="1">
      <c r="A282" s="71"/>
      <c r="B282" s="85"/>
      <c r="C282" s="88">
        <v>4270</v>
      </c>
      <c r="D282" s="43" t="s">
        <v>75</v>
      </c>
      <c r="E282" s="84">
        <v>49550</v>
      </c>
      <c r="F282" s="84">
        <v>45119</v>
      </c>
      <c r="G282" s="84">
        <v>44101.96</v>
      </c>
      <c r="H282" s="203">
        <f t="shared" si="4"/>
        <v>97.74587202730557</v>
      </c>
    </row>
    <row r="283" spans="1:8" s="28" customFormat="1" ht="21" customHeight="1">
      <c r="A283" s="71"/>
      <c r="B283" s="85"/>
      <c r="C283" s="88">
        <v>4280</v>
      </c>
      <c r="D283" s="43" t="s">
        <v>438</v>
      </c>
      <c r="E283" s="84">
        <v>8400</v>
      </c>
      <c r="F283" s="84">
        <v>6300</v>
      </c>
      <c r="G283" s="84">
        <v>4626</v>
      </c>
      <c r="H283" s="203">
        <f t="shared" si="4"/>
        <v>73.42857142857143</v>
      </c>
    </row>
    <row r="284" spans="1:8" s="28" customFormat="1" ht="21" customHeight="1">
      <c r="A284" s="71"/>
      <c r="B284" s="85"/>
      <c r="C284" s="88">
        <v>4300</v>
      </c>
      <c r="D284" s="43" t="s">
        <v>76</v>
      </c>
      <c r="E284" s="84">
        <v>44500</v>
      </c>
      <c r="F284" s="84">
        <v>42317</v>
      </c>
      <c r="G284" s="84">
        <v>40090.48</v>
      </c>
      <c r="H284" s="203">
        <f t="shared" si="4"/>
        <v>94.7384738993785</v>
      </c>
    </row>
    <row r="285" spans="1:8" s="28" customFormat="1" ht="21" customHeight="1">
      <c r="A285" s="71"/>
      <c r="B285" s="85"/>
      <c r="C285" s="88">
        <v>4350</v>
      </c>
      <c r="D285" s="43" t="s">
        <v>179</v>
      </c>
      <c r="E285" s="84">
        <v>2400</v>
      </c>
      <c r="F285" s="84">
        <v>2827</v>
      </c>
      <c r="G285" s="84">
        <v>2582.96</v>
      </c>
      <c r="H285" s="203">
        <f t="shared" si="4"/>
        <v>91.36752741422002</v>
      </c>
    </row>
    <row r="286" spans="1:8" s="28" customFormat="1" ht="28.5" customHeight="1">
      <c r="A286" s="71"/>
      <c r="B286" s="85"/>
      <c r="C286" s="88">
        <v>4370</v>
      </c>
      <c r="D286" s="16" t="s">
        <v>194</v>
      </c>
      <c r="E286" s="84">
        <v>9000</v>
      </c>
      <c r="F286" s="84">
        <v>7950</v>
      </c>
      <c r="G286" s="84">
        <v>6368.95</v>
      </c>
      <c r="H286" s="203">
        <f t="shared" si="4"/>
        <v>80.11257861635221</v>
      </c>
    </row>
    <row r="287" spans="1:8" s="28" customFormat="1" ht="26.25" customHeight="1">
      <c r="A287" s="71"/>
      <c r="B287" s="85"/>
      <c r="C287" s="88">
        <v>4390</v>
      </c>
      <c r="D287" s="43" t="s">
        <v>439</v>
      </c>
      <c r="E287" s="84">
        <v>800</v>
      </c>
      <c r="F287" s="84">
        <v>0</v>
      </c>
      <c r="G287" s="84">
        <v>0</v>
      </c>
      <c r="H287" s="203">
        <v>0</v>
      </c>
    </row>
    <row r="288" spans="1:8" s="28" customFormat="1" ht="21" customHeight="1">
      <c r="A288" s="71"/>
      <c r="B288" s="85"/>
      <c r="C288" s="88">
        <v>4410</v>
      </c>
      <c r="D288" s="43" t="s">
        <v>86</v>
      </c>
      <c r="E288" s="84">
        <v>6000</v>
      </c>
      <c r="F288" s="84">
        <v>6605</v>
      </c>
      <c r="G288" s="84">
        <v>5745.72</v>
      </c>
      <c r="H288" s="203">
        <f t="shared" si="4"/>
        <v>86.99046177138531</v>
      </c>
    </row>
    <row r="289" spans="1:8" s="28" customFormat="1" ht="21" customHeight="1">
      <c r="A289" s="71"/>
      <c r="B289" s="85"/>
      <c r="C289" s="88">
        <v>4430</v>
      </c>
      <c r="D289" s="43" t="s">
        <v>88</v>
      </c>
      <c r="E289" s="84">
        <v>4000</v>
      </c>
      <c r="F289" s="84">
        <v>1794</v>
      </c>
      <c r="G289" s="84">
        <v>1600.01</v>
      </c>
      <c r="H289" s="203">
        <f t="shared" si="4"/>
        <v>89.18673355629878</v>
      </c>
    </row>
    <row r="290" spans="1:8" s="28" customFormat="1" ht="26.25" customHeight="1">
      <c r="A290" s="71"/>
      <c r="B290" s="85"/>
      <c r="C290" s="88">
        <v>4440</v>
      </c>
      <c r="D290" s="43" t="s">
        <v>84</v>
      </c>
      <c r="E290" s="84">
        <v>205309</v>
      </c>
      <c r="F290" s="84">
        <v>204271</v>
      </c>
      <c r="G290" s="84">
        <v>204271</v>
      </c>
      <c r="H290" s="203">
        <f t="shared" si="4"/>
        <v>100</v>
      </c>
    </row>
    <row r="291" spans="1:8" s="28" customFormat="1" ht="26.25" customHeight="1">
      <c r="A291" s="71"/>
      <c r="B291" s="85"/>
      <c r="C291" s="88">
        <v>4570</v>
      </c>
      <c r="D291" s="43" t="s">
        <v>440</v>
      </c>
      <c r="E291" s="84">
        <v>0</v>
      </c>
      <c r="F291" s="84">
        <v>24</v>
      </c>
      <c r="G291" s="84">
        <v>24</v>
      </c>
      <c r="H291" s="203">
        <f t="shared" si="4"/>
        <v>100</v>
      </c>
    </row>
    <row r="292" spans="1:8" s="28" customFormat="1" ht="27" customHeight="1">
      <c r="A292" s="71"/>
      <c r="B292" s="85"/>
      <c r="C292" s="88">
        <v>4700</v>
      </c>
      <c r="D292" s="43" t="s">
        <v>241</v>
      </c>
      <c r="E292" s="84">
        <v>2500</v>
      </c>
      <c r="F292" s="84">
        <v>1400</v>
      </c>
      <c r="G292" s="84">
        <v>550</v>
      </c>
      <c r="H292" s="203">
        <f t="shared" si="4"/>
        <v>39.285714285714285</v>
      </c>
    </row>
    <row r="293" spans="1:8" s="28" customFormat="1" ht="33.75">
      <c r="A293" s="71"/>
      <c r="B293" s="85"/>
      <c r="C293" s="88">
        <v>4740</v>
      </c>
      <c r="D293" s="16" t="s">
        <v>195</v>
      </c>
      <c r="E293" s="84">
        <v>4500</v>
      </c>
      <c r="F293" s="84">
        <v>2300</v>
      </c>
      <c r="G293" s="84">
        <v>2295.87</v>
      </c>
      <c r="H293" s="203">
        <f t="shared" si="4"/>
        <v>99.82043478260869</v>
      </c>
    </row>
    <row r="294" spans="1:8" s="28" customFormat="1" ht="24.75" customHeight="1">
      <c r="A294" s="71"/>
      <c r="B294" s="85"/>
      <c r="C294" s="88">
        <v>4750</v>
      </c>
      <c r="D294" s="16" t="s">
        <v>408</v>
      </c>
      <c r="E294" s="84">
        <v>14850</v>
      </c>
      <c r="F294" s="84">
        <v>17100</v>
      </c>
      <c r="G294" s="84">
        <v>17006.36</v>
      </c>
      <c r="H294" s="203">
        <f t="shared" si="4"/>
        <v>99.45239766081872</v>
      </c>
    </row>
    <row r="295" spans="1:8" s="28" customFormat="1" ht="21" customHeight="1">
      <c r="A295" s="71"/>
      <c r="B295" s="85"/>
      <c r="C295" s="88">
        <v>6050</v>
      </c>
      <c r="D295" s="16" t="s">
        <v>70</v>
      </c>
      <c r="E295" s="84">
        <v>3320000</v>
      </c>
      <c r="F295" s="84">
        <v>1262700</v>
      </c>
      <c r="G295" s="84">
        <v>1207772.42</v>
      </c>
      <c r="H295" s="203">
        <f t="shared" si="4"/>
        <v>95.64998970460124</v>
      </c>
    </row>
    <row r="296" spans="1:8" s="28" customFormat="1" ht="21" customHeight="1">
      <c r="A296" s="71"/>
      <c r="B296" s="75" t="s">
        <v>446</v>
      </c>
      <c r="C296" s="59"/>
      <c r="D296" s="16" t="s">
        <v>447</v>
      </c>
      <c r="E296" s="74">
        <f>SUM(E297:E302)</f>
        <v>309460</v>
      </c>
      <c r="F296" s="74">
        <f>SUM(F297:F302)</f>
        <v>309375</v>
      </c>
      <c r="G296" s="74">
        <f>SUM(G297:G302)</f>
        <v>298189</v>
      </c>
      <c r="H296" s="203">
        <f t="shared" si="4"/>
        <v>96.38432323232323</v>
      </c>
    </row>
    <row r="297" spans="1:8" s="28" customFormat="1" ht="21" customHeight="1">
      <c r="A297" s="71"/>
      <c r="B297" s="75"/>
      <c r="C297" s="59">
        <v>4110</v>
      </c>
      <c r="D297" s="43" t="s">
        <v>82</v>
      </c>
      <c r="E297" s="74">
        <v>2592</v>
      </c>
      <c r="F297" s="74">
        <v>2820</v>
      </c>
      <c r="G297" s="74">
        <v>2679.79</v>
      </c>
      <c r="H297" s="203">
        <f t="shared" si="4"/>
        <v>95.02801418439716</v>
      </c>
    </row>
    <row r="298" spans="1:8" s="28" customFormat="1" ht="21" customHeight="1">
      <c r="A298" s="71"/>
      <c r="B298" s="75"/>
      <c r="C298" s="59">
        <v>4120</v>
      </c>
      <c r="D298" s="43" t="s">
        <v>83</v>
      </c>
      <c r="E298" s="74">
        <v>368</v>
      </c>
      <c r="F298" s="74">
        <v>368</v>
      </c>
      <c r="G298" s="74">
        <v>55.18</v>
      </c>
      <c r="H298" s="203">
        <f t="shared" si="4"/>
        <v>14.994565217391303</v>
      </c>
    </row>
    <row r="299" spans="1:8" s="28" customFormat="1" ht="21" customHeight="1">
      <c r="A299" s="71"/>
      <c r="B299" s="75"/>
      <c r="C299" s="59">
        <v>4170</v>
      </c>
      <c r="D299" s="43" t="s">
        <v>170</v>
      </c>
      <c r="E299" s="74">
        <v>24000</v>
      </c>
      <c r="F299" s="74">
        <v>28500</v>
      </c>
      <c r="G299" s="74">
        <v>27844.53</v>
      </c>
      <c r="H299" s="203">
        <f t="shared" si="4"/>
        <v>97.7001052631579</v>
      </c>
    </row>
    <row r="300" spans="1:8" s="28" customFormat="1" ht="21" customHeight="1">
      <c r="A300" s="71"/>
      <c r="B300" s="75"/>
      <c r="C300" s="59">
        <v>4210</v>
      </c>
      <c r="D300" s="16" t="s">
        <v>87</v>
      </c>
      <c r="E300" s="74">
        <v>45000</v>
      </c>
      <c r="F300" s="74">
        <v>44915</v>
      </c>
      <c r="G300" s="74">
        <v>40375.17</v>
      </c>
      <c r="H300" s="203">
        <f t="shared" si="4"/>
        <v>89.89239674941555</v>
      </c>
    </row>
    <row r="301" spans="1:8" s="28" customFormat="1" ht="21" customHeight="1">
      <c r="A301" s="71"/>
      <c r="B301" s="75"/>
      <c r="C301" s="59">
        <v>4300</v>
      </c>
      <c r="D301" s="16" t="s">
        <v>76</v>
      </c>
      <c r="E301" s="74">
        <f>215000+10000+8000</f>
        <v>233000</v>
      </c>
      <c r="F301" s="74">
        <v>226772</v>
      </c>
      <c r="G301" s="74">
        <v>226586.33</v>
      </c>
      <c r="H301" s="203">
        <f t="shared" si="4"/>
        <v>99.91812481258708</v>
      </c>
    </row>
    <row r="302" spans="1:8" s="28" customFormat="1" ht="21" customHeight="1">
      <c r="A302" s="71"/>
      <c r="B302" s="75"/>
      <c r="C302" s="59">
        <v>4430</v>
      </c>
      <c r="D302" s="43" t="s">
        <v>88</v>
      </c>
      <c r="E302" s="74">
        <v>4500</v>
      </c>
      <c r="F302" s="74">
        <v>6000</v>
      </c>
      <c r="G302" s="74">
        <v>648</v>
      </c>
      <c r="H302" s="203">
        <f t="shared" si="4"/>
        <v>10.8</v>
      </c>
    </row>
    <row r="303" spans="1:8" s="28" customFormat="1" ht="21" customHeight="1">
      <c r="A303" s="71"/>
      <c r="B303" s="294">
        <v>80146</v>
      </c>
      <c r="C303" s="289"/>
      <c r="D303" s="43" t="s">
        <v>128</v>
      </c>
      <c r="E303" s="84">
        <f>SUM(E304:E307)</f>
        <v>109224</v>
      </c>
      <c r="F303" s="84">
        <f>SUM(F304:F307)</f>
        <v>109546</v>
      </c>
      <c r="G303" s="84">
        <f>SUM(G304:G307)</f>
        <v>102266.87</v>
      </c>
      <c r="H303" s="203">
        <f t="shared" si="4"/>
        <v>93.35518412356453</v>
      </c>
    </row>
    <row r="304" spans="1:8" s="28" customFormat="1" ht="22.5">
      <c r="A304" s="71"/>
      <c r="B304" s="294"/>
      <c r="C304" s="289">
        <v>2510</v>
      </c>
      <c r="D304" s="43" t="s">
        <v>443</v>
      </c>
      <c r="E304" s="84">
        <v>13687</v>
      </c>
      <c r="F304" s="84">
        <v>13687</v>
      </c>
      <c r="G304" s="84">
        <v>13048.24</v>
      </c>
      <c r="H304" s="203">
        <f t="shared" si="4"/>
        <v>95.33308979323445</v>
      </c>
    </row>
    <row r="305" spans="1:8" s="28" customFormat="1" ht="21" customHeight="1">
      <c r="A305" s="71"/>
      <c r="B305" s="294"/>
      <c r="C305" s="289">
        <v>4300</v>
      </c>
      <c r="D305" s="43" t="s">
        <v>76</v>
      </c>
      <c r="E305" s="84">
        <v>95537</v>
      </c>
      <c r="F305" s="84">
        <v>22995</v>
      </c>
      <c r="G305" s="84">
        <v>22689.3</v>
      </c>
      <c r="H305" s="203">
        <f t="shared" si="4"/>
        <v>98.67058056099151</v>
      </c>
    </row>
    <row r="306" spans="1:8" s="28" customFormat="1" ht="21" customHeight="1">
      <c r="A306" s="71"/>
      <c r="B306" s="294"/>
      <c r="C306" s="289">
        <v>4410</v>
      </c>
      <c r="D306" s="43" t="s">
        <v>86</v>
      </c>
      <c r="E306" s="84">
        <v>0</v>
      </c>
      <c r="F306" s="84">
        <v>23390</v>
      </c>
      <c r="G306" s="84">
        <v>18713.53</v>
      </c>
      <c r="H306" s="203">
        <f t="shared" si="4"/>
        <v>80.0065412569474</v>
      </c>
    </row>
    <row r="307" spans="1:8" s="28" customFormat="1" ht="22.5">
      <c r="A307" s="71"/>
      <c r="B307" s="294"/>
      <c r="C307" s="289">
        <v>4700</v>
      </c>
      <c r="D307" s="43" t="s">
        <v>241</v>
      </c>
      <c r="E307" s="84">
        <v>0</v>
      </c>
      <c r="F307" s="84">
        <v>49474</v>
      </c>
      <c r="G307" s="84">
        <v>47815.8</v>
      </c>
      <c r="H307" s="203">
        <f t="shared" si="4"/>
        <v>96.64834054250719</v>
      </c>
    </row>
    <row r="308" spans="1:8" s="28" customFormat="1" ht="21" customHeight="1">
      <c r="A308" s="71"/>
      <c r="B308" s="294">
        <v>80148</v>
      </c>
      <c r="C308" s="289"/>
      <c r="D308" s="43" t="s">
        <v>239</v>
      </c>
      <c r="E308" s="84">
        <f>SUM(E309:E318)</f>
        <v>257225</v>
      </c>
      <c r="F308" s="84">
        <f>SUM(F309:F318)</f>
        <v>258601</v>
      </c>
      <c r="G308" s="84">
        <f>SUM(G309:G318)</f>
        <v>246698.2</v>
      </c>
      <c r="H308" s="203">
        <f t="shared" si="4"/>
        <v>95.39723357604959</v>
      </c>
    </row>
    <row r="309" spans="1:8" s="28" customFormat="1" ht="23.25" customHeight="1">
      <c r="A309" s="71"/>
      <c r="B309" s="294"/>
      <c r="C309" s="88">
        <v>3020</v>
      </c>
      <c r="D309" s="43" t="s">
        <v>167</v>
      </c>
      <c r="E309" s="84">
        <v>185</v>
      </c>
      <c r="F309" s="84">
        <v>160</v>
      </c>
      <c r="G309" s="84">
        <v>160</v>
      </c>
      <c r="H309" s="203">
        <f t="shared" si="4"/>
        <v>100</v>
      </c>
    </row>
    <row r="310" spans="1:8" s="28" customFormat="1" ht="21" customHeight="1">
      <c r="A310" s="71"/>
      <c r="B310" s="294"/>
      <c r="C310" s="88">
        <v>4010</v>
      </c>
      <c r="D310" s="43" t="s">
        <v>80</v>
      </c>
      <c r="E310" s="84">
        <v>103619</v>
      </c>
      <c r="F310" s="84">
        <v>105468</v>
      </c>
      <c r="G310" s="84">
        <v>104260.46</v>
      </c>
      <c r="H310" s="203">
        <f t="shared" si="4"/>
        <v>98.85506504342551</v>
      </c>
    </row>
    <row r="311" spans="1:8" s="28" customFormat="1" ht="21" customHeight="1">
      <c r="A311" s="71"/>
      <c r="B311" s="294"/>
      <c r="C311" s="88">
        <v>4040</v>
      </c>
      <c r="D311" s="43" t="s">
        <v>81</v>
      </c>
      <c r="E311" s="84">
        <v>7647</v>
      </c>
      <c r="F311" s="84">
        <v>7514</v>
      </c>
      <c r="G311" s="84">
        <v>7511.83</v>
      </c>
      <c r="H311" s="203">
        <f t="shared" si="4"/>
        <v>99.9711205749268</v>
      </c>
    </row>
    <row r="312" spans="1:8" s="28" customFormat="1" ht="21" customHeight="1">
      <c r="A312" s="71"/>
      <c r="B312" s="294"/>
      <c r="C312" s="88">
        <v>4110</v>
      </c>
      <c r="D312" s="43" t="s">
        <v>82</v>
      </c>
      <c r="E312" s="84">
        <v>17383</v>
      </c>
      <c r="F312" s="84">
        <v>16715</v>
      </c>
      <c r="G312" s="84">
        <v>16644.91</v>
      </c>
      <c r="H312" s="203">
        <f t="shared" si="4"/>
        <v>99.5806760394855</v>
      </c>
    </row>
    <row r="313" spans="1:8" s="28" customFormat="1" ht="21" customHeight="1">
      <c r="A313" s="71"/>
      <c r="B313" s="294"/>
      <c r="C313" s="88">
        <v>4120</v>
      </c>
      <c r="D313" s="43" t="s">
        <v>83</v>
      </c>
      <c r="E313" s="84">
        <v>2895</v>
      </c>
      <c r="F313" s="84">
        <v>2092</v>
      </c>
      <c r="G313" s="84">
        <v>2054.41</v>
      </c>
      <c r="H313" s="203">
        <f t="shared" si="4"/>
        <v>98.20315487571702</v>
      </c>
    </row>
    <row r="314" spans="1:8" s="28" customFormat="1" ht="21" customHeight="1">
      <c r="A314" s="71"/>
      <c r="B314" s="294"/>
      <c r="C314" s="88">
        <v>4170</v>
      </c>
      <c r="D314" s="43" t="s">
        <v>170</v>
      </c>
      <c r="E314" s="84">
        <v>4000</v>
      </c>
      <c r="F314" s="84">
        <v>4026</v>
      </c>
      <c r="G314" s="84">
        <v>4026</v>
      </c>
      <c r="H314" s="203">
        <f t="shared" si="4"/>
        <v>100</v>
      </c>
    </row>
    <row r="315" spans="1:8" s="28" customFormat="1" ht="21" customHeight="1">
      <c r="A315" s="71"/>
      <c r="B315" s="294"/>
      <c r="C315" s="88">
        <v>4210</v>
      </c>
      <c r="D315" s="43" t="s">
        <v>69</v>
      </c>
      <c r="E315" s="84">
        <v>3990</v>
      </c>
      <c r="F315" s="84">
        <v>6990</v>
      </c>
      <c r="G315" s="84">
        <v>6692.46</v>
      </c>
      <c r="H315" s="203">
        <f t="shared" si="4"/>
        <v>95.74334763948498</v>
      </c>
    </row>
    <row r="316" spans="1:8" s="28" customFormat="1" ht="21" customHeight="1">
      <c r="A316" s="71"/>
      <c r="B316" s="294"/>
      <c r="C316" s="88">
        <v>4220</v>
      </c>
      <c r="D316" s="16" t="s">
        <v>157</v>
      </c>
      <c r="E316" s="84">
        <v>112000</v>
      </c>
      <c r="F316" s="84">
        <v>110100</v>
      </c>
      <c r="G316" s="84">
        <v>99812.13</v>
      </c>
      <c r="H316" s="203">
        <f t="shared" si="4"/>
        <v>90.65588555858312</v>
      </c>
    </row>
    <row r="317" spans="1:8" s="28" customFormat="1" ht="21" customHeight="1">
      <c r="A317" s="71"/>
      <c r="B317" s="294"/>
      <c r="C317" s="88">
        <v>4280</v>
      </c>
      <c r="D317" s="43" t="s">
        <v>438</v>
      </c>
      <c r="E317" s="84">
        <v>160</v>
      </c>
      <c r="F317" s="84">
        <v>159</v>
      </c>
      <c r="G317" s="84">
        <v>159</v>
      </c>
      <c r="H317" s="203">
        <f t="shared" si="4"/>
        <v>100</v>
      </c>
    </row>
    <row r="318" spans="1:8" s="28" customFormat="1" ht="24" customHeight="1">
      <c r="A318" s="71"/>
      <c r="B318" s="294"/>
      <c r="C318" s="88">
        <v>4440</v>
      </c>
      <c r="D318" s="43" t="s">
        <v>84</v>
      </c>
      <c r="E318" s="84">
        <v>5346</v>
      </c>
      <c r="F318" s="84">
        <v>5377</v>
      </c>
      <c r="G318" s="84">
        <v>5377</v>
      </c>
      <c r="H318" s="203">
        <f t="shared" si="4"/>
        <v>100</v>
      </c>
    </row>
    <row r="319" spans="1:8" s="28" customFormat="1" ht="21" customHeight="1">
      <c r="A319" s="71"/>
      <c r="B319" s="85">
        <v>80195</v>
      </c>
      <c r="C319" s="71"/>
      <c r="D319" s="43" t="s">
        <v>6</v>
      </c>
      <c r="E319" s="84">
        <f>SUM(E320:E324)</f>
        <v>231670</v>
      </c>
      <c r="F319" s="84">
        <f>SUM(F320:F324)</f>
        <v>182797</v>
      </c>
      <c r="G319" s="84">
        <f>SUM(G320:G324)</f>
        <v>177296.4</v>
      </c>
      <c r="H319" s="203">
        <f t="shared" si="4"/>
        <v>96.99086965322188</v>
      </c>
    </row>
    <row r="320" spans="1:8" s="28" customFormat="1" ht="21" customHeight="1">
      <c r="A320" s="71"/>
      <c r="B320" s="85"/>
      <c r="C320" s="71">
        <v>4170</v>
      </c>
      <c r="D320" s="43" t="s">
        <v>170</v>
      </c>
      <c r="E320" s="84">
        <v>500</v>
      </c>
      <c r="F320" s="84">
        <v>1028</v>
      </c>
      <c r="G320" s="84">
        <v>528</v>
      </c>
      <c r="H320" s="203">
        <f t="shared" si="4"/>
        <v>51.36186770428015</v>
      </c>
    </row>
    <row r="321" spans="1:8" s="28" customFormat="1" ht="21" customHeight="1">
      <c r="A321" s="71"/>
      <c r="B321" s="85"/>
      <c r="C321" s="71">
        <v>4210</v>
      </c>
      <c r="D321" s="43" t="s">
        <v>69</v>
      </c>
      <c r="E321" s="84">
        <v>1100</v>
      </c>
      <c r="F321" s="84">
        <v>1185</v>
      </c>
      <c r="G321" s="84">
        <v>1184.4</v>
      </c>
      <c r="H321" s="203">
        <f t="shared" si="4"/>
        <v>99.9493670886076</v>
      </c>
    </row>
    <row r="322" spans="1:8" s="28" customFormat="1" ht="21" customHeight="1">
      <c r="A322" s="71"/>
      <c r="B322" s="85"/>
      <c r="C322" s="71">
        <v>4300</v>
      </c>
      <c r="D322" s="16" t="s">
        <v>76</v>
      </c>
      <c r="E322" s="74">
        <f>50986+5000</f>
        <v>55986</v>
      </c>
      <c r="F322" s="74">
        <v>5000</v>
      </c>
      <c r="G322" s="74">
        <v>0</v>
      </c>
      <c r="H322" s="203">
        <f t="shared" si="4"/>
        <v>0</v>
      </c>
    </row>
    <row r="323" spans="1:8" s="28" customFormat="1" ht="21" customHeight="1">
      <c r="A323" s="71"/>
      <c r="B323" s="85"/>
      <c r="C323" s="289">
        <v>4430</v>
      </c>
      <c r="D323" s="43" t="s">
        <v>88</v>
      </c>
      <c r="E323" s="74">
        <v>0</v>
      </c>
      <c r="F323" s="74">
        <v>1500</v>
      </c>
      <c r="G323" s="74">
        <v>1500</v>
      </c>
      <c r="H323" s="203">
        <f t="shared" si="4"/>
        <v>100</v>
      </c>
    </row>
    <row r="324" spans="1:8" s="28" customFormat="1" ht="22.5">
      <c r="A324" s="71"/>
      <c r="B324" s="85"/>
      <c r="C324" s="71">
        <v>4440</v>
      </c>
      <c r="D324" s="43" t="s">
        <v>84</v>
      </c>
      <c r="E324" s="84">
        <v>174084</v>
      </c>
      <c r="F324" s="84">
        <v>174084</v>
      </c>
      <c r="G324" s="84">
        <v>174084</v>
      </c>
      <c r="H324" s="203">
        <f t="shared" si="4"/>
        <v>100</v>
      </c>
    </row>
    <row r="325" spans="1:8" s="8" customFormat="1" ht="21" customHeight="1">
      <c r="A325" s="39" t="s">
        <v>448</v>
      </c>
      <c r="B325" s="40"/>
      <c r="C325" s="41"/>
      <c r="D325" s="42" t="s">
        <v>54</v>
      </c>
      <c r="E325" s="288">
        <f>SUM(E328,E339,E326)</f>
        <v>97408</v>
      </c>
      <c r="F325" s="288">
        <f>SUM(F328,F339,F326)</f>
        <v>218890</v>
      </c>
      <c r="G325" s="288">
        <f>SUM(G328,G339,G326)</f>
        <v>171738.34</v>
      </c>
      <c r="H325" s="202">
        <f t="shared" si="4"/>
        <v>78.4587418337978</v>
      </c>
    </row>
    <row r="326" spans="1:8" s="8" customFormat="1" ht="21" customHeight="1">
      <c r="A326" s="39"/>
      <c r="B326" s="294">
        <v>85153</v>
      </c>
      <c r="C326" s="88"/>
      <c r="D326" s="43" t="s">
        <v>189</v>
      </c>
      <c r="E326" s="84">
        <f>SUM(E327:E327)</f>
        <v>6360</v>
      </c>
      <c r="F326" s="84">
        <f>SUM(F327:F327)</f>
        <v>6360</v>
      </c>
      <c r="G326" s="84">
        <f>SUM(G327:G327)</f>
        <v>3600</v>
      </c>
      <c r="H326" s="203">
        <f t="shared" si="4"/>
        <v>56.60377358490566</v>
      </c>
    </row>
    <row r="327" spans="1:8" s="8" customFormat="1" ht="21" customHeight="1">
      <c r="A327" s="39"/>
      <c r="B327" s="294"/>
      <c r="C327" s="88">
        <v>4300</v>
      </c>
      <c r="D327" s="43" t="s">
        <v>76</v>
      </c>
      <c r="E327" s="84">
        <v>6360</v>
      </c>
      <c r="F327" s="84">
        <v>6360</v>
      </c>
      <c r="G327" s="84">
        <v>3600</v>
      </c>
      <c r="H327" s="203">
        <f aca="true" t="shared" si="5" ref="H327:H390">G327/F327*100</f>
        <v>56.60377358490566</v>
      </c>
    </row>
    <row r="328" spans="1:8" s="28" customFormat="1" ht="21" customHeight="1">
      <c r="A328" s="71"/>
      <c r="B328" s="85" t="s">
        <v>99</v>
      </c>
      <c r="C328" s="88"/>
      <c r="D328" s="43" t="s">
        <v>55</v>
      </c>
      <c r="E328" s="84">
        <f>SUM(E329:E338)</f>
        <v>81048</v>
      </c>
      <c r="F328" s="84">
        <f>SUM(F329:F338)</f>
        <v>202530</v>
      </c>
      <c r="G328" s="84">
        <f>SUM(G329:G338)</f>
        <v>158138.34</v>
      </c>
      <c r="H328" s="203">
        <f t="shared" si="5"/>
        <v>78.08143978669827</v>
      </c>
    </row>
    <row r="329" spans="1:8" s="28" customFormat="1" ht="45">
      <c r="A329" s="71"/>
      <c r="B329" s="85"/>
      <c r="C329" s="88">
        <v>2710</v>
      </c>
      <c r="D329" s="16" t="s">
        <v>361</v>
      </c>
      <c r="E329" s="84">
        <v>0</v>
      </c>
      <c r="F329" s="84">
        <v>13425</v>
      </c>
      <c r="G329" s="84">
        <v>13425</v>
      </c>
      <c r="H329" s="203">
        <f t="shared" si="5"/>
        <v>100</v>
      </c>
    </row>
    <row r="330" spans="1:8" s="28" customFormat="1" ht="45">
      <c r="A330" s="71"/>
      <c r="B330" s="85"/>
      <c r="C330" s="88">
        <v>2820</v>
      </c>
      <c r="D330" s="43" t="s">
        <v>255</v>
      </c>
      <c r="E330" s="84">
        <v>0</v>
      </c>
      <c r="F330" s="84">
        <v>8130</v>
      </c>
      <c r="G330" s="84">
        <v>6130</v>
      </c>
      <c r="H330" s="203">
        <f t="shared" si="5"/>
        <v>75.39975399753997</v>
      </c>
    </row>
    <row r="331" spans="1:8" s="28" customFormat="1" ht="58.5" customHeight="1">
      <c r="A331" s="71"/>
      <c r="B331" s="294"/>
      <c r="C331" s="88">
        <v>2830</v>
      </c>
      <c r="D331" s="43" t="s">
        <v>341</v>
      </c>
      <c r="E331" s="84">
        <v>0</v>
      </c>
      <c r="F331" s="84">
        <v>55880</v>
      </c>
      <c r="G331" s="84">
        <v>55880</v>
      </c>
      <c r="H331" s="203">
        <f t="shared" si="5"/>
        <v>100</v>
      </c>
    </row>
    <row r="332" spans="1:8" s="28" customFormat="1" ht="21" customHeight="1">
      <c r="A332" s="71"/>
      <c r="B332" s="294"/>
      <c r="C332" s="88">
        <v>4110</v>
      </c>
      <c r="D332" s="16" t="s">
        <v>82</v>
      </c>
      <c r="E332" s="84">
        <v>1758</v>
      </c>
      <c r="F332" s="84">
        <v>2058</v>
      </c>
      <c r="G332" s="84">
        <v>1108.83</v>
      </c>
      <c r="H332" s="203">
        <f t="shared" si="5"/>
        <v>53.87900874635568</v>
      </c>
    </row>
    <row r="333" spans="1:8" s="28" customFormat="1" ht="21" customHeight="1">
      <c r="A333" s="71"/>
      <c r="B333" s="294"/>
      <c r="C333" s="88">
        <v>4170</v>
      </c>
      <c r="D333" s="43" t="s">
        <v>170</v>
      </c>
      <c r="E333" s="84">
        <v>37800</v>
      </c>
      <c r="F333" s="84">
        <v>49800</v>
      </c>
      <c r="G333" s="84">
        <v>37383.72</v>
      </c>
      <c r="H333" s="203">
        <f t="shared" si="5"/>
        <v>75.06771084337349</v>
      </c>
    </row>
    <row r="334" spans="1:8" s="28" customFormat="1" ht="21" customHeight="1">
      <c r="A334" s="71"/>
      <c r="B334" s="294"/>
      <c r="C334" s="88">
        <v>4210</v>
      </c>
      <c r="D334" s="16" t="s">
        <v>87</v>
      </c>
      <c r="E334" s="84">
        <v>8000</v>
      </c>
      <c r="F334" s="84">
        <v>17530</v>
      </c>
      <c r="G334" s="84">
        <v>16840.68</v>
      </c>
      <c r="H334" s="203">
        <f t="shared" si="5"/>
        <v>96.06776953793496</v>
      </c>
    </row>
    <row r="335" spans="1:8" s="28" customFormat="1" ht="21" customHeight="1">
      <c r="A335" s="71"/>
      <c r="B335" s="294"/>
      <c r="C335" s="88">
        <v>4220</v>
      </c>
      <c r="D335" s="16" t="s">
        <v>157</v>
      </c>
      <c r="E335" s="84">
        <v>10000</v>
      </c>
      <c r="F335" s="84">
        <v>13655</v>
      </c>
      <c r="G335" s="84">
        <v>7762.49</v>
      </c>
      <c r="H335" s="203">
        <f t="shared" si="5"/>
        <v>56.84723544489197</v>
      </c>
    </row>
    <row r="336" spans="1:8" s="28" customFormat="1" ht="21" customHeight="1">
      <c r="A336" s="71"/>
      <c r="B336" s="294"/>
      <c r="C336" s="88">
        <v>4300</v>
      </c>
      <c r="D336" s="43" t="s">
        <v>76</v>
      </c>
      <c r="E336" s="84">
        <v>21090</v>
      </c>
      <c r="F336" s="84">
        <v>39620</v>
      </c>
      <c r="G336" s="84">
        <v>17925.14</v>
      </c>
      <c r="H336" s="203">
        <f t="shared" si="5"/>
        <v>45.24265522463402</v>
      </c>
    </row>
    <row r="337" spans="1:8" s="28" customFormat="1" ht="21" customHeight="1">
      <c r="A337" s="71"/>
      <c r="B337" s="294"/>
      <c r="C337" s="88">
        <v>4350</v>
      </c>
      <c r="D337" s="43" t="s">
        <v>179</v>
      </c>
      <c r="E337" s="84">
        <v>1200</v>
      </c>
      <c r="F337" s="84">
        <v>1232</v>
      </c>
      <c r="G337" s="84">
        <v>1223.6</v>
      </c>
      <c r="H337" s="203">
        <f t="shared" si="5"/>
        <v>99.3181818181818</v>
      </c>
    </row>
    <row r="338" spans="1:8" s="28" customFormat="1" ht="21" customHeight="1">
      <c r="A338" s="71"/>
      <c r="B338" s="294"/>
      <c r="C338" s="88">
        <v>4410</v>
      </c>
      <c r="D338" s="43" t="s">
        <v>86</v>
      </c>
      <c r="E338" s="84">
        <v>1200</v>
      </c>
      <c r="F338" s="84">
        <v>1200</v>
      </c>
      <c r="G338" s="84">
        <v>458.88</v>
      </c>
      <c r="H338" s="203">
        <f t="shared" si="5"/>
        <v>38.24</v>
      </c>
    </row>
    <row r="339" spans="1:8" s="28" customFormat="1" ht="21" customHeight="1">
      <c r="A339" s="71"/>
      <c r="B339" s="294">
        <v>85195</v>
      </c>
      <c r="C339" s="88"/>
      <c r="D339" s="43" t="s">
        <v>6</v>
      </c>
      <c r="E339" s="84">
        <f>SUM(E340)</f>
        <v>10000</v>
      </c>
      <c r="F339" s="84">
        <f>SUM(F340)</f>
        <v>10000</v>
      </c>
      <c r="G339" s="84">
        <f>SUM(G340)</f>
        <v>10000</v>
      </c>
      <c r="H339" s="203">
        <f t="shared" si="5"/>
        <v>100</v>
      </c>
    </row>
    <row r="340" spans="1:8" s="28" customFormat="1" ht="21" customHeight="1">
      <c r="A340" s="71"/>
      <c r="B340" s="294"/>
      <c r="C340" s="88">
        <v>4430</v>
      </c>
      <c r="D340" s="43" t="s">
        <v>88</v>
      </c>
      <c r="E340" s="84">
        <v>10000</v>
      </c>
      <c r="F340" s="84">
        <v>10000</v>
      </c>
      <c r="G340" s="84">
        <v>10000</v>
      </c>
      <c r="H340" s="203">
        <f t="shared" si="5"/>
        <v>100</v>
      </c>
    </row>
    <row r="341" spans="1:8" s="8" customFormat="1" ht="24.75" customHeight="1">
      <c r="A341" s="259">
        <v>852</v>
      </c>
      <c r="B341" s="40"/>
      <c r="C341" s="41"/>
      <c r="D341" s="42" t="s">
        <v>165</v>
      </c>
      <c r="E341" s="288">
        <f>SUM(E342,E366,E368,E371,E373,E397,E399,)</f>
        <v>11465246</v>
      </c>
      <c r="F341" s="288">
        <f>SUM(F342,F366,F368,F371,F373,F397,F399,)</f>
        <v>11832072</v>
      </c>
      <c r="G341" s="288">
        <f>SUM(G342,G366,G368,G371,G373,G397,G399,)</f>
        <v>11754560.85</v>
      </c>
      <c r="H341" s="202">
        <f t="shared" si="5"/>
        <v>99.34490636973811</v>
      </c>
    </row>
    <row r="342" spans="1:8" s="28" customFormat="1" ht="45">
      <c r="A342" s="92"/>
      <c r="B342" s="59">
        <v>85212</v>
      </c>
      <c r="C342" s="82"/>
      <c r="D342" s="80" t="s">
        <v>449</v>
      </c>
      <c r="E342" s="74">
        <f>SUM(E343:E365)</f>
        <v>6568634</v>
      </c>
      <c r="F342" s="74">
        <f>SUM(F343:F365)</f>
        <v>6160358</v>
      </c>
      <c r="G342" s="74">
        <f>SUM(G343:G365)</f>
        <v>6126028.88</v>
      </c>
      <c r="H342" s="203">
        <f t="shared" si="5"/>
        <v>99.44274147703753</v>
      </c>
    </row>
    <row r="343" spans="1:8" s="28" customFormat="1" ht="28.5" customHeight="1">
      <c r="A343" s="92"/>
      <c r="B343" s="59"/>
      <c r="C343" s="82">
        <v>3020</v>
      </c>
      <c r="D343" s="43" t="s">
        <v>167</v>
      </c>
      <c r="E343" s="74">
        <v>1760</v>
      </c>
      <c r="F343" s="74">
        <v>1760</v>
      </c>
      <c r="G343" s="74">
        <v>308.8</v>
      </c>
      <c r="H343" s="203">
        <f t="shared" si="5"/>
        <v>17.545454545454547</v>
      </c>
    </row>
    <row r="344" spans="1:8" s="28" customFormat="1" ht="21" customHeight="1">
      <c r="A344" s="92"/>
      <c r="B344" s="59"/>
      <c r="C344" s="82">
        <v>3110</v>
      </c>
      <c r="D344" s="80" t="s">
        <v>98</v>
      </c>
      <c r="E344" s="74">
        <f>6284727-51000</f>
        <v>6233727</v>
      </c>
      <c r="F344" s="74">
        <v>5810098</v>
      </c>
      <c r="G344" s="74">
        <v>5810051.51</v>
      </c>
      <c r="H344" s="203">
        <f t="shared" si="5"/>
        <v>99.9991998413796</v>
      </c>
    </row>
    <row r="345" spans="1:8" s="28" customFormat="1" ht="21" customHeight="1">
      <c r="A345" s="92"/>
      <c r="B345" s="59"/>
      <c r="C345" s="59">
        <v>4010</v>
      </c>
      <c r="D345" s="16" t="s">
        <v>80</v>
      </c>
      <c r="E345" s="74">
        <f>153581+24502</f>
        <v>178083</v>
      </c>
      <c r="F345" s="74">
        <v>187828</v>
      </c>
      <c r="G345" s="74">
        <v>184280.59</v>
      </c>
      <c r="H345" s="203">
        <f t="shared" si="5"/>
        <v>98.1113518751198</v>
      </c>
    </row>
    <row r="346" spans="1:8" s="28" customFormat="1" ht="21" customHeight="1">
      <c r="A346" s="92"/>
      <c r="B346" s="59"/>
      <c r="C346" s="59">
        <v>4040</v>
      </c>
      <c r="D346" s="16" t="s">
        <v>81</v>
      </c>
      <c r="E346" s="74">
        <v>12000</v>
      </c>
      <c r="F346" s="74">
        <v>10594</v>
      </c>
      <c r="G346" s="74">
        <v>10593.1</v>
      </c>
      <c r="H346" s="203">
        <f t="shared" si="5"/>
        <v>99.99150462525958</v>
      </c>
    </row>
    <row r="347" spans="1:8" s="28" customFormat="1" ht="21" customHeight="1">
      <c r="A347" s="92"/>
      <c r="B347" s="59"/>
      <c r="C347" s="59">
        <v>4110</v>
      </c>
      <c r="D347" s="16" t="s">
        <v>82</v>
      </c>
      <c r="E347" s="74">
        <f>20612+7904+51000</f>
        <v>79516</v>
      </c>
      <c r="F347" s="74">
        <v>79516</v>
      </c>
      <c r="G347" s="74">
        <v>72256.79</v>
      </c>
      <c r="H347" s="203">
        <f t="shared" si="5"/>
        <v>90.87075557120579</v>
      </c>
    </row>
    <row r="348" spans="1:8" s="28" customFormat="1" ht="21" customHeight="1">
      <c r="A348" s="92"/>
      <c r="B348" s="59"/>
      <c r="C348" s="59">
        <v>4120</v>
      </c>
      <c r="D348" s="16" t="s">
        <v>83</v>
      </c>
      <c r="E348" s="74">
        <f>3305+1268</f>
        <v>4573</v>
      </c>
      <c r="F348" s="74">
        <v>4573</v>
      </c>
      <c r="G348" s="74">
        <v>3776.56</v>
      </c>
      <c r="H348" s="203">
        <f t="shared" si="5"/>
        <v>82.58386179750711</v>
      </c>
    </row>
    <row r="349" spans="1:8" s="28" customFormat="1" ht="21" customHeight="1">
      <c r="A349" s="92"/>
      <c r="B349" s="81"/>
      <c r="C349" s="59">
        <v>4170</v>
      </c>
      <c r="D349" s="43" t="s">
        <v>170</v>
      </c>
      <c r="E349" s="74">
        <v>3000</v>
      </c>
      <c r="F349" s="74">
        <v>3000</v>
      </c>
      <c r="G349" s="74">
        <v>2664</v>
      </c>
      <c r="H349" s="203">
        <f t="shared" si="5"/>
        <v>88.8</v>
      </c>
    </row>
    <row r="350" spans="1:8" s="28" customFormat="1" ht="21" customHeight="1">
      <c r="A350" s="92"/>
      <c r="B350" s="81"/>
      <c r="C350" s="59">
        <v>4210</v>
      </c>
      <c r="D350" s="16" t="s">
        <v>87</v>
      </c>
      <c r="E350" s="74">
        <v>6980</v>
      </c>
      <c r="F350" s="74">
        <v>6655</v>
      </c>
      <c r="G350" s="74">
        <v>5028.05</v>
      </c>
      <c r="H350" s="203">
        <f t="shared" si="5"/>
        <v>75.55296769346357</v>
      </c>
    </row>
    <row r="351" spans="1:8" s="28" customFormat="1" ht="21" customHeight="1">
      <c r="A351" s="92"/>
      <c r="B351" s="81"/>
      <c r="C351" s="59">
        <v>4260</v>
      </c>
      <c r="D351" s="43" t="s">
        <v>89</v>
      </c>
      <c r="E351" s="74">
        <v>8400</v>
      </c>
      <c r="F351" s="74">
        <v>15900</v>
      </c>
      <c r="G351" s="74">
        <v>12460.75</v>
      </c>
      <c r="H351" s="203">
        <f t="shared" si="5"/>
        <v>78.36949685534591</v>
      </c>
    </row>
    <row r="352" spans="1:8" s="28" customFormat="1" ht="21" customHeight="1">
      <c r="A352" s="92"/>
      <c r="B352" s="81"/>
      <c r="C352" s="59">
        <v>4270</v>
      </c>
      <c r="D352" s="43" t="s">
        <v>75</v>
      </c>
      <c r="E352" s="74">
        <v>2000</v>
      </c>
      <c r="F352" s="74">
        <v>1000</v>
      </c>
      <c r="G352" s="74">
        <v>0</v>
      </c>
      <c r="H352" s="203">
        <f t="shared" si="5"/>
        <v>0</v>
      </c>
    </row>
    <row r="353" spans="1:8" s="28" customFormat="1" ht="21" customHeight="1">
      <c r="A353" s="92"/>
      <c r="B353" s="81"/>
      <c r="C353" s="59">
        <v>4280</v>
      </c>
      <c r="D353" s="43" t="s">
        <v>438</v>
      </c>
      <c r="E353" s="74">
        <v>960</v>
      </c>
      <c r="F353" s="74">
        <v>960</v>
      </c>
      <c r="G353" s="74">
        <v>0</v>
      </c>
      <c r="H353" s="203">
        <f t="shared" si="5"/>
        <v>0</v>
      </c>
    </row>
    <row r="354" spans="1:8" s="28" customFormat="1" ht="21" customHeight="1">
      <c r="A354" s="92"/>
      <c r="B354" s="81"/>
      <c r="C354" s="59">
        <v>4300</v>
      </c>
      <c r="D354" s="16" t="s">
        <v>76</v>
      </c>
      <c r="E354" s="74">
        <v>6700</v>
      </c>
      <c r="F354" s="74">
        <v>5200</v>
      </c>
      <c r="G354" s="74">
        <v>5122.92</v>
      </c>
      <c r="H354" s="203">
        <f t="shared" si="5"/>
        <v>98.5176923076923</v>
      </c>
    </row>
    <row r="355" spans="1:8" s="28" customFormat="1" ht="21" customHeight="1">
      <c r="A355" s="92"/>
      <c r="B355" s="81"/>
      <c r="C355" s="59">
        <v>4350</v>
      </c>
      <c r="D355" s="43" t="s">
        <v>179</v>
      </c>
      <c r="E355" s="74">
        <v>3000</v>
      </c>
      <c r="F355" s="74">
        <v>1201</v>
      </c>
      <c r="G355" s="74">
        <v>1200.48</v>
      </c>
      <c r="H355" s="203">
        <f t="shared" si="5"/>
        <v>99.95670274771025</v>
      </c>
    </row>
    <row r="356" spans="1:8" s="28" customFormat="1" ht="33.75">
      <c r="A356" s="92"/>
      <c r="B356" s="81"/>
      <c r="C356" s="59">
        <v>4360</v>
      </c>
      <c r="D356" s="43" t="s">
        <v>420</v>
      </c>
      <c r="E356" s="74">
        <v>960</v>
      </c>
      <c r="F356" s="74">
        <v>960</v>
      </c>
      <c r="G356" s="74">
        <v>876.49</v>
      </c>
      <c r="H356" s="203">
        <f t="shared" si="5"/>
        <v>91.30104166666668</v>
      </c>
    </row>
    <row r="357" spans="1:8" s="28" customFormat="1" ht="33.75">
      <c r="A357" s="92"/>
      <c r="B357" s="81"/>
      <c r="C357" s="59">
        <v>4370</v>
      </c>
      <c r="D357" s="43" t="s">
        <v>194</v>
      </c>
      <c r="E357" s="74">
        <v>2000</v>
      </c>
      <c r="F357" s="74">
        <v>4499</v>
      </c>
      <c r="G357" s="74">
        <v>3858.98</v>
      </c>
      <c r="H357" s="203">
        <f t="shared" si="5"/>
        <v>85.77417203823072</v>
      </c>
    </row>
    <row r="358" spans="1:8" s="28" customFormat="1" ht="21" customHeight="1">
      <c r="A358" s="92"/>
      <c r="B358" s="81"/>
      <c r="C358" s="59">
        <v>4410</v>
      </c>
      <c r="D358" s="43" t="s">
        <v>86</v>
      </c>
      <c r="E358" s="74">
        <v>4000</v>
      </c>
      <c r="F358" s="74">
        <v>3300</v>
      </c>
      <c r="G358" s="74">
        <v>2158.56</v>
      </c>
      <c r="H358" s="203">
        <f t="shared" si="5"/>
        <v>65.41090909090909</v>
      </c>
    </row>
    <row r="359" spans="1:8" s="28" customFormat="1" ht="21" customHeight="1">
      <c r="A359" s="92"/>
      <c r="B359" s="81"/>
      <c r="C359" s="59">
        <v>4430</v>
      </c>
      <c r="D359" s="43" t="s">
        <v>88</v>
      </c>
      <c r="E359" s="74">
        <v>7800</v>
      </c>
      <c r="F359" s="74">
        <v>7286</v>
      </c>
      <c r="G359" s="74">
        <v>1487.44</v>
      </c>
      <c r="H359" s="203">
        <f t="shared" si="5"/>
        <v>20.415042547351085</v>
      </c>
    </row>
    <row r="360" spans="1:8" s="28" customFormat="1" ht="23.25" customHeight="1">
      <c r="A360" s="92"/>
      <c r="B360" s="81"/>
      <c r="C360" s="59">
        <v>4440</v>
      </c>
      <c r="D360" s="16" t="s">
        <v>84</v>
      </c>
      <c r="E360" s="74">
        <v>4875</v>
      </c>
      <c r="F360" s="74">
        <v>5001</v>
      </c>
      <c r="G360" s="74">
        <v>5000.19</v>
      </c>
      <c r="H360" s="203">
        <f t="shared" si="5"/>
        <v>99.98380323935211</v>
      </c>
    </row>
    <row r="361" spans="1:8" s="28" customFormat="1" ht="21" customHeight="1">
      <c r="A361" s="92"/>
      <c r="B361" s="81"/>
      <c r="C361" s="59">
        <v>4580</v>
      </c>
      <c r="D361" s="16" t="s">
        <v>11</v>
      </c>
      <c r="E361" s="74">
        <v>0</v>
      </c>
      <c r="F361" s="74">
        <v>27</v>
      </c>
      <c r="G361" s="74">
        <v>26.38</v>
      </c>
      <c r="H361" s="203">
        <f t="shared" si="5"/>
        <v>97.70370370370371</v>
      </c>
    </row>
    <row r="362" spans="1:8" s="28" customFormat="1" ht="24.75" customHeight="1">
      <c r="A362" s="92"/>
      <c r="B362" s="81"/>
      <c r="C362" s="59">
        <v>4610</v>
      </c>
      <c r="D362" s="43" t="s">
        <v>159</v>
      </c>
      <c r="E362" s="74">
        <v>1000</v>
      </c>
      <c r="F362" s="74">
        <v>1000</v>
      </c>
      <c r="G362" s="74">
        <v>41.39</v>
      </c>
      <c r="H362" s="203">
        <f t="shared" si="5"/>
        <v>4.139</v>
      </c>
    </row>
    <row r="363" spans="1:8" s="28" customFormat="1" ht="22.5">
      <c r="A363" s="92"/>
      <c r="B363" s="81"/>
      <c r="C363" s="59">
        <v>4700</v>
      </c>
      <c r="D363" s="43" t="s">
        <v>241</v>
      </c>
      <c r="E363" s="74">
        <v>3300</v>
      </c>
      <c r="F363" s="74">
        <v>3300</v>
      </c>
      <c r="G363" s="74">
        <v>839</v>
      </c>
      <c r="H363" s="203">
        <f t="shared" si="5"/>
        <v>25.424242424242426</v>
      </c>
    </row>
    <row r="364" spans="1:8" s="28" customFormat="1" ht="33.75">
      <c r="A364" s="92"/>
      <c r="B364" s="81"/>
      <c r="C364" s="59">
        <v>4740</v>
      </c>
      <c r="D364" s="43" t="s">
        <v>195</v>
      </c>
      <c r="E364" s="74">
        <v>2000</v>
      </c>
      <c r="F364" s="74">
        <v>2000</v>
      </c>
      <c r="G364" s="74">
        <v>1152.9</v>
      </c>
      <c r="H364" s="203">
        <f t="shared" si="5"/>
        <v>57.645</v>
      </c>
    </row>
    <row r="365" spans="1:8" s="28" customFormat="1" ht="22.5">
      <c r="A365" s="92"/>
      <c r="B365" s="81"/>
      <c r="C365" s="59">
        <v>4750</v>
      </c>
      <c r="D365" s="43" t="s">
        <v>248</v>
      </c>
      <c r="E365" s="74">
        <v>2000</v>
      </c>
      <c r="F365" s="74">
        <v>4700</v>
      </c>
      <c r="G365" s="74">
        <v>2844</v>
      </c>
      <c r="H365" s="203">
        <f t="shared" si="5"/>
        <v>60.51063829787234</v>
      </c>
    </row>
    <row r="366" spans="1:8" s="28" customFormat="1" ht="67.5">
      <c r="A366" s="71"/>
      <c r="B366" s="294">
        <v>85213</v>
      </c>
      <c r="C366" s="88"/>
      <c r="D366" s="80" t="s">
        <v>295</v>
      </c>
      <c r="E366" s="84">
        <f>SUM(E367)</f>
        <v>59100</v>
      </c>
      <c r="F366" s="84">
        <f>SUM(F367)</f>
        <v>49505</v>
      </c>
      <c r="G366" s="84">
        <f>SUM(G367)</f>
        <v>46756.71</v>
      </c>
      <c r="H366" s="203">
        <f t="shared" si="5"/>
        <v>94.44845975154024</v>
      </c>
    </row>
    <row r="367" spans="1:8" s="28" customFormat="1" ht="21" customHeight="1">
      <c r="A367" s="71"/>
      <c r="B367" s="294"/>
      <c r="C367" s="88">
        <v>4130</v>
      </c>
      <c r="D367" s="43" t="s">
        <v>100</v>
      </c>
      <c r="E367" s="74">
        <v>59100</v>
      </c>
      <c r="F367" s="74">
        <v>49505</v>
      </c>
      <c r="G367" s="74">
        <v>46756.71</v>
      </c>
      <c r="H367" s="203">
        <f t="shared" si="5"/>
        <v>94.44845975154024</v>
      </c>
    </row>
    <row r="368" spans="1:8" s="28" customFormat="1" ht="22.5">
      <c r="A368" s="71"/>
      <c r="B368" s="85">
        <v>85214</v>
      </c>
      <c r="C368" s="88"/>
      <c r="D368" s="43" t="s">
        <v>178</v>
      </c>
      <c r="E368" s="84">
        <f>SUM(E369:E370)</f>
        <v>1686100</v>
      </c>
      <c r="F368" s="84">
        <f>SUM(F369:F370)</f>
        <v>1948609</v>
      </c>
      <c r="G368" s="84">
        <f>SUM(G369:G370)</f>
        <v>1948599.87</v>
      </c>
      <c r="H368" s="203">
        <f t="shared" si="5"/>
        <v>99.99953146064706</v>
      </c>
    </row>
    <row r="369" spans="1:8" s="28" customFormat="1" ht="21" customHeight="1">
      <c r="A369" s="71"/>
      <c r="B369" s="85"/>
      <c r="C369" s="88">
        <v>3110</v>
      </c>
      <c r="D369" s="43" t="s">
        <v>98</v>
      </c>
      <c r="E369" s="84">
        <f>466900+656100+562000</f>
        <v>1685000</v>
      </c>
      <c r="F369" s="84">
        <v>1947713</v>
      </c>
      <c r="G369" s="84">
        <v>1947704.07</v>
      </c>
      <c r="H369" s="203">
        <f t="shared" si="5"/>
        <v>99.99954151355975</v>
      </c>
    </row>
    <row r="370" spans="1:8" s="28" customFormat="1" ht="21" customHeight="1">
      <c r="A370" s="71"/>
      <c r="B370" s="85"/>
      <c r="C370" s="59">
        <v>4110</v>
      </c>
      <c r="D370" s="16" t="s">
        <v>82</v>
      </c>
      <c r="E370" s="84">
        <v>1100</v>
      </c>
      <c r="F370" s="84">
        <v>896</v>
      </c>
      <c r="G370" s="84">
        <v>895.8</v>
      </c>
      <c r="H370" s="203">
        <f t="shared" si="5"/>
        <v>99.97767857142857</v>
      </c>
    </row>
    <row r="371" spans="1:8" s="28" customFormat="1" ht="21" customHeight="1">
      <c r="A371" s="71"/>
      <c r="B371" s="85">
        <v>85215</v>
      </c>
      <c r="C371" s="88"/>
      <c r="D371" s="43" t="s">
        <v>450</v>
      </c>
      <c r="E371" s="84">
        <f>SUM(E372)</f>
        <v>900000</v>
      </c>
      <c r="F371" s="84">
        <f>SUM(F372)</f>
        <v>900000</v>
      </c>
      <c r="G371" s="84">
        <f>SUM(G372)</f>
        <v>868470.21</v>
      </c>
      <c r="H371" s="203">
        <f t="shared" si="5"/>
        <v>96.49669</v>
      </c>
    </row>
    <row r="372" spans="1:8" s="28" customFormat="1" ht="21" customHeight="1">
      <c r="A372" s="71"/>
      <c r="B372" s="85"/>
      <c r="C372" s="88">
        <v>3110</v>
      </c>
      <c r="D372" s="43" t="s">
        <v>98</v>
      </c>
      <c r="E372" s="84">
        <v>900000</v>
      </c>
      <c r="F372" s="84">
        <v>900000</v>
      </c>
      <c r="G372" s="84">
        <v>868470.21</v>
      </c>
      <c r="H372" s="203">
        <f t="shared" si="5"/>
        <v>96.49669</v>
      </c>
    </row>
    <row r="373" spans="1:8" s="28" customFormat="1" ht="21" customHeight="1">
      <c r="A373" s="71"/>
      <c r="B373" s="85">
        <v>85219</v>
      </c>
      <c r="C373" s="88"/>
      <c r="D373" s="43" t="s">
        <v>58</v>
      </c>
      <c r="E373" s="84">
        <f>SUM(E374:E396)</f>
        <v>1337592</v>
      </c>
      <c r="F373" s="84">
        <f>SUM(F374:F396)</f>
        <v>1383080</v>
      </c>
      <c r="G373" s="84">
        <f>SUM(G374:G396)</f>
        <v>1382409.21</v>
      </c>
      <c r="H373" s="203">
        <f t="shared" si="5"/>
        <v>99.95150027474911</v>
      </c>
    </row>
    <row r="374" spans="1:8" s="28" customFormat="1" ht="22.5" customHeight="1">
      <c r="A374" s="71"/>
      <c r="B374" s="85"/>
      <c r="C374" s="88">
        <v>3020</v>
      </c>
      <c r="D374" s="43" t="s">
        <v>436</v>
      </c>
      <c r="E374" s="84">
        <v>3218</v>
      </c>
      <c r="F374" s="84">
        <v>3418</v>
      </c>
      <c r="G374" s="84">
        <v>3415.1</v>
      </c>
      <c r="H374" s="203">
        <f t="shared" si="5"/>
        <v>99.91515506143944</v>
      </c>
    </row>
    <row r="375" spans="1:8" s="28" customFormat="1" ht="21" customHeight="1">
      <c r="A375" s="71"/>
      <c r="B375" s="85"/>
      <c r="C375" s="88">
        <v>4010</v>
      </c>
      <c r="D375" s="43" t="s">
        <v>80</v>
      </c>
      <c r="E375" s="84">
        <f>28577+467500+141137+61197</f>
        <v>698411</v>
      </c>
      <c r="F375" s="84">
        <v>715185</v>
      </c>
      <c r="G375" s="84">
        <v>715184.98</v>
      </c>
      <c r="H375" s="203">
        <f t="shared" si="5"/>
        <v>99.99999720352076</v>
      </c>
    </row>
    <row r="376" spans="1:8" s="28" customFormat="1" ht="21" customHeight="1">
      <c r="A376" s="71"/>
      <c r="B376" s="85"/>
      <c r="C376" s="88">
        <v>4040</v>
      </c>
      <c r="D376" s="43" t="s">
        <v>81</v>
      </c>
      <c r="E376" s="84">
        <f>2774+32000+12500+4300</f>
        <v>51574</v>
      </c>
      <c r="F376" s="84">
        <v>49331</v>
      </c>
      <c r="G376" s="84">
        <v>49330.48</v>
      </c>
      <c r="H376" s="203">
        <f t="shared" si="5"/>
        <v>99.99894589608968</v>
      </c>
    </row>
    <row r="377" spans="1:8" s="28" customFormat="1" ht="21" customHeight="1">
      <c r="A377" s="71"/>
      <c r="B377" s="85"/>
      <c r="C377" s="88">
        <v>4110</v>
      </c>
      <c r="D377" s="43" t="s">
        <v>82</v>
      </c>
      <c r="E377" s="84">
        <f>5234+72050+29130+10129</f>
        <v>116543</v>
      </c>
      <c r="F377" s="84">
        <v>116823</v>
      </c>
      <c r="G377" s="84">
        <v>116823</v>
      </c>
      <c r="H377" s="203">
        <f t="shared" si="5"/>
        <v>100</v>
      </c>
    </row>
    <row r="378" spans="1:8" s="28" customFormat="1" ht="21" customHeight="1">
      <c r="A378" s="71"/>
      <c r="B378" s="85"/>
      <c r="C378" s="88">
        <v>4120</v>
      </c>
      <c r="D378" s="43" t="s">
        <v>83</v>
      </c>
      <c r="E378" s="84">
        <f>768+11250+4399+1578</f>
        <v>17995</v>
      </c>
      <c r="F378" s="84">
        <v>17613</v>
      </c>
      <c r="G378" s="84">
        <v>17613</v>
      </c>
      <c r="H378" s="203">
        <f t="shared" si="5"/>
        <v>100</v>
      </c>
    </row>
    <row r="379" spans="1:8" s="28" customFormat="1" ht="21" customHeight="1">
      <c r="A379" s="71"/>
      <c r="B379" s="85"/>
      <c r="C379" s="88">
        <v>4170</v>
      </c>
      <c r="D379" s="43" t="s">
        <v>170</v>
      </c>
      <c r="E379" s="84">
        <f>13200+6240</f>
        <v>19440</v>
      </c>
      <c r="F379" s="84">
        <v>9228</v>
      </c>
      <c r="G379" s="84">
        <v>9227.5</v>
      </c>
      <c r="H379" s="203">
        <f t="shared" si="5"/>
        <v>99.99458170784568</v>
      </c>
    </row>
    <row r="380" spans="1:8" s="28" customFormat="1" ht="21" customHeight="1">
      <c r="A380" s="71"/>
      <c r="B380" s="85"/>
      <c r="C380" s="88">
        <v>4210</v>
      </c>
      <c r="D380" s="43" t="s">
        <v>87</v>
      </c>
      <c r="E380" s="84">
        <f>2800+22500+11100</f>
        <v>36400</v>
      </c>
      <c r="F380" s="84">
        <v>37164</v>
      </c>
      <c r="G380" s="84">
        <v>37259.72</v>
      </c>
      <c r="H380" s="203">
        <f t="shared" si="5"/>
        <v>100.25756108061566</v>
      </c>
    </row>
    <row r="381" spans="1:8" s="28" customFormat="1" ht="21" customHeight="1">
      <c r="A381" s="71"/>
      <c r="B381" s="85"/>
      <c r="C381" s="88">
        <v>4220</v>
      </c>
      <c r="D381" s="43" t="s">
        <v>157</v>
      </c>
      <c r="E381" s="84">
        <v>150000</v>
      </c>
      <c r="F381" s="84">
        <v>180000</v>
      </c>
      <c r="G381" s="84">
        <v>180000</v>
      </c>
      <c r="H381" s="203">
        <f t="shared" si="5"/>
        <v>100</v>
      </c>
    </row>
    <row r="382" spans="1:8" s="28" customFormat="1" ht="21" customHeight="1">
      <c r="A382" s="71"/>
      <c r="B382" s="85"/>
      <c r="C382" s="88">
        <v>4260</v>
      </c>
      <c r="D382" s="43" t="s">
        <v>89</v>
      </c>
      <c r="E382" s="84">
        <f>4700+9855</f>
        <v>14555</v>
      </c>
      <c r="F382" s="84">
        <v>16805</v>
      </c>
      <c r="G382" s="84">
        <v>16817.16</v>
      </c>
      <c r="H382" s="203">
        <f t="shared" si="5"/>
        <v>100.07235941684023</v>
      </c>
    </row>
    <row r="383" spans="1:8" s="28" customFormat="1" ht="21" customHeight="1">
      <c r="A383" s="71"/>
      <c r="B383" s="85"/>
      <c r="C383" s="88">
        <v>4270</v>
      </c>
      <c r="D383" s="43" t="s">
        <v>75</v>
      </c>
      <c r="E383" s="84">
        <f>2000+2000</f>
        <v>4000</v>
      </c>
      <c r="F383" s="84">
        <v>765</v>
      </c>
      <c r="G383" s="84">
        <v>764.6</v>
      </c>
      <c r="H383" s="203">
        <f t="shared" si="5"/>
        <v>99.94771241830065</v>
      </c>
    </row>
    <row r="384" spans="1:8" s="28" customFormat="1" ht="21" customHeight="1">
      <c r="A384" s="71"/>
      <c r="B384" s="85"/>
      <c r="C384" s="88">
        <v>4280</v>
      </c>
      <c r="D384" s="43" t="s">
        <v>438</v>
      </c>
      <c r="E384" s="84">
        <f>1000+350</f>
        <v>1350</v>
      </c>
      <c r="F384" s="84">
        <v>1588</v>
      </c>
      <c r="G384" s="84">
        <v>1588</v>
      </c>
      <c r="H384" s="203">
        <f t="shared" si="5"/>
        <v>100</v>
      </c>
    </row>
    <row r="385" spans="1:8" s="28" customFormat="1" ht="21" customHeight="1">
      <c r="A385" s="71"/>
      <c r="B385" s="85"/>
      <c r="C385" s="88">
        <v>4300</v>
      </c>
      <c r="D385" s="43" t="s">
        <v>76</v>
      </c>
      <c r="E385" s="84">
        <f>42600+32639+10790</f>
        <v>86029</v>
      </c>
      <c r="F385" s="84">
        <v>106229</v>
      </c>
      <c r="G385" s="84">
        <v>106131.07</v>
      </c>
      <c r="H385" s="203">
        <f t="shared" si="5"/>
        <v>99.90781236762089</v>
      </c>
    </row>
    <row r="386" spans="1:8" s="28" customFormat="1" ht="21" customHeight="1">
      <c r="A386" s="71"/>
      <c r="B386" s="85"/>
      <c r="C386" s="88">
        <v>4350</v>
      </c>
      <c r="D386" s="43" t="s">
        <v>179</v>
      </c>
      <c r="E386" s="84">
        <f>550+627</f>
        <v>1177</v>
      </c>
      <c r="F386" s="84">
        <v>1177</v>
      </c>
      <c r="G386" s="84">
        <v>1171.2</v>
      </c>
      <c r="H386" s="203">
        <f t="shared" si="5"/>
        <v>99.50722175021241</v>
      </c>
    </row>
    <row r="387" spans="1:8" s="28" customFormat="1" ht="27" customHeight="1">
      <c r="A387" s="71"/>
      <c r="B387" s="85"/>
      <c r="C387" s="88">
        <v>4360</v>
      </c>
      <c r="D387" s="43" t="s">
        <v>420</v>
      </c>
      <c r="E387" s="84">
        <v>732</v>
      </c>
      <c r="F387" s="84">
        <v>732</v>
      </c>
      <c r="G387" s="84">
        <v>732</v>
      </c>
      <c r="H387" s="203">
        <f t="shared" si="5"/>
        <v>100</v>
      </c>
    </row>
    <row r="388" spans="1:8" s="28" customFormat="1" ht="27" customHeight="1">
      <c r="A388" s="71"/>
      <c r="B388" s="85"/>
      <c r="C388" s="88">
        <v>4370</v>
      </c>
      <c r="D388" s="43" t="s">
        <v>194</v>
      </c>
      <c r="E388" s="84">
        <f>2500+7800+480</f>
        <v>10780</v>
      </c>
      <c r="F388" s="84">
        <v>8477</v>
      </c>
      <c r="G388" s="84">
        <v>8209.58</v>
      </c>
      <c r="H388" s="203">
        <f t="shared" si="5"/>
        <v>96.84534623097794</v>
      </c>
    </row>
    <row r="389" spans="1:8" s="28" customFormat="1" ht="27" customHeight="1">
      <c r="A389" s="71"/>
      <c r="B389" s="85"/>
      <c r="C389" s="88">
        <v>4400</v>
      </c>
      <c r="D389" s="43" t="s">
        <v>233</v>
      </c>
      <c r="E389" s="84">
        <f>2104+58671+12501</f>
        <v>73276</v>
      </c>
      <c r="F389" s="84">
        <v>68363</v>
      </c>
      <c r="G389" s="84">
        <v>68363.1</v>
      </c>
      <c r="H389" s="203">
        <f t="shared" si="5"/>
        <v>100.00014627795738</v>
      </c>
    </row>
    <row r="390" spans="1:8" s="28" customFormat="1" ht="21" customHeight="1">
      <c r="A390" s="71"/>
      <c r="B390" s="85"/>
      <c r="C390" s="88">
        <v>4410</v>
      </c>
      <c r="D390" s="43" t="s">
        <v>86</v>
      </c>
      <c r="E390" s="84">
        <f>447+11015</f>
        <v>11462</v>
      </c>
      <c r="F390" s="84">
        <v>12349</v>
      </c>
      <c r="G390" s="84">
        <v>12382.71</v>
      </c>
      <c r="H390" s="203">
        <f t="shared" si="5"/>
        <v>100.27297756903393</v>
      </c>
    </row>
    <row r="391" spans="1:8" s="28" customFormat="1" ht="21" customHeight="1">
      <c r="A391" s="71"/>
      <c r="B391" s="85"/>
      <c r="C391" s="88">
        <v>4430</v>
      </c>
      <c r="D391" s="43" t="s">
        <v>88</v>
      </c>
      <c r="E391" s="84">
        <f>2430</f>
        <v>2430</v>
      </c>
      <c r="F391" s="84">
        <v>4220</v>
      </c>
      <c r="G391" s="84">
        <v>4201.69</v>
      </c>
      <c r="H391" s="203">
        <f aca="true" t="shared" si="6" ref="H391:H454">G391/F391*100</f>
        <v>99.56611374407582</v>
      </c>
    </row>
    <row r="392" spans="1:8" s="28" customFormat="1" ht="21" customHeight="1">
      <c r="A392" s="71"/>
      <c r="B392" s="85"/>
      <c r="C392" s="88">
        <v>4440</v>
      </c>
      <c r="D392" s="43" t="s">
        <v>84</v>
      </c>
      <c r="E392" s="84">
        <f>1138+15000+5171+3007</f>
        <v>24316</v>
      </c>
      <c r="F392" s="84">
        <v>23013</v>
      </c>
      <c r="G392" s="84">
        <v>23013.06</v>
      </c>
      <c r="H392" s="203">
        <f t="shared" si="6"/>
        <v>100.0002607222005</v>
      </c>
    </row>
    <row r="393" spans="1:8" s="28" customFormat="1" ht="22.5">
      <c r="A393" s="71"/>
      <c r="B393" s="85"/>
      <c r="C393" s="88">
        <v>4610</v>
      </c>
      <c r="D393" s="43" t="s">
        <v>159</v>
      </c>
      <c r="E393" s="84">
        <v>800</v>
      </c>
      <c r="F393" s="84">
        <v>1680</v>
      </c>
      <c r="G393" s="84">
        <v>1291.3</v>
      </c>
      <c r="H393" s="203">
        <f t="shared" si="6"/>
        <v>76.86309523809524</v>
      </c>
    </row>
    <row r="394" spans="1:8" s="28" customFormat="1" ht="27" customHeight="1">
      <c r="A394" s="71"/>
      <c r="B394" s="85"/>
      <c r="C394" s="88">
        <v>4700</v>
      </c>
      <c r="D394" s="43" t="s">
        <v>241</v>
      </c>
      <c r="E394" s="84">
        <v>6000</v>
      </c>
      <c r="F394" s="84">
        <v>4198</v>
      </c>
      <c r="G394" s="84">
        <v>4169</v>
      </c>
      <c r="H394" s="203">
        <f t="shared" si="6"/>
        <v>99.3091948546927</v>
      </c>
    </row>
    <row r="395" spans="1:8" s="28" customFormat="1" ht="33.75">
      <c r="A395" s="71"/>
      <c r="B395" s="85"/>
      <c r="C395" s="88">
        <v>4740</v>
      </c>
      <c r="D395" s="43" t="s">
        <v>195</v>
      </c>
      <c r="E395" s="84">
        <f>300+1804</f>
        <v>2104</v>
      </c>
      <c r="F395" s="84">
        <v>1786</v>
      </c>
      <c r="G395" s="84">
        <v>1785.64</v>
      </c>
      <c r="H395" s="203">
        <f t="shared" si="6"/>
        <v>99.979843225084</v>
      </c>
    </row>
    <row r="396" spans="1:8" s="28" customFormat="1" ht="22.5">
      <c r="A396" s="71"/>
      <c r="B396" s="85"/>
      <c r="C396" s="88">
        <v>4750</v>
      </c>
      <c r="D396" s="43" t="s">
        <v>248</v>
      </c>
      <c r="E396" s="84">
        <v>5000</v>
      </c>
      <c r="F396" s="84">
        <v>2936</v>
      </c>
      <c r="G396" s="84">
        <v>2935.32</v>
      </c>
      <c r="H396" s="203">
        <f t="shared" si="6"/>
        <v>99.97683923705722</v>
      </c>
    </row>
    <row r="397" spans="1:8" s="28" customFormat="1" ht="22.5" customHeight="1">
      <c r="A397" s="71"/>
      <c r="B397" s="85">
        <v>85228</v>
      </c>
      <c r="C397" s="88"/>
      <c r="D397" s="43" t="s">
        <v>451</v>
      </c>
      <c r="E397" s="84">
        <f>SUM(E398)</f>
        <v>150000</v>
      </c>
      <c r="F397" s="84">
        <f>SUM(F398)</f>
        <v>150000</v>
      </c>
      <c r="G397" s="84">
        <f>SUM(G398)</f>
        <v>145247.97</v>
      </c>
      <c r="H397" s="203">
        <f t="shared" si="6"/>
        <v>96.83198</v>
      </c>
    </row>
    <row r="398" spans="1:8" s="28" customFormat="1" ht="21" customHeight="1">
      <c r="A398" s="71"/>
      <c r="B398" s="85"/>
      <c r="C398" s="88">
        <v>4300</v>
      </c>
      <c r="D398" s="43" t="s">
        <v>76</v>
      </c>
      <c r="E398" s="84">
        <v>150000</v>
      </c>
      <c r="F398" s="84">
        <v>150000</v>
      </c>
      <c r="G398" s="84">
        <v>145247.97</v>
      </c>
      <c r="H398" s="203">
        <f t="shared" si="6"/>
        <v>96.83198</v>
      </c>
    </row>
    <row r="399" spans="1:8" s="28" customFormat="1" ht="21" customHeight="1">
      <c r="A399" s="71"/>
      <c r="B399" s="85" t="s">
        <v>452</v>
      </c>
      <c r="C399" s="88"/>
      <c r="D399" s="43" t="s">
        <v>6</v>
      </c>
      <c r="E399" s="84">
        <f>SUM(E400:E401)</f>
        <v>763820</v>
      </c>
      <c r="F399" s="84">
        <f>SUM(F400:F401)</f>
        <v>1240520</v>
      </c>
      <c r="G399" s="84">
        <f>SUM(G400:G401)</f>
        <v>1237048</v>
      </c>
      <c r="H399" s="203">
        <f t="shared" si="6"/>
        <v>99.72011737013511</v>
      </c>
    </row>
    <row r="400" spans="1:8" s="28" customFormat="1" ht="21" customHeight="1">
      <c r="A400" s="71"/>
      <c r="B400" s="85"/>
      <c r="C400" s="88">
        <v>3110</v>
      </c>
      <c r="D400" s="43" t="s">
        <v>98</v>
      </c>
      <c r="E400" s="74">
        <f>541300+217000</f>
        <v>758300</v>
      </c>
      <c r="F400" s="74">
        <v>1235000</v>
      </c>
      <c r="G400" s="74">
        <v>1231528</v>
      </c>
      <c r="H400" s="203">
        <f t="shared" si="6"/>
        <v>99.71886639676113</v>
      </c>
    </row>
    <row r="401" spans="1:8" s="28" customFormat="1" ht="21" customHeight="1">
      <c r="A401" s="71"/>
      <c r="B401" s="85"/>
      <c r="C401" s="88">
        <v>4430</v>
      </c>
      <c r="D401" s="43" t="s">
        <v>88</v>
      </c>
      <c r="E401" s="84">
        <v>5520</v>
      </c>
      <c r="F401" s="84">
        <v>5520</v>
      </c>
      <c r="G401" s="84">
        <v>5520</v>
      </c>
      <c r="H401" s="203">
        <f t="shared" si="6"/>
        <v>100</v>
      </c>
    </row>
    <row r="402" spans="1:8" s="156" customFormat="1" ht="25.5" customHeight="1">
      <c r="A402" s="296">
        <v>853</v>
      </c>
      <c r="B402" s="297"/>
      <c r="C402" s="298"/>
      <c r="D402" s="299" t="s">
        <v>285</v>
      </c>
      <c r="E402" s="300">
        <f>E403+E405</f>
        <v>10800</v>
      </c>
      <c r="F402" s="300">
        <f>F403+F405</f>
        <v>206985</v>
      </c>
      <c r="G402" s="300">
        <f>G403+G405</f>
        <v>201301.55</v>
      </c>
      <c r="H402" s="202">
        <f t="shared" si="6"/>
        <v>97.25417300770587</v>
      </c>
    </row>
    <row r="403" spans="1:8" s="28" customFormat="1" ht="21" customHeight="1">
      <c r="A403" s="71"/>
      <c r="B403" s="85">
        <v>85311</v>
      </c>
      <c r="C403" s="88"/>
      <c r="D403" s="43" t="s">
        <v>453</v>
      </c>
      <c r="E403" s="84">
        <f>E404</f>
        <v>10800</v>
      </c>
      <c r="F403" s="84">
        <f>F404</f>
        <v>10800</v>
      </c>
      <c r="G403" s="84">
        <f>G404</f>
        <v>10800</v>
      </c>
      <c r="H403" s="203">
        <f t="shared" si="6"/>
        <v>100</v>
      </c>
    </row>
    <row r="404" spans="1:8" s="28" customFormat="1" ht="45">
      <c r="A404" s="71"/>
      <c r="B404" s="85"/>
      <c r="C404" s="88">
        <v>2710</v>
      </c>
      <c r="D404" s="43" t="s">
        <v>454</v>
      </c>
      <c r="E404" s="84">
        <v>10800</v>
      </c>
      <c r="F404" s="84">
        <v>10800</v>
      </c>
      <c r="G404" s="84">
        <v>10800</v>
      </c>
      <c r="H404" s="203">
        <f t="shared" si="6"/>
        <v>100</v>
      </c>
    </row>
    <row r="405" spans="1:8" s="28" customFormat="1" ht="21" customHeight="1">
      <c r="A405" s="71"/>
      <c r="B405" s="85">
        <v>85395</v>
      </c>
      <c r="C405" s="88"/>
      <c r="D405" s="43" t="s">
        <v>6</v>
      </c>
      <c r="E405" s="84">
        <f>SUM(E406:E415)</f>
        <v>0</v>
      </c>
      <c r="F405" s="84">
        <f>SUM(F406:F415)</f>
        <v>196185</v>
      </c>
      <c r="G405" s="84">
        <f>SUM(G406:G415)</f>
        <v>190501.55</v>
      </c>
      <c r="H405" s="203">
        <f t="shared" si="6"/>
        <v>97.10301501134133</v>
      </c>
    </row>
    <row r="406" spans="1:8" s="28" customFormat="1" ht="21" customHeight="1">
      <c r="A406" s="71"/>
      <c r="B406" s="85"/>
      <c r="C406" s="88">
        <v>3119</v>
      </c>
      <c r="D406" s="43" t="s">
        <v>98</v>
      </c>
      <c r="E406" s="84">
        <v>0</v>
      </c>
      <c r="F406" s="84">
        <v>20600</v>
      </c>
      <c r="G406" s="84">
        <v>20599.37</v>
      </c>
      <c r="H406" s="203">
        <f t="shared" si="6"/>
        <v>99.9969417475728</v>
      </c>
    </row>
    <row r="407" spans="1:8" s="28" customFormat="1" ht="21" customHeight="1">
      <c r="A407" s="71"/>
      <c r="B407" s="85"/>
      <c r="C407" s="88">
        <v>4018</v>
      </c>
      <c r="D407" s="43" t="s">
        <v>80</v>
      </c>
      <c r="E407" s="84">
        <v>0</v>
      </c>
      <c r="F407" s="84">
        <v>21472</v>
      </c>
      <c r="G407" s="84">
        <v>21471.61</v>
      </c>
      <c r="H407" s="203">
        <f t="shared" si="6"/>
        <v>99.99818368107303</v>
      </c>
    </row>
    <row r="408" spans="1:8" s="28" customFormat="1" ht="21" customHeight="1">
      <c r="A408" s="71"/>
      <c r="B408" s="85"/>
      <c r="C408" s="88">
        <v>4118</v>
      </c>
      <c r="D408" s="43" t="s">
        <v>82</v>
      </c>
      <c r="E408" s="84">
        <v>0</v>
      </c>
      <c r="F408" s="84">
        <v>3802</v>
      </c>
      <c r="G408" s="84">
        <v>3802.48</v>
      </c>
      <c r="H408" s="203">
        <f t="shared" si="6"/>
        <v>100.01262493424514</v>
      </c>
    </row>
    <row r="409" spans="1:8" s="28" customFormat="1" ht="21" customHeight="1">
      <c r="A409" s="71"/>
      <c r="B409" s="85"/>
      <c r="C409" s="88">
        <v>4128</v>
      </c>
      <c r="D409" s="43" t="s">
        <v>83</v>
      </c>
      <c r="E409" s="84">
        <v>0</v>
      </c>
      <c r="F409" s="84">
        <v>610</v>
      </c>
      <c r="G409" s="84">
        <v>609.28</v>
      </c>
      <c r="H409" s="203">
        <f t="shared" si="6"/>
        <v>99.88196721311475</v>
      </c>
    </row>
    <row r="410" spans="1:8" s="28" customFormat="1" ht="21" customHeight="1">
      <c r="A410" s="71"/>
      <c r="B410" s="85"/>
      <c r="C410" s="88">
        <v>4178</v>
      </c>
      <c r="D410" s="43" t="s">
        <v>170</v>
      </c>
      <c r="E410" s="84">
        <v>0</v>
      </c>
      <c r="F410" s="84">
        <v>17829</v>
      </c>
      <c r="G410" s="84">
        <v>17829.02</v>
      </c>
      <c r="H410" s="203">
        <f t="shared" si="6"/>
        <v>100.00011217679064</v>
      </c>
    </row>
    <row r="411" spans="1:8" s="28" customFormat="1" ht="21" customHeight="1">
      <c r="A411" s="71"/>
      <c r="B411" s="85"/>
      <c r="C411" s="88">
        <v>4179</v>
      </c>
      <c r="D411" s="43" t="s">
        <v>170</v>
      </c>
      <c r="E411" s="84">
        <v>0</v>
      </c>
      <c r="F411" s="84">
        <v>8828</v>
      </c>
      <c r="G411" s="84">
        <v>8828.3</v>
      </c>
      <c r="H411" s="203">
        <f t="shared" si="6"/>
        <v>100.00339827820571</v>
      </c>
    </row>
    <row r="412" spans="1:8" s="28" customFormat="1" ht="21" customHeight="1">
      <c r="A412" s="71"/>
      <c r="B412" s="85"/>
      <c r="C412" s="88">
        <v>4218</v>
      </c>
      <c r="D412" s="43" t="s">
        <v>87</v>
      </c>
      <c r="E412" s="84">
        <v>0</v>
      </c>
      <c r="F412" s="84">
        <v>14572</v>
      </c>
      <c r="G412" s="84">
        <v>12650.62</v>
      </c>
      <c r="H412" s="203">
        <f t="shared" si="6"/>
        <v>86.81457589898436</v>
      </c>
    </row>
    <row r="413" spans="1:8" s="28" customFormat="1" ht="21" customHeight="1">
      <c r="A413" s="71"/>
      <c r="B413" s="85"/>
      <c r="C413" s="88">
        <v>4308</v>
      </c>
      <c r="D413" s="43" t="s">
        <v>76</v>
      </c>
      <c r="E413" s="84">
        <v>0</v>
      </c>
      <c r="F413" s="84">
        <v>107372</v>
      </c>
      <c r="G413" s="84">
        <v>103964.94</v>
      </c>
      <c r="H413" s="203">
        <f t="shared" si="6"/>
        <v>96.82686361435012</v>
      </c>
    </row>
    <row r="414" spans="1:8" s="28" customFormat="1" ht="33.75">
      <c r="A414" s="71"/>
      <c r="B414" s="85"/>
      <c r="C414" s="88">
        <v>4748</v>
      </c>
      <c r="D414" s="43" t="s">
        <v>195</v>
      </c>
      <c r="E414" s="84">
        <v>0</v>
      </c>
      <c r="F414" s="84">
        <v>100</v>
      </c>
      <c r="G414" s="84">
        <v>92.74</v>
      </c>
      <c r="H414" s="203">
        <f t="shared" si="6"/>
        <v>92.74</v>
      </c>
    </row>
    <row r="415" spans="1:8" s="28" customFormat="1" ht="22.5">
      <c r="A415" s="71"/>
      <c r="B415" s="85"/>
      <c r="C415" s="88">
        <v>4758</v>
      </c>
      <c r="D415" s="43" t="s">
        <v>248</v>
      </c>
      <c r="E415" s="84">
        <v>0</v>
      </c>
      <c r="F415" s="84">
        <v>1000</v>
      </c>
      <c r="G415" s="84">
        <v>653.19</v>
      </c>
      <c r="H415" s="203">
        <f t="shared" si="6"/>
        <v>65.319</v>
      </c>
    </row>
    <row r="416" spans="1:8" s="9" customFormat="1" ht="21" customHeight="1">
      <c r="A416" s="39" t="s">
        <v>101</v>
      </c>
      <c r="B416" s="40"/>
      <c r="C416" s="41"/>
      <c r="D416" s="42" t="s">
        <v>59</v>
      </c>
      <c r="E416" s="288">
        <f>SUM(E417,E428,E440,E436,E433)</f>
        <v>960031</v>
      </c>
      <c r="F416" s="288">
        <f>SUM(F417,F428,F440,F436,F433)</f>
        <v>1561937</v>
      </c>
      <c r="G416" s="288">
        <f>SUM(G417,G428,G440,G436,G433)</f>
        <v>1523641.01</v>
      </c>
      <c r="H416" s="202">
        <f t="shared" si="6"/>
        <v>97.54817319776662</v>
      </c>
    </row>
    <row r="417" spans="1:8" s="28" customFormat="1" ht="21" customHeight="1">
      <c r="A417" s="71"/>
      <c r="B417" s="85">
        <v>85401</v>
      </c>
      <c r="C417" s="88"/>
      <c r="D417" s="43" t="s">
        <v>455</v>
      </c>
      <c r="E417" s="84">
        <f>SUM(E418:E427)</f>
        <v>522477</v>
      </c>
      <c r="F417" s="84">
        <f>SUM(F418:F427)</f>
        <v>574100</v>
      </c>
      <c r="G417" s="84">
        <f>SUM(G418:G427)</f>
        <v>557531.87</v>
      </c>
      <c r="H417" s="203">
        <f t="shared" si="6"/>
        <v>97.11406897753004</v>
      </c>
    </row>
    <row r="418" spans="1:8" s="28" customFormat="1" ht="22.5">
      <c r="A418" s="71"/>
      <c r="B418" s="85"/>
      <c r="C418" s="88">
        <v>3020</v>
      </c>
      <c r="D418" s="43" t="s">
        <v>436</v>
      </c>
      <c r="E418" s="84">
        <v>10339</v>
      </c>
      <c r="F418" s="84">
        <v>10464</v>
      </c>
      <c r="G418" s="84">
        <v>9818.6</v>
      </c>
      <c r="H418" s="203">
        <f t="shared" si="6"/>
        <v>93.8321865443425</v>
      </c>
    </row>
    <row r="419" spans="1:8" s="28" customFormat="1" ht="21" customHeight="1">
      <c r="A419" s="71"/>
      <c r="B419" s="85"/>
      <c r="C419" s="88">
        <v>4010</v>
      </c>
      <c r="D419" s="43" t="s">
        <v>80</v>
      </c>
      <c r="E419" s="84">
        <v>371545</v>
      </c>
      <c r="F419" s="84">
        <v>398072</v>
      </c>
      <c r="G419" s="84">
        <v>388109.96</v>
      </c>
      <c r="H419" s="203">
        <f t="shared" si="6"/>
        <v>97.497427601037</v>
      </c>
    </row>
    <row r="420" spans="1:8" s="28" customFormat="1" ht="21" customHeight="1">
      <c r="A420" s="71"/>
      <c r="B420" s="85"/>
      <c r="C420" s="88">
        <v>4040</v>
      </c>
      <c r="D420" s="43" t="s">
        <v>81</v>
      </c>
      <c r="E420" s="84">
        <v>23840</v>
      </c>
      <c r="F420" s="84">
        <v>27689</v>
      </c>
      <c r="G420" s="84">
        <v>27675.93</v>
      </c>
      <c r="H420" s="203">
        <f t="shared" si="6"/>
        <v>99.95279713965834</v>
      </c>
    </row>
    <row r="421" spans="1:8" s="28" customFormat="1" ht="21" customHeight="1">
      <c r="A421" s="71"/>
      <c r="B421" s="85"/>
      <c r="C421" s="88">
        <v>4110</v>
      </c>
      <c r="D421" s="43" t="s">
        <v>82</v>
      </c>
      <c r="E421" s="84">
        <v>58485</v>
      </c>
      <c r="F421" s="84">
        <v>66842</v>
      </c>
      <c r="G421" s="84">
        <v>62636.71</v>
      </c>
      <c r="H421" s="203">
        <f t="shared" si="6"/>
        <v>93.70861135214386</v>
      </c>
    </row>
    <row r="422" spans="1:8" s="28" customFormat="1" ht="21" customHeight="1">
      <c r="A422" s="71"/>
      <c r="B422" s="85"/>
      <c r="C422" s="88">
        <v>4120</v>
      </c>
      <c r="D422" s="43" t="s">
        <v>83</v>
      </c>
      <c r="E422" s="84">
        <v>10075</v>
      </c>
      <c r="F422" s="84">
        <v>10686</v>
      </c>
      <c r="G422" s="84">
        <v>9845.13</v>
      </c>
      <c r="H422" s="203">
        <f t="shared" si="6"/>
        <v>92.1311061201572</v>
      </c>
    </row>
    <row r="423" spans="1:8" s="28" customFormat="1" ht="21" customHeight="1">
      <c r="A423" s="71"/>
      <c r="B423" s="85"/>
      <c r="C423" s="88">
        <v>4210</v>
      </c>
      <c r="D423" s="43" t="s">
        <v>87</v>
      </c>
      <c r="E423" s="84">
        <v>9950</v>
      </c>
      <c r="F423" s="84">
        <v>8213</v>
      </c>
      <c r="G423" s="84">
        <v>7996.77</v>
      </c>
      <c r="H423" s="203">
        <f t="shared" si="6"/>
        <v>97.3672226957263</v>
      </c>
    </row>
    <row r="424" spans="1:8" s="28" customFormat="1" ht="22.5" customHeight="1">
      <c r="A424" s="71"/>
      <c r="B424" s="85"/>
      <c r="C424" s="88">
        <v>4240</v>
      </c>
      <c r="D424" s="43" t="s">
        <v>102</v>
      </c>
      <c r="E424" s="84">
        <v>8000</v>
      </c>
      <c r="F424" s="84">
        <v>3499</v>
      </c>
      <c r="G424" s="84">
        <v>3414.14</v>
      </c>
      <c r="H424" s="203">
        <f t="shared" si="6"/>
        <v>97.57473563875394</v>
      </c>
    </row>
    <row r="425" spans="1:8" s="28" customFormat="1" ht="21" customHeight="1">
      <c r="A425" s="71"/>
      <c r="B425" s="85"/>
      <c r="C425" s="88">
        <v>4270</v>
      </c>
      <c r="D425" s="43" t="s">
        <v>75</v>
      </c>
      <c r="E425" s="84">
        <v>0</v>
      </c>
      <c r="F425" s="84">
        <v>17688</v>
      </c>
      <c r="G425" s="84">
        <v>17687.63</v>
      </c>
      <c r="H425" s="203">
        <f t="shared" si="6"/>
        <v>99.99790818634102</v>
      </c>
    </row>
    <row r="426" spans="1:8" s="28" customFormat="1" ht="21" customHeight="1">
      <c r="A426" s="71"/>
      <c r="B426" s="85"/>
      <c r="C426" s="88">
        <v>4280</v>
      </c>
      <c r="D426" s="43" t="s">
        <v>438</v>
      </c>
      <c r="E426" s="84">
        <v>600</v>
      </c>
      <c r="F426" s="84">
        <v>600</v>
      </c>
      <c r="G426" s="84">
        <v>0</v>
      </c>
      <c r="H426" s="203">
        <f t="shared" si="6"/>
        <v>0</v>
      </c>
    </row>
    <row r="427" spans="1:8" s="28" customFormat="1" ht="23.25" customHeight="1">
      <c r="A427" s="71"/>
      <c r="B427" s="85"/>
      <c r="C427" s="88">
        <v>4440</v>
      </c>
      <c r="D427" s="43" t="s">
        <v>84</v>
      </c>
      <c r="E427" s="84">
        <v>29643</v>
      </c>
      <c r="F427" s="84">
        <v>30347</v>
      </c>
      <c r="G427" s="84">
        <v>30347</v>
      </c>
      <c r="H427" s="203">
        <f t="shared" si="6"/>
        <v>100</v>
      </c>
    </row>
    <row r="428" spans="1:8" s="28" customFormat="1" ht="33.75">
      <c r="A428" s="71"/>
      <c r="B428" s="85" t="s">
        <v>104</v>
      </c>
      <c r="C428" s="88"/>
      <c r="D428" s="43" t="s">
        <v>136</v>
      </c>
      <c r="E428" s="84">
        <f>SUM(E429:E432)</f>
        <v>105890</v>
      </c>
      <c r="F428" s="84">
        <f>SUM(F429:F432)</f>
        <v>146688</v>
      </c>
      <c r="G428" s="84">
        <f>SUM(G429:G432)</f>
        <v>146091.91999999998</v>
      </c>
      <c r="H428" s="203">
        <f t="shared" si="6"/>
        <v>99.59364092495636</v>
      </c>
    </row>
    <row r="429" spans="1:8" s="28" customFormat="1" ht="56.25">
      <c r="A429" s="71"/>
      <c r="B429" s="85"/>
      <c r="C429" s="88">
        <v>2830</v>
      </c>
      <c r="D429" s="43" t="s">
        <v>341</v>
      </c>
      <c r="E429" s="84">
        <v>0</v>
      </c>
      <c r="F429" s="84">
        <v>38250</v>
      </c>
      <c r="G429" s="84">
        <v>38250</v>
      </c>
      <c r="H429" s="203">
        <f t="shared" si="6"/>
        <v>100</v>
      </c>
    </row>
    <row r="430" spans="1:8" s="28" customFormat="1" ht="21" customHeight="1">
      <c r="A430" s="71"/>
      <c r="B430" s="85"/>
      <c r="C430" s="88">
        <v>4210</v>
      </c>
      <c r="D430" s="43" t="s">
        <v>87</v>
      </c>
      <c r="E430" s="84">
        <v>2390</v>
      </c>
      <c r="F430" s="84">
        <v>2958</v>
      </c>
      <c r="G430" s="84">
        <v>2957.19</v>
      </c>
      <c r="H430" s="203">
        <f t="shared" si="6"/>
        <v>99.97261663286004</v>
      </c>
    </row>
    <row r="431" spans="1:8" s="28" customFormat="1" ht="21" customHeight="1">
      <c r="A431" s="88"/>
      <c r="B431" s="294"/>
      <c r="C431" s="88">
        <v>4300</v>
      </c>
      <c r="D431" s="43" t="s">
        <v>76</v>
      </c>
      <c r="E431" s="84">
        <v>37500</v>
      </c>
      <c r="F431" s="84">
        <v>17478</v>
      </c>
      <c r="G431" s="84">
        <v>17472.83</v>
      </c>
      <c r="H431" s="203">
        <f t="shared" si="6"/>
        <v>99.97041995651678</v>
      </c>
    </row>
    <row r="432" spans="1:8" s="28" customFormat="1" ht="22.5">
      <c r="A432" s="88"/>
      <c r="B432" s="294"/>
      <c r="C432" s="88">
        <v>6050</v>
      </c>
      <c r="D432" s="43" t="s">
        <v>70</v>
      </c>
      <c r="E432" s="84">
        <f>50000+16000</f>
        <v>66000</v>
      </c>
      <c r="F432" s="84">
        <v>88002</v>
      </c>
      <c r="G432" s="84">
        <v>87411.9</v>
      </c>
      <c r="H432" s="203">
        <f t="shared" si="6"/>
        <v>99.3294470580214</v>
      </c>
    </row>
    <row r="433" spans="1:8" s="28" customFormat="1" ht="21" customHeight="1">
      <c r="A433" s="88"/>
      <c r="B433" s="294">
        <v>85415</v>
      </c>
      <c r="C433" s="88"/>
      <c r="D433" s="43" t="s">
        <v>196</v>
      </c>
      <c r="E433" s="84">
        <f>SUM(E434,E435)</f>
        <v>100000</v>
      </c>
      <c r="F433" s="84">
        <f>SUM(F434,F435)</f>
        <v>589063</v>
      </c>
      <c r="G433" s="84">
        <f>SUM(G434,G435)</f>
        <v>568798.46</v>
      </c>
      <c r="H433" s="203">
        <f t="shared" si="6"/>
        <v>96.55986880859942</v>
      </c>
    </row>
    <row r="434" spans="1:8" s="28" customFormat="1" ht="21" customHeight="1">
      <c r="A434" s="88"/>
      <c r="B434" s="294"/>
      <c r="C434" s="88">
        <v>3240</v>
      </c>
      <c r="D434" s="43" t="s">
        <v>456</v>
      </c>
      <c r="E434" s="84">
        <v>100000</v>
      </c>
      <c r="F434" s="84">
        <v>537123</v>
      </c>
      <c r="G434" s="84">
        <v>536722</v>
      </c>
      <c r="H434" s="203">
        <f t="shared" si="6"/>
        <v>99.92534298475397</v>
      </c>
    </row>
    <row r="435" spans="1:8" s="28" customFormat="1" ht="21" customHeight="1">
      <c r="A435" s="88"/>
      <c r="B435" s="294"/>
      <c r="C435" s="88">
        <v>3260</v>
      </c>
      <c r="D435" s="43" t="s">
        <v>457</v>
      </c>
      <c r="E435" s="84">
        <v>0</v>
      </c>
      <c r="F435" s="84">
        <v>51940</v>
      </c>
      <c r="G435" s="84">
        <v>32076.46</v>
      </c>
      <c r="H435" s="203">
        <f t="shared" si="6"/>
        <v>61.756757797458604</v>
      </c>
    </row>
    <row r="436" spans="1:8" s="28" customFormat="1" ht="21" customHeight="1">
      <c r="A436" s="88"/>
      <c r="B436" s="294">
        <v>85446</v>
      </c>
      <c r="C436" s="88"/>
      <c r="D436" s="43" t="s">
        <v>128</v>
      </c>
      <c r="E436" s="84">
        <f>SUM(E437:E439)</f>
        <v>3813</v>
      </c>
      <c r="F436" s="84">
        <f>SUM(F437:F439)</f>
        <v>3491</v>
      </c>
      <c r="G436" s="84">
        <f>SUM(G437:G439)</f>
        <v>2623.76</v>
      </c>
      <c r="H436" s="203">
        <f t="shared" si="6"/>
        <v>75.15783443139502</v>
      </c>
    </row>
    <row r="437" spans="1:8" s="28" customFormat="1" ht="21" customHeight="1">
      <c r="A437" s="88"/>
      <c r="B437" s="294"/>
      <c r="C437" s="88">
        <v>4300</v>
      </c>
      <c r="D437" s="43" t="s">
        <v>76</v>
      </c>
      <c r="E437" s="84">
        <v>3813</v>
      </c>
      <c r="F437" s="84">
        <v>830</v>
      </c>
      <c r="G437" s="84">
        <v>718</v>
      </c>
      <c r="H437" s="203">
        <f t="shared" si="6"/>
        <v>86.50602409638554</v>
      </c>
    </row>
    <row r="438" spans="1:8" s="28" customFormat="1" ht="21" customHeight="1">
      <c r="A438" s="88"/>
      <c r="B438" s="294"/>
      <c r="C438" s="88">
        <v>4410</v>
      </c>
      <c r="D438" s="43" t="s">
        <v>86</v>
      </c>
      <c r="E438" s="84">
        <v>0</v>
      </c>
      <c r="F438" s="84">
        <v>1081</v>
      </c>
      <c r="G438" s="84">
        <v>477.76</v>
      </c>
      <c r="H438" s="203">
        <f t="shared" si="6"/>
        <v>44.19611470860315</v>
      </c>
    </row>
    <row r="439" spans="1:8" s="28" customFormat="1" ht="22.5">
      <c r="A439" s="88"/>
      <c r="B439" s="294"/>
      <c r="C439" s="88">
        <v>4700</v>
      </c>
      <c r="D439" s="43" t="s">
        <v>241</v>
      </c>
      <c r="E439" s="84">
        <v>0</v>
      </c>
      <c r="F439" s="84">
        <v>1580</v>
      </c>
      <c r="G439" s="84">
        <v>1428</v>
      </c>
      <c r="H439" s="203">
        <f t="shared" si="6"/>
        <v>90.37974683544304</v>
      </c>
    </row>
    <row r="440" spans="1:8" s="28" customFormat="1" ht="21" customHeight="1">
      <c r="A440" s="88"/>
      <c r="B440" s="294">
        <v>85495</v>
      </c>
      <c r="C440" s="88"/>
      <c r="D440" s="43" t="s">
        <v>6</v>
      </c>
      <c r="E440" s="84">
        <f>SUM(E441:E441)</f>
        <v>227851</v>
      </c>
      <c r="F440" s="84">
        <f>SUM(F441:F441)</f>
        <v>248595</v>
      </c>
      <c r="G440" s="84">
        <f>SUM(G441:G441)</f>
        <v>248595</v>
      </c>
      <c r="H440" s="203">
        <f t="shared" si="6"/>
        <v>100</v>
      </c>
    </row>
    <row r="441" spans="1:8" s="28" customFormat="1" ht="45">
      <c r="A441" s="88"/>
      <c r="B441" s="294"/>
      <c r="C441" s="88">
        <v>2320</v>
      </c>
      <c r="D441" s="43" t="s">
        <v>458</v>
      </c>
      <c r="E441" s="84">
        <v>227851</v>
      </c>
      <c r="F441" s="84">
        <v>248595</v>
      </c>
      <c r="G441" s="84">
        <v>248595</v>
      </c>
      <c r="H441" s="203">
        <f t="shared" si="6"/>
        <v>100</v>
      </c>
    </row>
    <row r="442" spans="1:8" s="9" customFormat="1" ht="24">
      <c r="A442" s="39" t="s">
        <v>106</v>
      </c>
      <c r="B442" s="40"/>
      <c r="C442" s="41"/>
      <c r="D442" s="42" t="s">
        <v>60</v>
      </c>
      <c r="E442" s="288">
        <f>SUM(E443,E451,E453,E458,E460,E467,E449)</f>
        <v>3562910</v>
      </c>
      <c r="F442" s="288">
        <f>SUM(F443,F451,F453,F458,F460,F467,F449)</f>
        <v>4452248</v>
      </c>
      <c r="G442" s="288">
        <f>SUM(G443,G451,G453,G458,G460,G467,G449)</f>
        <v>4226660.72</v>
      </c>
      <c r="H442" s="202">
        <f t="shared" si="6"/>
        <v>94.93318251813466</v>
      </c>
    </row>
    <row r="443" spans="1:8" s="28" customFormat="1" ht="21" customHeight="1">
      <c r="A443" s="71"/>
      <c r="B443" s="85" t="s">
        <v>107</v>
      </c>
      <c r="C443" s="88"/>
      <c r="D443" s="43" t="s">
        <v>61</v>
      </c>
      <c r="E443" s="84">
        <f>SUM(E444:E448)</f>
        <v>1295000</v>
      </c>
      <c r="F443" s="84">
        <f>SUM(F444:F448)</f>
        <v>1226819</v>
      </c>
      <c r="G443" s="84">
        <f>SUM(G444:G448)</f>
        <v>1201216.91</v>
      </c>
      <c r="H443" s="203">
        <f t="shared" si="6"/>
        <v>97.91313225504332</v>
      </c>
    </row>
    <row r="444" spans="1:8" s="28" customFormat="1" ht="21" customHeight="1">
      <c r="A444" s="71"/>
      <c r="B444" s="85"/>
      <c r="C444" s="88">
        <v>4270</v>
      </c>
      <c r="D444" s="43" t="s">
        <v>75</v>
      </c>
      <c r="E444" s="84">
        <v>0</v>
      </c>
      <c r="F444" s="84">
        <v>47000</v>
      </c>
      <c r="G444" s="84">
        <v>47000</v>
      </c>
      <c r="H444" s="203">
        <f t="shared" si="6"/>
        <v>100</v>
      </c>
    </row>
    <row r="445" spans="1:8" s="28" customFormat="1" ht="21" customHeight="1">
      <c r="A445" s="71"/>
      <c r="B445" s="85"/>
      <c r="C445" s="71">
        <v>4300</v>
      </c>
      <c r="D445" s="43" t="s">
        <v>76</v>
      </c>
      <c r="E445" s="84">
        <v>145000</v>
      </c>
      <c r="F445" s="84">
        <v>144850</v>
      </c>
      <c r="G445" s="84">
        <v>144406.96</v>
      </c>
      <c r="H445" s="203">
        <f t="shared" si="6"/>
        <v>99.69413876423886</v>
      </c>
    </row>
    <row r="446" spans="1:8" s="28" customFormat="1" ht="21" customHeight="1">
      <c r="A446" s="71"/>
      <c r="B446" s="85"/>
      <c r="C446" s="339">
        <v>4430</v>
      </c>
      <c r="D446" s="340" t="s">
        <v>459</v>
      </c>
      <c r="E446" s="341">
        <v>0</v>
      </c>
      <c r="F446" s="341">
        <v>150</v>
      </c>
      <c r="G446" s="341">
        <v>130.6</v>
      </c>
      <c r="H446" s="203">
        <f t="shared" si="6"/>
        <v>87.06666666666666</v>
      </c>
    </row>
    <row r="447" spans="1:8" s="28" customFormat="1" ht="67.5">
      <c r="A447" s="71"/>
      <c r="B447" s="85"/>
      <c r="C447" s="339">
        <v>6010</v>
      </c>
      <c r="D447" s="340" t="s">
        <v>286</v>
      </c>
      <c r="E447" s="341">
        <v>0</v>
      </c>
      <c r="F447" s="341">
        <v>119</v>
      </c>
      <c r="G447" s="341">
        <v>0</v>
      </c>
      <c r="H447" s="203">
        <f t="shared" si="6"/>
        <v>0</v>
      </c>
    </row>
    <row r="448" spans="1:8" s="28" customFormat="1" ht="21" customHeight="1">
      <c r="A448" s="71"/>
      <c r="B448" s="85"/>
      <c r="C448" s="71">
        <v>6050</v>
      </c>
      <c r="D448" s="43" t="s">
        <v>70</v>
      </c>
      <c r="E448" s="84">
        <v>1150000</v>
      </c>
      <c r="F448" s="84">
        <v>1034700</v>
      </c>
      <c r="G448" s="84">
        <v>1009679.35</v>
      </c>
      <c r="H448" s="203">
        <f t="shared" si="6"/>
        <v>97.58184497922103</v>
      </c>
    </row>
    <row r="449" spans="1:8" s="28" customFormat="1" ht="21" customHeight="1">
      <c r="A449" s="71"/>
      <c r="B449" s="85">
        <v>90002</v>
      </c>
      <c r="C449" s="71"/>
      <c r="D449" s="43" t="s">
        <v>460</v>
      </c>
      <c r="E449" s="84">
        <f>SUM(E450)</f>
        <v>90000</v>
      </c>
      <c r="F449" s="84">
        <f>SUM(F450)</f>
        <v>90000</v>
      </c>
      <c r="G449" s="84">
        <f>SUM(G450)</f>
        <v>26840</v>
      </c>
      <c r="H449" s="203">
        <f t="shared" si="6"/>
        <v>29.822222222222223</v>
      </c>
    </row>
    <row r="450" spans="1:8" s="28" customFormat="1" ht="21" customHeight="1">
      <c r="A450" s="71"/>
      <c r="B450" s="85"/>
      <c r="C450" s="71">
        <v>6050</v>
      </c>
      <c r="D450" s="43" t="s">
        <v>70</v>
      </c>
      <c r="E450" s="84">
        <v>90000</v>
      </c>
      <c r="F450" s="84">
        <v>90000</v>
      </c>
      <c r="G450" s="84">
        <v>26840</v>
      </c>
      <c r="H450" s="203">
        <f t="shared" si="6"/>
        <v>29.822222222222223</v>
      </c>
    </row>
    <row r="451" spans="1:8" s="28" customFormat="1" ht="21" customHeight="1">
      <c r="A451" s="71"/>
      <c r="B451" s="85" t="s">
        <v>108</v>
      </c>
      <c r="C451" s="88"/>
      <c r="D451" s="43" t="s">
        <v>109</v>
      </c>
      <c r="E451" s="84">
        <f>SUM(E452:E452)</f>
        <v>744670</v>
      </c>
      <c r="F451" s="84">
        <f>SUM(F452:F452)</f>
        <v>744322</v>
      </c>
      <c r="G451" s="84">
        <f>SUM(G452:G452)</f>
        <v>737922.49</v>
      </c>
      <c r="H451" s="203">
        <f t="shared" si="6"/>
        <v>99.14022291427635</v>
      </c>
    </row>
    <row r="452" spans="1:8" s="28" customFormat="1" ht="21" customHeight="1">
      <c r="A452" s="71"/>
      <c r="B452" s="85"/>
      <c r="C452" s="88">
        <v>4300</v>
      </c>
      <c r="D452" s="301" t="s">
        <v>76</v>
      </c>
      <c r="E452" s="84">
        <f>2240+742430</f>
        <v>744670</v>
      </c>
      <c r="F452" s="84">
        <v>744322</v>
      </c>
      <c r="G452" s="84">
        <v>737922.49</v>
      </c>
      <c r="H452" s="203">
        <f t="shared" si="6"/>
        <v>99.14022291427635</v>
      </c>
    </row>
    <row r="453" spans="1:8" s="28" customFormat="1" ht="21" customHeight="1">
      <c r="A453" s="71"/>
      <c r="B453" s="85" t="s">
        <v>110</v>
      </c>
      <c r="C453" s="88"/>
      <c r="D453" s="43" t="s">
        <v>131</v>
      </c>
      <c r="E453" s="84">
        <f>SUM(E454:E457)</f>
        <v>249240</v>
      </c>
      <c r="F453" s="84">
        <f>SUM(F454:F457)</f>
        <v>300707</v>
      </c>
      <c r="G453" s="84">
        <f>SUM(G454:G457)</f>
        <v>285873.64</v>
      </c>
      <c r="H453" s="203">
        <f t="shared" si="6"/>
        <v>95.06717169869674</v>
      </c>
    </row>
    <row r="454" spans="1:8" s="28" customFormat="1" ht="21" customHeight="1">
      <c r="A454" s="71"/>
      <c r="B454" s="85"/>
      <c r="C454" s="71">
        <v>4210</v>
      </c>
      <c r="D454" s="43" t="s">
        <v>87</v>
      </c>
      <c r="E454" s="84">
        <f>26220+18000+6000+12000</f>
        <v>62220</v>
      </c>
      <c r="F454" s="84">
        <v>103128</v>
      </c>
      <c r="G454" s="84">
        <v>88404.55</v>
      </c>
      <c r="H454" s="203">
        <f t="shared" si="6"/>
        <v>85.7231304786285</v>
      </c>
    </row>
    <row r="455" spans="1:8" s="28" customFormat="1" ht="21" customHeight="1">
      <c r="A455" s="71"/>
      <c r="B455" s="85"/>
      <c r="C455" s="71">
        <v>4260</v>
      </c>
      <c r="D455" s="43" t="s">
        <v>89</v>
      </c>
      <c r="E455" s="84">
        <v>0</v>
      </c>
      <c r="F455" s="84">
        <v>32</v>
      </c>
      <c r="G455" s="84">
        <v>30.5</v>
      </c>
      <c r="H455" s="203">
        <f aca="true" t="shared" si="7" ref="H455:H507">G455/F455*100</f>
        <v>95.3125</v>
      </c>
    </row>
    <row r="456" spans="1:8" s="28" customFormat="1" ht="21" customHeight="1">
      <c r="A456" s="71"/>
      <c r="B456" s="85"/>
      <c r="C456" s="71">
        <v>4270</v>
      </c>
      <c r="D456" s="43" t="s">
        <v>75</v>
      </c>
      <c r="E456" s="84">
        <v>5000</v>
      </c>
      <c r="F456" s="84">
        <v>2600</v>
      </c>
      <c r="G456" s="84">
        <v>2534.28</v>
      </c>
      <c r="H456" s="203">
        <f t="shared" si="7"/>
        <v>97.47230769230771</v>
      </c>
    </row>
    <row r="457" spans="1:8" s="28" customFormat="1" ht="21" customHeight="1">
      <c r="A457" s="71"/>
      <c r="B457" s="85"/>
      <c r="C457" s="71">
        <v>4300</v>
      </c>
      <c r="D457" s="43" t="s">
        <v>76</v>
      </c>
      <c r="E457" s="84">
        <f>6200+92820+32000+11000+20000+20000</f>
        <v>182020</v>
      </c>
      <c r="F457" s="84">
        <v>194947</v>
      </c>
      <c r="G457" s="84">
        <v>194904.31</v>
      </c>
      <c r="H457" s="203">
        <f t="shared" si="7"/>
        <v>99.97810174047305</v>
      </c>
    </row>
    <row r="458" spans="1:8" s="28" customFormat="1" ht="21" customHeight="1">
      <c r="A458" s="71"/>
      <c r="B458" s="85" t="s">
        <v>461</v>
      </c>
      <c r="C458" s="88"/>
      <c r="D458" s="43" t="s">
        <v>462</v>
      </c>
      <c r="E458" s="84">
        <f>SUM(E459)</f>
        <v>110000</v>
      </c>
      <c r="F458" s="84">
        <f>SUM(F459)</f>
        <v>131000</v>
      </c>
      <c r="G458" s="84">
        <f>SUM(G459)</f>
        <v>120389.39</v>
      </c>
      <c r="H458" s="203">
        <f t="shared" si="7"/>
        <v>91.90029770992366</v>
      </c>
    </row>
    <row r="459" spans="1:8" s="28" customFormat="1" ht="21" customHeight="1">
      <c r="A459" s="71"/>
      <c r="B459" s="85"/>
      <c r="C459" s="88">
        <v>4300</v>
      </c>
      <c r="D459" s="301" t="s">
        <v>76</v>
      </c>
      <c r="E459" s="84">
        <v>110000</v>
      </c>
      <c r="F459" s="84">
        <v>131000</v>
      </c>
      <c r="G459" s="84">
        <v>120389.39</v>
      </c>
      <c r="H459" s="203">
        <f t="shared" si="7"/>
        <v>91.90029770992366</v>
      </c>
    </row>
    <row r="460" spans="1:8" s="28" customFormat="1" ht="21" customHeight="1">
      <c r="A460" s="71"/>
      <c r="B460" s="85" t="s">
        <v>111</v>
      </c>
      <c r="C460" s="88"/>
      <c r="D460" s="43" t="s">
        <v>112</v>
      </c>
      <c r="E460" s="84">
        <f>SUM(E461:E466)</f>
        <v>986000</v>
      </c>
      <c r="F460" s="84">
        <f>SUM(F461:F466)</f>
        <v>1909600</v>
      </c>
      <c r="G460" s="84">
        <f>SUM(G461:G466)</f>
        <v>1810262.63</v>
      </c>
      <c r="H460" s="203">
        <f t="shared" si="7"/>
        <v>94.79800115207372</v>
      </c>
    </row>
    <row r="461" spans="1:8" s="28" customFormat="1" ht="21" customHeight="1">
      <c r="A461" s="71"/>
      <c r="B461" s="85"/>
      <c r="C461" s="88">
        <v>4170</v>
      </c>
      <c r="D461" s="43" t="s">
        <v>170</v>
      </c>
      <c r="E461" s="84">
        <v>0</v>
      </c>
      <c r="F461" s="84">
        <v>1500</v>
      </c>
      <c r="G461" s="84">
        <v>689.66</v>
      </c>
      <c r="H461" s="203">
        <f t="shared" si="7"/>
        <v>45.977333333333334</v>
      </c>
    </row>
    <row r="462" spans="1:8" s="28" customFormat="1" ht="21" customHeight="1">
      <c r="A462" s="71"/>
      <c r="B462" s="85"/>
      <c r="C462" s="88">
        <v>4210</v>
      </c>
      <c r="D462" s="43" t="s">
        <v>69</v>
      </c>
      <c r="E462" s="84">
        <v>0</v>
      </c>
      <c r="F462" s="84">
        <v>500</v>
      </c>
      <c r="G462" s="84">
        <v>495.78</v>
      </c>
      <c r="H462" s="203">
        <f t="shared" si="7"/>
        <v>99.156</v>
      </c>
    </row>
    <row r="463" spans="1:8" s="28" customFormat="1" ht="21" customHeight="1">
      <c r="A463" s="71"/>
      <c r="B463" s="294"/>
      <c r="C463" s="71">
        <v>4260</v>
      </c>
      <c r="D463" s="43" t="s">
        <v>89</v>
      </c>
      <c r="E463" s="84">
        <v>550000</v>
      </c>
      <c r="F463" s="84">
        <v>754890</v>
      </c>
      <c r="G463" s="84">
        <v>752522.89</v>
      </c>
      <c r="H463" s="203">
        <f t="shared" si="7"/>
        <v>99.68642981096583</v>
      </c>
    </row>
    <row r="464" spans="1:8" s="28" customFormat="1" ht="21" customHeight="1">
      <c r="A464" s="71"/>
      <c r="B464" s="294"/>
      <c r="C464" s="71">
        <v>4270</v>
      </c>
      <c r="D464" s="43" t="s">
        <v>75</v>
      </c>
      <c r="E464" s="84">
        <v>190000</v>
      </c>
      <c r="F464" s="84">
        <v>258500</v>
      </c>
      <c r="G464" s="84">
        <v>200477.55</v>
      </c>
      <c r="H464" s="203">
        <f t="shared" si="7"/>
        <v>77.55417794970985</v>
      </c>
    </row>
    <row r="465" spans="1:8" s="28" customFormat="1" ht="21" customHeight="1">
      <c r="A465" s="71"/>
      <c r="B465" s="294"/>
      <c r="C465" s="71">
        <v>4300</v>
      </c>
      <c r="D465" s="43" t="s">
        <v>76</v>
      </c>
      <c r="E465" s="84">
        <v>33000</v>
      </c>
      <c r="F465" s="84">
        <v>34100</v>
      </c>
      <c r="G465" s="84">
        <v>29628.37</v>
      </c>
      <c r="H465" s="203">
        <f t="shared" si="7"/>
        <v>86.88671554252198</v>
      </c>
    </row>
    <row r="466" spans="1:8" s="28" customFormat="1" ht="21" customHeight="1">
      <c r="A466" s="71"/>
      <c r="B466" s="294"/>
      <c r="C466" s="71">
        <v>6050</v>
      </c>
      <c r="D466" s="43" t="s">
        <v>70</v>
      </c>
      <c r="E466" s="84">
        <v>213000</v>
      </c>
      <c r="F466" s="84">
        <v>860110</v>
      </c>
      <c r="G466" s="84">
        <v>826448.38</v>
      </c>
      <c r="H466" s="203">
        <f t="shared" si="7"/>
        <v>96.08635872155887</v>
      </c>
    </row>
    <row r="467" spans="1:8" s="28" customFormat="1" ht="21" customHeight="1">
      <c r="A467" s="71"/>
      <c r="B467" s="85" t="s">
        <v>463</v>
      </c>
      <c r="C467" s="88"/>
      <c r="D467" s="43" t="s">
        <v>6</v>
      </c>
      <c r="E467" s="84">
        <f>SUM(E469:E471)</f>
        <v>88000</v>
      </c>
      <c r="F467" s="84">
        <f>SUM(F468:F471)</f>
        <v>49800</v>
      </c>
      <c r="G467" s="84">
        <f>SUM(G468:G471)</f>
        <v>44155.66</v>
      </c>
      <c r="H467" s="203">
        <f t="shared" si="7"/>
        <v>88.66598393574297</v>
      </c>
    </row>
    <row r="468" spans="1:8" s="28" customFormat="1" ht="21" customHeight="1">
      <c r="A468" s="71"/>
      <c r="B468" s="85"/>
      <c r="C468" s="88">
        <v>4210</v>
      </c>
      <c r="D468" s="43" t="s">
        <v>69</v>
      </c>
      <c r="E468" s="84">
        <v>0</v>
      </c>
      <c r="F468" s="84">
        <v>11800</v>
      </c>
      <c r="G468" s="84">
        <v>11699.8</v>
      </c>
      <c r="H468" s="203">
        <f t="shared" si="7"/>
        <v>99.15084745762711</v>
      </c>
    </row>
    <row r="469" spans="1:8" s="28" customFormat="1" ht="21" customHeight="1">
      <c r="A469" s="71"/>
      <c r="B469" s="294"/>
      <c r="C469" s="71">
        <v>4260</v>
      </c>
      <c r="D469" s="43" t="s">
        <v>89</v>
      </c>
      <c r="E469" s="84">
        <v>7000</v>
      </c>
      <c r="F469" s="84">
        <v>4000</v>
      </c>
      <c r="G469" s="84">
        <v>3586.59</v>
      </c>
      <c r="H469" s="203">
        <f t="shared" si="7"/>
        <v>89.66475</v>
      </c>
    </row>
    <row r="470" spans="1:8" s="28" customFormat="1" ht="21" customHeight="1">
      <c r="A470" s="71"/>
      <c r="B470" s="294"/>
      <c r="C470" s="88">
        <v>4300</v>
      </c>
      <c r="D470" s="301" t="s">
        <v>76</v>
      </c>
      <c r="E470" s="84">
        <f>45000+8000+26000</f>
        <v>79000</v>
      </c>
      <c r="F470" s="84">
        <v>34000</v>
      </c>
      <c r="G470" s="84">
        <v>28869.27</v>
      </c>
      <c r="H470" s="203">
        <f t="shared" si="7"/>
        <v>84.90961764705882</v>
      </c>
    </row>
    <row r="471" spans="1:8" s="28" customFormat="1" ht="22.5">
      <c r="A471" s="71"/>
      <c r="B471" s="294"/>
      <c r="C471" s="88">
        <v>4390</v>
      </c>
      <c r="D471" s="43" t="s">
        <v>439</v>
      </c>
      <c r="E471" s="84">
        <v>2000</v>
      </c>
      <c r="F471" s="84">
        <v>0</v>
      </c>
      <c r="G471" s="84">
        <v>0</v>
      </c>
      <c r="H471" s="203">
        <v>0</v>
      </c>
    </row>
    <row r="472" spans="1:8" s="8" customFormat="1" ht="33" customHeight="1">
      <c r="A472" s="39" t="s">
        <v>62</v>
      </c>
      <c r="B472" s="40"/>
      <c r="C472" s="41"/>
      <c r="D472" s="42" t="s">
        <v>113</v>
      </c>
      <c r="E472" s="288">
        <f>SUM(E473,E481,E483,E485,E487)</f>
        <v>2781147</v>
      </c>
      <c r="F472" s="288">
        <f>SUM(F473,F481,F483,F485,F487)</f>
        <v>2735145</v>
      </c>
      <c r="G472" s="288">
        <f>SUM(G473,G481,G483,G485,G487)</f>
        <v>2658678.0300000003</v>
      </c>
      <c r="H472" s="202">
        <f t="shared" si="7"/>
        <v>97.20428094305788</v>
      </c>
    </row>
    <row r="473" spans="1:8" s="28" customFormat="1" ht="21" customHeight="1">
      <c r="A473" s="71"/>
      <c r="B473" s="85" t="s">
        <v>114</v>
      </c>
      <c r="C473" s="88"/>
      <c r="D473" s="43" t="s">
        <v>130</v>
      </c>
      <c r="E473" s="84">
        <f>SUM(E474:E480)</f>
        <v>966410</v>
      </c>
      <c r="F473" s="84">
        <f>SUM(F474:F480)</f>
        <v>983008</v>
      </c>
      <c r="G473" s="84">
        <f>SUM(G474:G480)</f>
        <v>921541.03</v>
      </c>
      <c r="H473" s="203">
        <f t="shared" si="7"/>
        <v>93.74705292327225</v>
      </c>
    </row>
    <row r="474" spans="1:8" s="28" customFormat="1" ht="22.5">
      <c r="A474" s="71"/>
      <c r="B474" s="85"/>
      <c r="C474" s="88">
        <v>2480</v>
      </c>
      <c r="D474" s="43" t="s">
        <v>464</v>
      </c>
      <c r="E474" s="84">
        <v>753435</v>
      </c>
      <c r="F474" s="84">
        <v>757435</v>
      </c>
      <c r="G474" s="84">
        <v>742435</v>
      </c>
      <c r="H474" s="203">
        <f t="shared" si="7"/>
        <v>98.01963204763446</v>
      </c>
    </row>
    <row r="475" spans="1:8" s="28" customFormat="1" ht="21" customHeight="1">
      <c r="A475" s="71"/>
      <c r="B475" s="85"/>
      <c r="C475" s="88">
        <v>4170</v>
      </c>
      <c r="D475" s="43" t="s">
        <v>170</v>
      </c>
      <c r="E475" s="84">
        <v>0</v>
      </c>
      <c r="F475" s="84">
        <v>1300</v>
      </c>
      <c r="G475" s="84">
        <v>1300</v>
      </c>
      <c r="H475" s="203">
        <f t="shared" si="7"/>
        <v>100</v>
      </c>
    </row>
    <row r="476" spans="1:8" s="28" customFormat="1" ht="21" customHeight="1">
      <c r="A476" s="71"/>
      <c r="B476" s="85"/>
      <c r="C476" s="71">
        <v>4210</v>
      </c>
      <c r="D476" s="43" t="s">
        <v>87</v>
      </c>
      <c r="E476" s="84">
        <v>33580</v>
      </c>
      <c r="F476" s="84">
        <v>32536</v>
      </c>
      <c r="G476" s="84">
        <v>28966.81</v>
      </c>
      <c r="H476" s="203">
        <f t="shared" si="7"/>
        <v>89.0300282763708</v>
      </c>
    </row>
    <row r="477" spans="1:8" s="28" customFormat="1" ht="21" customHeight="1">
      <c r="A477" s="71"/>
      <c r="B477" s="85"/>
      <c r="C477" s="71">
        <v>4260</v>
      </c>
      <c r="D477" s="43" t="s">
        <v>89</v>
      </c>
      <c r="E477" s="84">
        <v>12650</v>
      </c>
      <c r="F477" s="84">
        <v>16659</v>
      </c>
      <c r="G477" s="84">
        <v>15275.32</v>
      </c>
      <c r="H477" s="203">
        <f t="shared" si="7"/>
        <v>91.6940992856714</v>
      </c>
    </row>
    <row r="478" spans="1:8" s="28" customFormat="1" ht="21" customHeight="1">
      <c r="A478" s="71"/>
      <c r="B478" s="85"/>
      <c r="C478" s="71">
        <v>4270</v>
      </c>
      <c r="D478" s="43" t="s">
        <v>75</v>
      </c>
      <c r="E478" s="84">
        <v>156770</v>
      </c>
      <c r="F478" s="84">
        <v>167677</v>
      </c>
      <c r="G478" s="84">
        <v>127028.36</v>
      </c>
      <c r="H478" s="203">
        <f t="shared" si="7"/>
        <v>75.75777238380935</v>
      </c>
    </row>
    <row r="479" spans="1:8" s="28" customFormat="1" ht="21" customHeight="1">
      <c r="A479" s="71"/>
      <c r="B479" s="85"/>
      <c r="C479" s="88">
        <v>4300</v>
      </c>
      <c r="D479" s="301" t="s">
        <v>76</v>
      </c>
      <c r="E479" s="84">
        <v>8340</v>
      </c>
      <c r="F479" s="84">
        <v>5766</v>
      </c>
      <c r="G479" s="84">
        <v>5764.54</v>
      </c>
      <c r="H479" s="203">
        <f t="shared" si="7"/>
        <v>99.97467915365938</v>
      </c>
    </row>
    <row r="480" spans="1:8" s="28" customFormat="1" ht="21" customHeight="1">
      <c r="A480" s="71"/>
      <c r="B480" s="85"/>
      <c r="C480" s="88">
        <v>4430</v>
      </c>
      <c r="D480" s="301" t="s">
        <v>88</v>
      </c>
      <c r="E480" s="84">
        <v>1635</v>
      </c>
      <c r="F480" s="84">
        <v>1635</v>
      </c>
      <c r="G480" s="84">
        <v>771</v>
      </c>
      <c r="H480" s="203">
        <f t="shared" si="7"/>
        <v>47.1559633027523</v>
      </c>
    </row>
    <row r="481" spans="1:8" s="28" customFormat="1" ht="21" customHeight="1">
      <c r="A481" s="71"/>
      <c r="B481" s="85" t="s">
        <v>63</v>
      </c>
      <c r="C481" s="88"/>
      <c r="D481" s="43" t="s">
        <v>64</v>
      </c>
      <c r="E481" s="84">
        <f>E482</f>
        <v>1091087</v>
      </c>
      <c r="F481" s="84">
        <f>F482</f>
        <v>1091087</v>
      </c>
      <c r="G481" s="84">
        <f>G482</f>
        <v>1091087</v>
      </c>
      <c r="H481" s="203">
        <f t="shared" si="7"/>
        <v>100</v>
      </c>
    </row>
    <row r="482" spans="1:8" s="28" customFormat="1" ht="22.5">
      <c r="A482" s="71"/>
      <c r="B482" s="85"/>
      <c r="C482" s="88">
        <v>2480</v>
      </c>
      <c r="D482" s="43" t="s">
        <v>464</v>
      </c>
      <c r="E482" s="84">
        <f>60000+1031087</f>
        <v>1091087</v>
      </c>
      <c r="F482" s="84">
        <v>1091087</v>
      </c>
      <c r="G482" s="84">
        <v>1091087</v>
      </c>
      <c r="H482" s="203">
        <f t="shared" si="7"/>
        <v>100</v>
      </c>
    </row>
    <row r="483" spans="1:8" s="28" customFormat="1" ht="21" customHeight="1">
      <c r="A483" s="71"/>
      <c r="B483" s="85" t="s">
        <v>116</v>
      </c>
      <c r="C483" s="88"/>
      <c r="D483" s="43" t="s">
        <v>117</v>
      </c>
      <c r="E483" s="84">
        <f>E484</f>
        <v>686000</v>
      </c>
      <c r="F483" s="84">
        <f>F484</f>
        <v>623400</v>
      </c>
      <c r="G483" s="84">
        <f>G484</f>
        <v>623400</v>
      </c>
      <c r="H483" s="203">
        <f t="shared" si="7"/>
        <v>100</v>
      </c>
    </row>
    <row r="484" spans="1:8" s="28" customFormat="1" ht="25.5" customHeight="1">
      <c r="A484" s="71"/>
      <c r="B484" s="85"/>
      <c r="C484" s="88">
        <v>2480</v>
      </c>
      <c r="D484" s="43" t="s">
        <v>464</v>
      </c>
      <c r="E484" s="84">
        <v>686000</v>
      </c>
      <c r="F484" s="84">
        <v>623400</v>
      </c>
      <c r="G484" s="84">
        <v>623400</v>
      </c>
      <c r="H484" s="203">
        <f t="shared" si="7"/>
        <v>100</v>
      </c>
    </row>
    <row r="485" spans="1:8" s="28" customFormat="1" ht="21" customHeight="1">
      <c r="A485" s="71"/>
      <c r="B485" s="85">
        <v>92120</v>
      </c>
      <c r="C485" s="88"/>
      <c r="D485" s="43" t="s">
        <v>465</v>
      </c>
      <c r="E485" s="84">
        <f>SUM(E486)</f>
        <v>22650</v>
      </c>
      <c r="F485" s="84">
        <f>SUM(F486)</f>
        <v>22650</v>
      </c>
      <c r="G485" s="84">
        <f>SUM(G486)</f>
        <v>22650</v>
      </c>
      <c r="H485" s="203">
        <f t="shared" si="7"/>
        <v>100</v>
      </c>
    </row>
    <row r="486" spans="1:8" s="28" customFormat="1" ht="67.5">
      <c r="A486" s="71"/>
      <c r="B486" s="85"/>
      <c r="C486" s="88">
        <v>2720</v>
      </c>
      <c r="D486" s="43" t="s">
        <v>466</v>
      </c>
      <c r="E486" s="84">
        <v>22650</v>
      </c>
      <c r="F486" s="84">
        <v>22650</v>
      </c>
      <c r="G486" s="84">
        <v>22650</v>
      </c>
      <c r="H486" s="203">
        <f t="shared" si="7"/>
        <v>100</v>
      </c>
    </row>
    <row r="487" spans="1:8" s="28" customFormat="1" ht="21" customHeight="1">
      <c r="A487" s="71"/>
      <c r="B487" s="85">
        <v>92195</v>
      </c>
      <c r="C487" s="88"/>
      <c r="D487" s="43" t="s">
        <v>6</v>
      </c>
      <c r="E487" s="84">
        <f>SUM(E488)</f>
        <v>15000</v>
      </c>
      <c r="F487" s="84">
        <f>SUM(F488)</f>
        <v>15000</v>
      </c>
      <c r="G487" s="84">
        <f>SUM(G488)</f>
        <v>0</v>
      </c>
      <c r="H487" s="203">
        <f t="shared" si="7"/>
        <v>0</v>
      </c>
    </row>
    <row r="488" spans="1:8" s="28" customFormat="1" ht="21" customHeight="1">
      <c r="A488" s="71"/>
      <c r="B488" s="85"/>
      <c r="C488" s="88">
        <v>4300</v>
      </c>
      <c r="D488" s="301" t="s">
        <v>76</v>
      </c>
      <c r="E488" s="84">
        <v>15000</v>
      </c>
      <c r="F488" s="84">
        <v>15000</v>
      </c>
      <c r="G488" s="84">
        <v>0</v>
      </c>
      <c r="H488" s="203">
        <f t="shared" si="7"/>
        <v>0</v>
      </c>
    </row>
    <row r="489" spans="1:8" s="8" customFormat="1" ht="21" customHeight="1">
      <c r="A489" s="39" t="s">
        <v>118</v>
      </c>
      <c r="B489" s="40"/>
      <c r="C489" s="41"/>
      <c r="D489" s="42" t="s">
        <v>65</v>
      </c>
      <c r="E489" s="288">
        <f>SUM(E497,E493,E490,)</f>
        <v>1558290</v>
      </c>
      <c r="F489" s="288">
        <f>SUM(F497,F493,F490,)</f>
        <v>2354301</v>
      </c>
      <c r="G489" s="288">
        <f>SUM(G497,G493,G490,)</f>
        <v>1549091.23</v>
      </c>
      <c r="H489" s="202">
        <f t="shared" si="7"/>
        <v>65.79835076313522</v>
      </c>
    </row>
    <row r="490" spans="1:8" s="28" customFormat="1" ht="21" customHeight="1">
      <c r="A490" s="71"/>
      <c r="B490" s="294">
        <v>92601</v>
      </c>
      <c r="C490" s="88"/>
      <c r="D490" s="43" t="s">
        <v>240</v>
      </c>
      <c r="E490" s="84">
        <f>SUM(E491,E492)</f>
        <v>870000</v>
      </c>
      <c r="F490" s="84">
        <f>SUM(F491,F492)</f>
        <v>920000</v>
      </c>
      <c r="G490" s="84">
        <f>SUM(G491,G492)</f>
        <v>495152.73</v>
      </c>
      <c r="H490" s="203">
        <f t="shared" si="7"/>
        <v>53.82094891304347</v>
      </c>
    </row>
    <row r="491" spans="1:8" s="28" customFormat="1" ht="21" customHeight="1">
      <c r="A491" s="71"/>
      <c r="B491" s="294"/>
      <c r="C491" s="88">
        <v>4270</v>
      </c>
      <c r="D491" s="43" t="s">
        <v>75</v>
      </c>
      <c r="E491" s="84">
        <v>70000</v>
      </c>
      <c r="F491" s="84">
        <v>70000</v>
      </c>
      <c r="G491" s="84">
        <v>1281</v>
      </c>
      <c r="H491" s="203">
        <f t="shared" si="7"/>
        <v>1.83</v>
      </c>
    </row>
    <row r="492" spans="1:8" s="28" customFormat="1" ht="21" customHeight="1">
      <c r="A492" s="71"/>
      <c r="B492" s="294"/>
      <c r="C492" s="88">
        <v>6050</v>
      </c>
      <c r="D492" s="43" t="s">
        <v>70</v>
      </c>
      <c r="E492" s="84">
        <v>800000</v>
      </c>
      <c r="F492" s="84">
        <v>850000</v>
      </c>
      <c r="G492" s="84">
        <v>493871.73</v>
      </c>
      <c r="H492" s="203">
        <f t="shared" si="7"/>
        <v>58.102556470588226</v>
      </c>
    </row>
    <row r="493" spans="1:8" s="28" customFormat="1" ht="21" customHeight="1">
      <c r="A493" s="71"/>
      <c r="B493" s="294">
        <v>92604</v>
      </c>
      <c r="C493" s="88"/>
      <c r="D493" s="43" t="s">
        <v>173</v>
      </c>
      <c r="E493" s="84">
        <f>SUM(E494:E496)</f>
        <v>560000</v>
      </c>
      <c r="F493" s="84">
        <f>SUM(F494:F496)</f>
        <v>860000</v>
      </c>
      <c r="G493" s="84">
        <f>SUM(G494:G496)</f>
        <v>521204.58</v>
      </c>
      <c r="H493" s="203">
        <f t="shared" si="7"/>
        <v>60.605183720930235</v>
      </c>
    </row>
    <row r="494" spans="1:8" s="28" customFormat="1" ht="21" customHeight="1">
      <c r="A494" s="71"/>
      <c r="B494" s="294"/>
      <c r="C494" s="88">
        <v>4270</v>
      </c>
      <c r="D494" s="43" t="s">
        <v>75</v>
      </c>
      <c r="E494" s="84">
        <v>10000</v>
      </c>
      <c r="F494" s="84">
        <v>10000</v>
      </c>
      <c r="G494" s="84">
        <v>1204.58</v>
      </c>
      <c r="H494" s="203">
        <f t="shared" si="7"/>
        <v>12.0458</v>
      </c>
    </row>
    <row r="495" spans="1:8" s="28" customFormat="1" ht="21" customHeight="1">
      <c r="A495" s="71"/>
      <c r="B495" s="294"/>
      <c r="C495" s="88">
        <v>4300</v>
      </c>
      <c r="D495" s="301" t="s">
        <v>76</v>
      </c>
      <c r="E495" s="84">
        <f>20000+80000</f>
        <v>100000</v>
      </c>
      <c r="F495" s="84">
        <v>100000</v>
      </c>
      <c r="G495" s="84">
        <v>100000</v>
      </c>
      <c r="H495" s="203">
        <f t="shared" si="7"/>
        <v>100</v>
      </c>
    </row>
    <row r="496" spans="1:8" s="28" customFormat="1" ht="67.5">
      <c r="A496" s="71"/>
      <c r="B496" s="294"/>
      <c r="C496" s="88">
        <v>6010</v>
      </c>
      <c r="D496" s="43" t="s">
        <v>286</v>
      </c>
      <c r="E496" s="84">
        <v>450000</v>
      </c>
      <c r="F496" s="84">
        <v>750000</v>
      </c>
      <c r="G496" s="84">
        <v>420000</v>
      </c>
      <c r="H496" s="203">
        <f t="shared" si="7"/>
        <v>56.00000000000001</v>
      </c>
    </row>
    <row r="497" spans="1:8" s="28" customFormat="1" ht="22.5">
      <c r="A497" s="88"/>
      <c r="B497" s="302">
        <v>92605</v>
      </c>
      <c r="C497" s="88"/>
      <c r="D497" s="43" t="s">
        <v>66</v>
      </c>
      <c r="E497" s="84">
        <f>SUM(E498:E506)</f>
        <v>128290</v>
      </c>
      <c r="F497" s="84">
        <f>SUM(F498:F506)</f>
        <v>574301</v>
      </c>
      <c r="G497" s="84">
        <f>SUM(G498:G506)</f>
        <v>532733.92</v>
      </c>
      <c r="H497" s="203">
        <f t="shared" si="7"/>
        <v>92.76214389318494</v>
      </c>
    </row>
    <row r="498" spans="1:8" s="28" customFormat="1" ht="45">
      <c r="A498" s="88"/>
      <c r="B498" s="302"/>
      <c r="C498" s="88">
        <v>2820</v>
      </c>
      <c r="D498" s="43" t="s">
        <v>255</v>
      </c>
      <c r="E498" s="84">
        <v>0</v>
      </c>
      <c r="F498" s="84">
        <v>447000</v>
      </c>
      <c r="G498" s="84">
        <v>446976.19</v>
      </c>
      <c r="H498" s="203">
        <f t="shared" si="7"/>
        <v>99.99467337807606</v>
      </c>
    </row>
    <row r="499" spans="1:8" s="28" customFormat="1" ht="25.5" customHeight="1">
      <c r="A499" s="88"/>
      <c r="B499" s="302"/>
      <c r="C499" s="88">
        <v>3020</v>
      </c>
      <c r="D499" s="43" t="s">
        <v>436</v>
      </c>
      <c r="E499" s="84">
        <v>0</v>
      </c>
      <c r="F499" s="84">
        <v>2100</v>
      </c>
      <c r="G499" s="84">
        <v>2100</v>
      </c>
      <c r="H499" s="203">
        <f t="shared" si="7"/>
        <v>100</v>
      </c>
    </row>
    <row r="500" spans="1:8" s="28" customFormat="1" ht="21" customHeight="1">
      <c r="A500" s="88"/>
      <c r="B500" s="302"/>
      <c r="C500" s="88">
        <v>3250</v>
      </c>
      <c r="D500" s="43" t="s">
        <v>467</v>
      </c>
      <c r="E500" s="84">
        <v>50000</v>
      </c>
      <c r="F500" s="84">
        <v>47660</v>
      </c>
      <c r="G500" s="84">
        <v>20610</v>
      </c>
      <c r="H500" s="203">
        <f t="shared" si="7"/>
        <v>43.24381032312212</v>
      </c>
    </row>
    <row r="501" spans="1:8" s="28" customFormat="1" ht="21" customHeight="1">
      <c r="A501" s="88"/>
      <c r="B501" s="302"/>
      <c r="C501" s="88">
        <v>4110</v>
      </c>
      <c r="D501" s="43" t="s">
        <v>82</v>
      </c>
      <c r="E501" s="84">
        <v>1000</v>
      </c>
      <c r="F501" s="84">
        <v>1000</v>
      </c>
      <c r="G501" s="84">
        <v>846.46</v>
      </c>
      <c r="H501" s="203">
        <f t="shared" si="7"/>
        <v>84.646</v>
      </c>
    </row>
    <row r="502" spans="1:8" s="28" customFormat="1" ht="21" customHeight="1">
      <c r="A502" s="88"/>
      <c r="B502" s="302"/>
      <c r="C502" s="88">
        <v>4120</v>
      </c>
      <c r="D502" s="43" t="s">
        <v>83</v>
      </c>
      <c r="E502" s="84">
        <v>100</v>
      </c>
      <c r="F502" s="84">
        <v>100</v>
      </c>
      <c r="G502" s="84">
        <v>40.82</v>
      </c>
      <c r="H502" s="203">
        <f t="shared" si="7"/>
        <v>40.82</v>
      </c>
    </row>
    <row r="503" spans="1:8" s="28" customFormat="1" ht="21" customHeight="1">
      <c r="A503" s="88"/>
      <c r="B503" s="302"/>
      <c r="C503" s="88">
        <v>4170</v>
      </c>
      <c r="D503" s="43" t="s">
        <v>468</v>
      </c>
      <c r="E503" s="84">
        <v>38900</v>
      </c>
      <c r="F503" s="84">
        <v>38900</v>
      </c>
      <c r="G503" s="84">
        <v>25432</v>
      </c>
      <c r="H503" s="203">
        <f t="shared" si="7"/>
        <v>65.37789203084833</v>
      </c>
    </row>
    <row r="504" spans="1:8" s="28" customFormat="1" ht="21" customHeight="1">
      <c r="A504" s="88"/>
      <c r="B504" s="85"/>
      <c r="C504" s="71">
        <v>4210</v>
      </c>
      <c r="D504" s="43" t="s">
        <v>87</v>
      </c>
      <c r="E504" s="84">
        <v>21090</v>
      </c>
      <c r="F504" s="84">
        <v>18860</v>
      </c>
      <c r="G504" s="84">
        <v>18709.31</v>
      </c>
      <c r="H504" s="203">
        <f t="shared" si="7"/>
        <v>99.20100742311772</v>
      </c>
    </row>
    <row r="505" spans="1:8" s="28" customFormat="1" ht="21" customHeight="1">
      <c r="A505" s="88"/>
      <c r="B505" s="85"/>
      <c r="C505" s="71">
        <v>4260</v>
      </c>
      <c r="D505" s="43" t="s">
        <v>89</v>
      </c>
      <c r="E505" s="84">
        <v>1100</v>
      </c>
      <c r="F505" s="84">
        <v>1068</v>
      </c>
      <c r="G505" s="84">
        <v>412.2</v>
      </c>
      <c r="H505" s="203">
        <f t="shared" si="7"/>
        <v>38.59550561797753</v>
      </c>
    </row>
    <row r="506" spans="1:8" s="28" customFormat="1" ht="21" customHeight="1">
      <c r="A506" s="88"/>
      <c r="B506" s="85"/>
      <c r="C506" s="88">
        <v>4300</v>
      </c>
      <c r="D506" s="301" t="s">
        <v>76</v>
      </c>
      <c r="E506" s="84">
        <v>16100</v>
      </c>
      <c r="F506" s="84">
        <v>17613</v>
      </c>
      <c r="G506" s="84">
        <v>17606.94</v>
      </c>
      <c r="H506" s="203">
        <f t="shared" si="7"/>
        <v>99.96559359563958</v>
      </c>
    </row>
    <row r="507" spans="1:8" s="9" customFormat="1" ht="24.75" customHeight="1">
      <c r="A507" s="12"/>
      <c r="B507" s="12"/>
      <c r="C507" s="12"/>
      <c r="D507" s="41" t="s">
        <v>67</v>
      </c>
      <c r="E507" s="288">
        <f>SUM(E489,E472,E442,E416,E341,E325,E219,E215,E212,E202,E160,E141,E65,E57,E35,E26,E8,E402)</f>
        <v>67149276</v>
      </c>
      <c r="F507" s="288">
        <f>SUM(F489,F472,F442,F416,F341,F325,F219,F215,F212,F202,F160,F141,F65,F57,F35,F26,F8,F402)</f>
        <v>67412910</v>
      </c>
      <c r="G507" s="288">
        <f>SUM(G489,G472,G442,G416,G341,G325,G219,G215,G212,G202,G160,G141,G65,G57,G35,G26,G8,G402)</f>
        <v>61367394.039999984</v>
      </c>
      <c r="H507" s="202">
        <f t="shared" si="7"/>
        <v>91.03210948763373</v>
      </c>
    </row>
    <row r="508" spans="1:7" ht="12.75">
      <c r="A508" s="67"/>
      <c r="B508" s="67"/>
      <c r="C508" s="67"/>
      <c r="D508" s="67"/>
      <c r="E508" s="303"/>
      <c r="F508" s="303"/>
      <c r="G508" s="303"/>
    </row>
    <row r="509" spans="4:7" ht="12.75">
      <c r="D509" s="67"/>
      <c r="E509" s="303"/>
      <c r="F509" s="304"/>
      <c r="G509" s="304"/>
    </row>
    <row r="510" spans="4:7" ht="12.75">
      <c r="D510" s="67"/>
      <c r="E510" s="303"/>
      <c r="F510" s="307"/>
      <c r="G510" s="307"/>
    </row>
    <row r="511" spans="4:7" ht="12.75">
      <c r="D511" s="67"/>
      <c r="E511" s="303"/>
      <c r="F511" s="307"/>
      <c r="G511" s="307"/>
    </row>
    <row r="512" spans="4:7" ht="12.75">
      <c r="D512" s="67"/>
      <c r="E512" s="303"/>
      <c r="F512" s="307"/>
      <c r="G512" s="307"/>
    </row>
    <row r="513" spans="4:7" ht="12.75">
      <c r="D513" s="67"/>
      <c r="E513" s="303"/>
      <c r="F513" s="304"/>
      <c r="G513" s="304"/>
    </row>
    <row r="514" spans="4:7" ht="12.75">
      <c r="D514" s="67"/>
      <c r="E514" s="304"/>
      <c r="F514" s="305"/>
      <c r="G514" s="305"/>
    </row>
    <row r="515" spans="4:7" ht="12.75">
      <c r="D515" s="67"/>
      <c r="E515" s="304"/>
      <c r="F515" s="306"/>
      <c r="G515" s="306"/>
    </row>
    <row r="516" spans="4:7" ht="12.75">
      <c r="D516" s="67"/>
      <c r="E516" s="307"/>
      <c r="F516" s="308"/>
      <c r="G516" s="308"/>
    </row>
    <row r="517" spans="4:7" ht="12.75">
      <c r="D517" s="67"/>
      <c r="E517" s="307"/>
      <c r="F517" s="308"/>
      <c r="G517" s="308"/>
    </row>
    <row r="518" spans="4:7" ht="12.75">
      <c r="D518" s="67"/>
      <c r="E518" s="307"/>
      <c r="F518" s="308"/>
      <c r="G518" s="308"/>
    </row>
    <row r="519" spans="4:7" ht="12.75">
      <c r="D519" s="67"/>
      <c r="E519" s="307"/>
      <c r="F519" s="308"/>
      <c r="G519" s="308"/>
    </row>
    <row r="520" spans="4:7" ht="12.75">
      <c r="D520" s="67"/>
      <c r="E520" s="307"/>
      <c r="F520" s="308"/>
      <c r="G520" s="308"/>
    </row>
    <row r="521" spans="4:7" ht="12.75">
      <c r="D521" s="67"/>
      <c r="E521" s="307"/>
      <c r="F521" s="308"/>
      <c r="G521" s="308"/>
    </row>
    <row r="522" spans="4:7" ht="12.75">
      <c r="D522" s="67"/>
      <c r="E522" s="307"/>
      <c r="F522" s="308"/>
      <c r="G522" s="308"/>
    </row>
    <row r="523" spans="4:7" ht="12.75">
      <c r="D523" s="67"/>
      <c r="E523" s="307"/>
      <c r="F523" s="308"/>
      <c r="G523" s="308"/>
    </row>
    <row r="524" spans="4:7" ht="12.75">
      <c r="D524" s="67"/>
      <c r="E524" s="304"/>
      <c r="F524" s="306"/>
      <c r="G524" s="306"/>
    </row>
    <row r="525" spans="4:7" ht="12.75">
      <c r="D525" s="67"/>
      <c r="E525" s="304"/>
      <c r="F525" s="305"/>
      <c r="G525" s="305"/>
    </row>
    <row r="526" spans="4:7" ht="12.75">
      <c r="D526" s="67"/>
      <c r="E526" s="304"/>
      <c r="F526" s="305"/>
      <c r="G526" s="305"/>
    </row>
    <row r="527" spans="4:7" ht="12.75">
      <c r="D527" s="67"/>
      <c r="E527" s="304"/>
      <c r="F527" s="305"/>
      <c r="G527" s="305"/>
    </row>
    <row r="528" spans="4:7" ht="12.75">
      <c r="D528" s="67"/>
      <c r="E528" s="304"/>
      <c r="F528" s="305"/>
      <c r="G528" s="305"/>
    </row>
    <row r="529" spans="4:7" ht="12.75">
      <c r="D529" s="67"/>
      <c r="E529" s="304"/>
      <c r="F529" s="305"/>
      <c r="G529" s="305"/>
    </row>
    <row r="530" spans="4:7" ht="12.75">
      <c r="D530" s="67"/>
      <c r="E530" s="304"/>
      <c r="F530" s="305"/>
      <c r="G530" s="305"/>
    </row>
    <row r="531" spans="4:7" ht="12.75">
      <c r="D531" s="67"/>
      <c r="E531" s="304"/>
      <c r="F531" s="305"/>
      <c r="G531" s="305"/>
    </row>
    <row r="532" spans="4:7" ht="12.75">
      <c r="D532" s="67"/>
      <c r="E532" s="304"/>
      <c r="F532" s="305"/>
      <c r="G532" s="305"/>
    </row>
    <row r="533" spans="4:7" ht="12.75">
      <c r="D533" s="67"/>
      <c r="E533" s="304"/>
      <c r="F533" s="305"/>
      <c r="G533" s="305"/>
    </row>
    <row r="534" spans="4:7" ht="12.75">
      <c r="D534" s="67"/>
      <c r="E534" s="304"/>
      <c r="F534" s="305"/>
      <c r="G534" s="305"/>
    </row>
    <row r="535" spans="4:7" ht="12.75">
      <c r="D535" s="67"/>
      <c r="E535" s="304"/>
      <c r="F535" s="305"/>
      <c r="G535" s="305"/>
    </row>
    <row r="536" spans="4:7" ht="12.75">
      <c r="D536" s="67"/>
      <c r="E536" s="304"/>
      <c r="F536" s="306"/>
      <c r="G536" s="306"/>
    </row>
    <row r="537" spans="4:7" ht="12.75">
      <c r="D537" s="67"/>
      <c r="E537" s="304"/>
      <c r="F537" s="305"/>
      <c r="G537" s="305"/>
    </row>
    <row r="538" spans="4:7" ht="12.75">
      <c r="D538" s="67"/>
      <c r="E538" s="307"/>
      <c r="F538" s="308"/>
      <c r="G538" s="308"/>
    </row>
    <row r="539" spans="4:7" ht="12.75">
      <c r="D539" s="67"/>
      <c r="E539" s="307"/>
      <c r="F539" s="308"/>
      <c r="G539" s="308"/>
    </row>
    <row r="540" spans="4:7" ht="12.75">
      <c r="D540" s="67"/>
      <c r="E540" s="307"/>
      <c r="F540" s="308"/>
      <c r="G540" s="308"/>
    </row>
    <row r="541" spans="4:7" ht="12.75">
      <c r="D541" s="67"/>
      <c r="E541" s="304"/>
      <c r="F541" s="305"/>
      <c r="G541" s="305"/>
    </row>
    <row r="542" spans="4:7" ht="12.75">
      <c r="D542" s="67"/>
      <c r="E542" s="307"/>
      <c r="F542" s="308"/>
      <c r="G542" s="308"/>
    </row>
    <row r="543" spans="4:7" ht="12.75">
      <c r="D543" s="67"/>
      <c r="E543" s="307"/>
      <c r="F543" s="308"/>
      <c r="G543" s="308"/>
    </row>
    <row r="544" spans="4:7" ht="12.75">
      <c r="D544" s="67"/>
      <c r="E544" s="307"/>
      <c r="F544" s="308"/>
      <c r="G544" s="308"/>
    </row>
    <row r="545" spans="4:7" ht="12.75">
      <c r="D545" s="67"/>
      <c r="E545" s="304"/>
      <c r="F545" s="305"/>
      <c r="G545" s="305"/>
    </row>
    <row r="546" spans="4:7" ht="12.75">
      <c r="D546" s="67"/>
      <c r="E546" s="304"/>
      <c r="F546" s="305"/>
      <c r="G546" s="305"/>
    </row>
    <row r="547" spans="4:7" ht="12.75">
      <c r="D547" s="67"/>
      <c r="E547" s="304"/>
      <c r="F547" s="305"/>
      <c r="G547" s="305"/>
    </row>
    <row r="548" spans="4:7" ht="12.75">
      <c r="D548" s="67"/>
      <c r="E548" s="304"/>
      <c r="F548" s="305"/>
      <c r="G548" s="305"/>
    </row>
    <row r="549" spans="4:7" ht="12.75">
      <c r="D549" s="67"/>
      <c r="E549" s="304"/>
      <c r="F549" s="305"/>
      <c r="G549" s="305"/>
    </row>
    <row r="550" spans="4:7" ht="12.75">
      <c r="D550" s="67"/>
      <c r="E550" s="304"/>
      <c r="F550" s="305"/>
      <c r="G550" s="305"/>
    </row>
    <row r="551" spans="4:7" ht="12.75">
      <c r="D551" s="67"/>
      <c r="E551" s="303"/>
      <c r="F551" s="309"/>
      <c r="G551" s="309"/>
    </row>
    <row r="552" spans="4:7" ht="12.75">
      <c r="D552" s="67"/>
      <c r="E552" s="303"/>
      <c r="F552" s="309"/>
      <c r="G552" s="309"/>
    </row>
    <row r="553" spans="1:8" s="27" customFormat="1" ht="19.5" customHeight="1">
      <c r="A553" s="310"/>
      <c r="B553" s="310"/>
      <c r="C553" s="310"/>
      <c r="D553" s="310"/>
      <c r="E553" s="311"/>
      <c r="F553" s="311"/>
      <c r="G553" s="311"/>
      <c r="H553" s="350"/>
    </row>
    <row r="554" spans="1:8" s="27" customFormat="1" ht="12.75">
      <c r="A554" s="310"/>
      <c r="B554" s="310"/>
      <c r="C554" s="310"/>
      <c r="D554" s="310"/>
      <c r="E554" s="311"/>
      <c r="F554" s="311"/>
      <c r="G554" s="311"/>
      <c r="H554" s="350"/>
    </row>
    <row r="555" spans="1:8" s="27" customFormat="1" ht="12.75">
      <c r="A555" s="310"/>
      <c r="B555" s="310"/>
      <c r="C555" s="310"/>
      <c r="D555" s="310"/>
      <c r="E555" s="311"/>
      <c r="F555" s="311"/>
      <c r="G555" s="311"/>
      <c r="H555" s="350"/>
    </row>
    <row r="556" spans="1:8" s="27" customFormat="1" ht="12.75">
      <c r="A556" s="310"/>
      <c r="B556" s="310"/>
      <c r="C556" s="310"/>
      <c r="D556" s="310"/>
      <c r="E556" s="311"/>
      <c r="F556" s="311"/>
      <c r="G556" s="311"/>
      <c r="H556" s="350"/>
    </row>
    <row r="557" spans="1:8" s="27" customFormat="1" ht="12.75">
      <c r="A557" s="310"/>
      <c r="B557" s="310"/>
      <c r="C557" s="310"/>
      <c r="D557" s="310"/>
      <c r="E557" s="311"/>
      <c r="F557" s="311"/>
      <c r="G557" s="311"/>
      <c r="H557" s="350"/>
    </row>
    <row r="558" spans="1:8" s="27" customFormat="1" ht="12.75">
      <c r="A558" s="310"/>
      <c r="B558" s="310"/>
      <c r="C558" s="310"/>
      <c r="D558" s="310"/>
      <c r="E558" s="311"/>
      <c r="F558" s="311"/>
      <c r="G558" s="311"/>
      <c r="H558" s="350"/>
    </row>
    <row r="559" spans="1:8" s="27" customFormat="1" ht="12.75">
      <c r="A559" s="310"/>
      <c r="B559" s="310"/>
      <c r="C559" s="310"/>
      <c r="D559" s="310"/>
      <c r="E559" s="311"/>
      <c r="F559" s="311"/>
      <c r="G559" s="311"/>
      <c r="H559" s="350"/>
    </row>
    <row r="560" spans="1:8" s="27" customFormat="1" ht="12.75">
      <c r="A560" s="310"/>
      <c r="B560" s="310"/>
      <c r="C560" s="310"/>
      <c r="D560" s="310"/>
      <c r="E560" s="311"/>
      <c r="F560" s="311"/>
      <c r="G560" s="311"/>
      <c r="H560" s="350"/>
    </row>
    <row r="561" spans="1:8" s="27" customFormat="1" ht="12.75">
      <c r="A561" s="310"/>
      <c r="B561" s="310"/>
      <c r="C561" s="310"/>
      <c r="D561" s="310"/>
      <c r="E561" s="311"/>
      <c r="F561" s="311"/>
      <c r="G561" s="311"/>
      <c r="H561" s="350"/>
    </row>
    <row r="562" spans="1:8" s="27" customFormat="1" ht="12.75">
      <c r="A562" s="310"/>
      <c r="B562" s="310"/>
      <c r="C562" s="310"/>
      <c r="D562" s="310"/>
      <c r="E562" s="311"/>
      <c r="F562" s="311"/>
      <c r="G562" s="311"/>
      <c r="H562" s="350"/>
    </row>
    <row r="563" spans="1:8" s="27" customFormat="1" ht="12.75">
      <c r="A563" s="310"/>
      <c r="B563" s="310"/>
      <c r="C563" s="310"/>
      <c r="D563" s="310"/>
      <c r="E563" s="311"/>
      <c r="F563" s="311"/>
      <c r="G563" s="311"/>
      <c r="H563" s="350"/>
    </row>
    <row r="564" spans="1:8" s="27" customFormat="1" ht="12.75">
      <c r="A564" s="310"/>
      <c r="B564" s="310"/>
      <c r="C564" s="310"/>
      <c r="D564" s="310"/>
      <c r="E564" s="311"/>
      <c r="F564" s="311"/>
      <c r="G564" s="311"/>
      <c r="H564" s="350"/>
    </row>
    <row r="565" spans="1:8" s="27" customFormat="1" ht="12.75">
      <c r="A565" s="310"/>
      <c r="B565" s="310"/>
      <c r="C565" s="310"/>
      <c r="D565" s="310"/>
      <c r="E565" s="311"/>
      <c r="F565" s="311"/>
      <c r="G565" s="311"/>
      <c r="H565" s="350"/>
    </row>
    <row r="566" spans="1:8" s="27" customFormat="1" ht="12.75">
      <c r="A566" s="310"/>
      <c r="B566" s="310"/>
      <c r="C566" s="310"/>
      <c r="D566" s="310"/>
      <c r="E566" s="311"/>
      <c r="F566" s="311"/>
      <c r="G566" s="311"/>
      <c r="H566" s="350"/>
    </row>
    <row r="567" spans="1:8" s="27" customFormat="1" ht="12.75">
      <c r="A567" s="310"/>
      <c r="B567" s="310"/>
      <c r="C567" s="310"/>
      <c r="D567" s="310"/>
      <c r="E567" s="311"/>
      <c r="F567" s="311"/>
      <c r="G567" s="311"/>
      <c r="H567" s="350"/>
    </row>
    <row r="568" spans="1:8" s="27" customFormat="1" ht="12.75">
      <c r="A568" s="310"/>
      <c r="B568" s="310"/>
      <c r="C568" s="310"/>
      <c r="D568" s="310"/>
      <c r="E568" s="311"/>
      <c r="F568" s="311"/>
      <c r="G568" s="311"/>
      <c r="H568" s="350"/>
    </row>
    <row r="569" spans="1:8" s="27" customFormat="1" ht="12.75">
      <c r="A569" s="310"/>
      <c r="B569" s="310"/>
      <c r="C569" s="310"/>
      <c r="D569" s="310"/>
      <c r="E569" s="311"/>
      <c r="F569" s="311"/>
      <c r="G569" s="311"/>
      <c r="H569" s="350"/>
    </row>
    <row r="570" spans="1:8" s="27" customFormat="1" ht="12.75">
      <c r="A570" s="310"/>
      <c r="B570" s="310"/>
      <c r="C570" s="310"/>
      <c r="D570" s="310"/>
      <c r="E570" s="311"/>
      <c r="F570" s="311"/>
      <c r="G570" s="311"/>
      <c r="H570" s="350"/>
    </row>
    <row r="571" spans="1:8" s="27" customFormat="1" ht="12.75">
      <c r="A571" s="310"/>
      <c r="B571" s="310"/>
      <c r="C571" s="310"/>
      <c r="D571" s="310"/>
      <c r="E571" s="311"/>
      <c r="F571" s="311"/>
      <c r="G571" s="311"/>
      <c r="H571" s="350"/>
    </row>
    <row r="572" spans="1:8" s="27" customFormat="1" ht="12.75">
      <c r="A572" s="310"/>
      <c r="B572" s="310"/>
      <c r="C572" s="310"/>
      <c r="D572" s="310"/>
      <c r="E572" s="311"/>
      <c r="F572" s="311"/>
      <c r="G572" s="311"/>
      <c r="H572" s="350"/>
    </row>
    <row r="573" spans="1:8" s="27" customFormat="1" ht="12.75">
      <c r="A573" s="310"/>
      <c r="B573" s="310"/>
      <c r="C573" s="310"/>
      <c r="D573" s="310"/>
      <c r="E573" s="311"/>
      <c r="F573" s="311"/>
      <c r="G573" s="311"/>
      <c r="H573" s="350"/>
    </row>
    <row r="574" spans="1:8" s="27" customFormat="1" ht="12.75">
      <c r="A574" s="310"/>
      <c r="B574" s="310"/>
      <c r="C574" s="310"/>
      <c r="D574" s="310"/>
      <c r="E574" s="311"/>
      <c r="F574" s="311"/>
      <c r="G574" s="311"/>
      <c r="H574" s="350"/>
    </row>
    <row r="575" spans="1:8" s="27" customFormat="1" ht="12.75">
      <c r="A575" s="310"/>
      <c r="B575" s="310"/>
      <c r="C575" s="310"/>
      <c r="D575" s="310"/>
      <c r="E575" s="311"/>
      <c r="F575" s="311"/>
      <c r="G575" s="311"/>
      <c r="H575" s="350"/>
    </row>
    <row r="576" spans="1:8" s="27" customFormat="1" ht="12.75">
      <c r="A576" s="310"/>
      <c r="B576" s="310"/>
      <c r="C576" s="310"/>
      <c r="D576" s="310"/>
      <c r="E576" s="311"/>
      <c r="F576" s="311"/>
      <c r="G576" s="311"/>
      <c r="H576" s="350"/>
    </row>
    <row r="577" spans="1:8" s="27" customFormat="1" ht="12.75">
      <c r="A577" s="310"/>
      <c r="B577" s="310"/>
      <c r="C577" s="310"/>
      <c r="D577" s="310"/>
      <c r="E577" s="311"/>
      <c r="F577" s="311"/>
      <c r="G577" s="311"/>
      <c r="H577" s="350"/>
    </row>
    <row r="578" spans="1:8" s="27" customFormat="1" ht="12.75">
      <c r="A578" s="310"/>
      <c r="B578" s="310"/>
      <c r="C578" s="310"/>
      <c r="D578" s="310"/>
      <c r="E578" s="311"/>
      <c r="F578" s="311"/>
      <c r="G578" s="311"/>
      <c r="H578" s="350"/>
    </row>
    <row r="579" spans="1:8" s="27" customFormat="1" ht="12.75">
      <c r="A579" s="310"/>
      <c r="B579" s="310"/>
      <c r="C579" s="310"/>
      <c r="D579" s="310"/>
      <c r="E579" s="311"/>
      <c r="F579" s="311"/>
      <c r="G579" s="311"/>
      <c r="H579" s="350"/>
    </row>
    <row r="580" spans="1:8" s="27" customFormat="1" ht="12.75">
      <c r="A580" s="310"/>
      <c r="B580" s="310"/>
      <c r="C580" s="310"/>
      <c r="D580" s="310"/>
      <c r="E580" s="311"/>
      <c r="F580" s="311"/>
      <c r="G580" s="311"/>
      <c r="H580" s="350"/>
    </row>
    <row r="581" spans="1:8" s="27" customFormat="1" ht="12.75">
      <c r="A581" s="310"/>
      <c r="B581" s="310"/>
      <c r="C581" s="310"/>
      <c r="D581" s="310"/>
      <c r="E581" s="311"/>
      <c r="F581" s="311"/>
      <c r="G581" s="311"/>
      <c r="H581" s="350"/>
    </row>
    <row r="582" spans="1:8" s="27" customFormat="1" ht="12.75">
      <c r="A582" s="310"/>
      <c r="B582" s="310"/>
      <c r="C582" s="310"/>
      <c r="D582" s="310"/>
      <c r="E582" s="311"/>
      <c r="F582" s="311"/>
      <c r="G582" s="311"/>
      <c r="H582" s="350"/>
    </row>
    <row r="583" spans="1:8" s="27" customFormat="1" ht="12.75">
      <c r="A583" s="310"/>
      <c r="B583" s="310"/>
      <c r="C583" s="310"/>
      <c r="D583" s="310"/>
      <c r="E583" s="311"/>
      <c r="F583" s="311"/>
      <c r="G583" s="311"/>
      <c r="H583" s="350"/>
    </row>
    <row r="584" spans="1:8" s="27" customFormat="1" ht="12.75">
      <c r="A584" s="310"/>
      <c r="B584" s="310"/>
      <c r="C584" s="310"/>
      <c r="D584" s="310"/>
      <c r="E584" s="311"/>
      <c r="F584" s="311"/>
      <c r="G584" s="311"/>
      <c r="H584" s="350"/>
    </row>
    <row r="585" spans="1:8" s="27" customFormat="1" ht="12.75">
      <c r="A585" s="310"/>
      <c r="B585" s="310"/>
      <c r="C585" s="310"/>
      <c r="D585" s="310"/>
      <c r="E585" s="311"/>
      <c r="F585" s="311"/>
      <c r="G585" s="311"/>
      <c r="H585" s="350"/>
    </row>
    <row r="586" spans="1:8" s="27" customFormat="1" ht="12.75">
      <c r="A586" s="310"/>
      <c r="B586" s="310"/>
      <c r="C586" s="310"/>
      <c r="D586" s="310"/>
      <c r="E586" s="311"/>
      <c r="F586" s="311"/>
      <c r="G586" s="311"/>
      <c r="H586" s="350"/>
    </row>
    <row r="587" spans="1:8" s="27" customFormat="1" ht="12.75">
      <c r="A587" s="310"/>
      <c r="B587" s="310"/>
      <c r="C587" s="310"/>
      <c r="D587" s="310"/>
      <c r="E587" s="311"/>
      <c r="F587" s="311"/>
      <c r="G587" s="311"/>
      <c r="H587" s="350"/>
    </row>
    <row r="588" spans="1:8" s="27" customFormat="1" ht="12.75">
      <c r="A588" s="310"/>
      <c r="B588" s="310"/>
      <c r="C588" s="310"/>
      <c r="D588" s="310"/>
      <c r="E588" s="311"/>
      <c r="F588" s="311"/>
      <c r="G588" s="311"/>
      <c r="H588" s="350"/>
    </row>
    <row r="589" spans="1:8" s="27" customFormat="1" ht="12.75">
      <c r="A589" s="310"/>
      <c r="B589" s="310"/>
      <c r="C589" s="310"/>
      <c r="D589" s="310"/>
      <c r="E589" s="311"/>
      <c r="F589" s="311"/>
      <c r="G589" s="311"/>
      <c r="H589" s="350"/>
    </row>
    <row r="590" spans="1:8" s="27" customFormat="1" ht="12.75">
      <c r="A590" s="310"/>
      <c r="B590" s="310"/>
      <c r="C590" s="310"/>
      <c r="D590" s="310"/>
      <c r="E590" s="311"/>
      <c r="F590" s="311"/>
      <c r="G590" s="311"/>
      <c r="H590" s="350"/>
    </row>
    <row r="591" spans="1:8" s="27" customFormat="1" ht="12.75">
      <c r="A591" s="310"/>
      <c r="B591" s="310"/>
      <c r="C591" s="310"/>
      <c r="D591" s="310"/>
      <c r="E591" s="311"/>
      <c r="F591" s="311"/>
      <c r="G591" s="311"/>
      <c r="H591" s="350"/>
    </row>
    <row r="592" spans="1:8" s="27" customFormat="1" ht="12.75">
      <c r="A592" s="310"/>
      <c r="B592" s="310"/>
      <c r="C592" s="310"/>
      <c r="D592" s="310"/>
      <c r="E592" s="311"/>
      <c r="F592" s="311"/>
      <c r="G592" s="311"/>
      <c r="H592" s="350"/>
    </row>
    <row r="593" spans="1:8" s="27" customFormat="1" ht="12.75">
      <c r="A593" s="312"/>
      <c r="B593" s="312"/>
      <c r="C593" s="310"/>
      <c r="D593" s="310"/>
      <c r="E593" s="311"/>
      <c r="F593" s="311"/>
      <c r="G593" s="311"/>
      <c r="H593" s="350"/>
    </row>
    <row r="594" spans="1:8" s="27" customFormat="1" ht="12.75">
      <c r="A594" s="313"/>
      <c r="B594" s="313"/>
      <c r="C594" s="310"/>
      <c r="D594" s="310"/>
      <c r="E594" s="311"/>
      <c r="F594" s="311"/>
      <c r="G594" s="311"/>
      <c r="H594" s="350"/>
    </row>
    <row r="595" spans="1:8" s="27" customFormat="1" ht="12.75">
      <c r="A595" s="313"/>
      <c r="B595" s="313"/>
      <c r="C595" s="310"/>
      <c r="D595" s="310"/>
      <c r="E595" s="311"/>
      <c r="F595" s="311"/>
      <c r="G595" s="311"/>
      <c r="H595" s="350"/>
    </row>
    <row r="596" spans="1:8" s="27" customFormat="1" ht="12.75">
      <c r="A596" s="313"/>
      <c r="B596" s="313"/>
      <c r="C596" s="310"/>
      <c r="D596" s="310"/>
      <c r="E596" s="311"/>
      <c r="F596" s="311"/>
      <c r="G596" s="311"/>
      <c r="H596" s="350"/>
    </row>
    <row r="597" spans="1:8" s="27" customFormat="1" ht="12.75">
      <c r="A597" s="313"/>
      <c r="B597" s="313"/>
      <c r="C597" s="310"/>
      <c r="D597" s="314"/>
      <c r="E597" s="311"/>
      <c r="F597" s="311"/>
      <c r="G597" s="311"/>
      <c r="H597" s="350"/>
    </row>
    <row r="598" spans="1:8" s="27" customFormat="1" ht="12.75">
      <c r="A598" s="313"/>
      <c r="B598" s="313"/>
      <c r="C598" s="310"/>
      <c r="D598" s="314"/>
      <c r="E598" s="311"/>
      <c r="F598" s="311"/>
      <c r="G598" s="311"/>
      <c r="H598" s="350"/>
    </row>
    <row r="599" spans="1:8" s="27" customFormat="1" ht="12.75">
      <c r="A599" s="313"/>
      <c r="B599" s="313"/>
      <c r="C599" s="310"/>
      <c r="D599" s="310"/>
      <c r="E599" s="311"/>
      <c r="F599" s="311"/>
      <c r="G599" s="311"/>
      <c r="H599" s="350"/>
    </row>
    <row r="600" spans="1:8" s="27" customFormat="1" ht="12.75">
      <c r="A600" s="313"/>
      <c r="B600" s="313"/>
      <c r="C600" s="310"/>
      <c r="D600" s="314"/>
      <c r="E600" s="311"/>
      <c r="F600" s="311"/>
      <c r="G600" s="311"/>
      <c r="H600" s="350"/>
    </row>
    <row r="601" spans="1:8" s="27" customFormat="1" ht="12.75">
      <c r="A601" s="313"/>
      <c r="B601" s="313"/>
      <c r="C601" s="310"/>
      <c r="D601" s="314"/>
      <c r="E601" s="311"/>
      <c r="F601" s="311"/>
      <c r="G601" s="311"/>
      <c r="H601" s="350"/>
    </row>
    <row r="602" spans="1:8" s="27" customFormat="1" ht="12.75">
      <c r="A602" s="313"/>
      <c r="B602" s="313"/>
      <c r="C602" s="310"/>
      <c r="D602" s="310"/>
      <c r="E602" s="311"/>
      <c r="F602" s="311"/>
      <c r="G602" s="311"/>
      <c r="H602" s="350"/>
    </row>
    <row r="603" spans="1:8" s="27" customFormat="1" ht="12.75">
      <c r="A603" s="313"/>
      <c r="B603" s="313"/>
      <c r="C603" s="310"/>
      <c r="D603" s="314"/>
      <c r="E603" s="311"/>
      <c r="F603" s="311"/>
      <c r="G603" s="311"/>
      <c r="H603" s="350"/>
    </row>
    <row r="604" spans="1:8" s="27" customFormat="1" ht="12.75">
      <c r="A604" s="313"/>
      <c r="B604" s="313"/>
      <c r="C604" s="310"/>
      <c r="D604" s="314"/>
      <c r="E604" s="311"/>
      <c r="F604" s="311"/>
      <c r="G604" s="311"/>
      <c r="H604" s="350"/>
    </row>
    <row r="605" spans="1:8" s="27" customFormat="1" ht="12.75">
      <c r="A605" s="313"/>
      <c r="B605" s="313"/>
      <c r="C605" s="310"/>
      <c r="D605" s="310"/>
      <c r="E605" s="311"/>
      <c r="F605" s="311"/>
      <c r="G605" s="311"/>
      <c r="H605" s="350"/>
    </row>
    <row r="606" spans="1:8" s="27" customFormat="1" ht="12.75">
      <c r="A606" s="310"/>
      <c r="B606" s="310"/>
      <c r="C606" s="310"/>
      <c r="D606" s="310"/>
      <c r="E606" s="311"/>
      <c r="F606" s="311"/>
      <c r="G606" s="311"/>
      <c r="H606" s="350"/>
    </row>
    <row r="607" spans="1:8" s="27" customFormat="1" ht="12.75">
      <c r="A607" s="310"/>
      <c r="B607" s="310"/>
      <c r="C607" s="310"/>
      <c r="D607" s="310"/>
      <c r="E607" s="311"/>
      <c r="F607" s="311"/>
      <c r="G607" s="311"/>
      <c r="H607" s="350"/>
    </row>
    <row r="608" spans="1:8" s="27" customFormat="1" ht="12.75">
      <c r="A608" s="310"/>
      <c r="B608" s="310"/>
      <c r="C608" s="310"/>
      <c r="D608" s="310"/>
      <c r="E608" s="311"/>
      <c r="F608" s="311"/>
      <c r="G608" s="311"/>
      <c r="H608" s="350"/>
    </row>
    <row r="609" spans="1:8" s="27" customFormat="1" ht="12.75">
      <c r="A609" s="310"/>
      <c r="B609" s="310"/>
      <c r="C609" s="310"/>
      <c r="D609" s="314"/>
      <c r="E609" s="311"/>
      <c r="F609" s="311"/>
      <c r="G609" s="311"/>
      <c r="H609" s="350"/>
    </row>
    <row r="610" spans="1:8" s="27" customFormat="1" ht="12.75">
      <c r="A610" s="310"/>
      <c r="B610" s="310"/>
      <c r="C610" s="310"/>
      <c r="D610" s="310"/>
      <c r="E610" s="311"/>
      <c r="F610" s="311"/>
      <c r="G610" s="311"/>
      <c r="H610" s="350"/>
    </row>
    <row r="611" spans="1:8" s="27" customFormat="1" ht="12.75">
      <c r="A611" s="310"/>
      <c r="B611" s="310"/>
      <c r="C611" s="310"/>
      <c r="D611" s="314"/>
      <c r="E611" s="311"/>
      <c r="F611" s="311"/>
      <c r="G611" s="311"/>
      <c r="H611" s="350"/>
    </row>
    <row r="612" spans="1:8" s="27" customFormat="1" ht="12.75">
      <c r="A612" s="310"/>
      <c r="B612" s="310"/>
      <c r="C612" s="310"/>
      <c r="D612" s="314"/>
      <c r="E612" s="311"/>
      <c r="F612" s="311"/>
      <c r="G612" s="311"/>
      <c r="H612" s="350"/>
    </row>
    <row r="613" spans="1:8" s="27" customFormat="1" ht="12.75">
      <c r="A613" s="310"/>
      <c r="B613" s="310"/>
      <c r="C613" s="310"/>
      <c r="D613" s="314"/>
      <c r="E613" s="311"/>
      <c r="F613" s="311"/>
      <c r="G613" s="311"/>
      <c r="H613" s="350"/>
    </row>
    <row r="614" spans="1:8" s="27" customFormat="1" ht="12.75">
      <c r="A614" s="310"/>
      <c r="B614" s="310"/>
      <c r="C614" s="310"/>
      <c r="D614" s="310"/>
      <c r="E614" s="311"/>
      <c r="F614" s="311"/>
      <c r="G614" s="311"/>
      <c r="H614" s="350"/>
    </row>
    <row r="615" spans="1:8" s="27" customFormat="1" ht="12.75">
      <c r="A615" s="310"/>
      <c r="B615" s="310"/>
      <c r="C615" s="310"/>
      <c r="D615" s="310"/>
      <c r="E615" s="311"/>
      <c r="F615" s="311"/>
      <c r="G615" s="311"/>
      <c r="H615" s="350"/>
    </row>
    <row r="616" spans="1:8" s="27" customFormat="1" ht="12.75">
      <c r="A616" s="310"/>
      <c r="B616" s="310"/>
      <c r="C616" s="310"/>
      <c r="D616" s="310"/>
      <c r="E616" s="311"/>
      <c r="F616" s="311"/>
      <c r="G616" s="311"/>
      <c r="H616" s="350"/>
    </row>
    <row r="617" spans="1:8" s="27" customFormat="1" ht="12.75">
      <c r="A617" s="310"/>
      <c r="B617" s="310"/>
      <c r="C617" s="310"/>
      <c r="D617" s="310"/>
      <c r="E617" s="311"/>
      <c r="F617" s="311"/>
      <c r="G617" s="311"/>
      <c r="H617" s="350"/>
    </row>
    <row r="618" spans="1:8" s="27" customFormat="1" ht="12.75">
      <c r="A618" s="310"/>
      <c r="B618" s="310"/>
      <c r="C618" s="310"/>
      <c r="D618" s="310"/>
      <c r="E618" s="311"/>
      <c r="F618" s="311"/>
      <c r="G618" s="311"/>
      <c r="H618" s="350"/>
    </row>
    <row r="619" spans="1:8" s="27" customFormat="1" ht="12.75">
      <c r="A619" s="310"/>
      <c r="B619" s="310"/>
      <c r="C619" s="310"/>
      <c r="D619" s="310"/>
      <c r="E619" s="311"/>
      <c r="F619" s="311"/>
      <c r="G619" s="311"/>
      <c r="H619" s="350"/>
    </row>
    <row r="620" spans="1:8" s="27" customFormat="1" ht="12.75">
      <c r="A620" s="310"/>
      <c r="B620" s="310"/>
      <c r="C620" s="310"/>
      <c r="D620" s="310"/>
      <c r="E620" s="311"/>
      <c r="F620" s="311"/>
      <c r="G620" s="311"/>
      <c r="H620" s="350"/>
    </row>
    <row r="621" spans="1:8" s="27" customFormat="1" ht="12.75">
      <c r="A621" s="310"/>
      <c r="B621" s="310"/>
      <c r="C621" s="310"/>
      <c r="D621" s="310"/>
      <c r="E621" s="311"/>
      <c r="F621" s="311"/>
      <c r="G621" s="311"/>
      <c r="H621" s="350"/>
    </row>
    <row r="622" spans="1:8" s="27" customFormat="1" ht="12.75">
      <c r="A622" s="310"/>
      <c r="B622" s="310"/>
      <c r="C622" s="310"/>
      <c r="D622" s="310"/>
      <c r="E622" s="311"/>
      <c r="F622" s="311"/>
      <c r="G622" s="311"/>
      <c r="H622" s="350"/>
    </row>
    <row r="623" spans="1:8" s="27" customFormat="1" ht="12.75">
      <c r="A623" s="310"/>
      <c r="B623" s="310"/>
      <c r="C623" s="310"/>
      <c r="D623" s="310"/>
      <c r="E623" s="311"/>
      <c r="F623" s="311"/>
      <c r="G623" s="311"/>
      <c r="H623" s="350"/>
    </row>
    <row r="624" spans="1:8" s="27" customFormat="1" ht="12.75">
      <c r="A624" s="310"/>
      <c r="B624" s="310"/>
      <c r="C624" s="310"/>
      <c r="D624" s="310"/>
      <c r="E624" s="311"/>
      <c r="F624" s="311"/>
      <c r="G624" s="311"/>
      <c r="H624" s="350"/>
    </row>
    <row r="625" spans="1:8" s="27" customFormat="1" ht="12.75">
      <c r="A625" s="310"/>
      <c r="B625" s="310"/>
      <c r="C625" s="310"/>
      <c r="D625" s="310"/>
      <c r="E625" s="311"/>
      <c r="F625" s="311"/>
      <c r="G625" s="311"/>
      <c r="H625" s="350"/>
    </row>
    <row r="626" spans="1:8" s="27" customFormat="1" ht="12.75">
      <c r="A626" s="310"/>
      <c r="B626" s="310"/>
      <c r="C626" s="310"/>
      <c r="D626" s="310"/>
      <c r="E626" s="311"/>
      <c r="F626" s="311"/>
      <c r="G626" s="311"/>
      <c r="H626" s="350"/>
    </row>
    <row r="627" spans="1:8" s="27" customFormat="1" ht="12.75">
      <c r="A627" s="310"/>
      <c r="B627" s="310"/>
      <c r="C627" s="310"/>
      <c r="D627" s="310"/>
      <c r="E627" s="311"/>
      <c r="F627" s="311"/>
      <c r="G627" s="311"/>
      <c r="H627" s="350"/>
    </row>
    <row r="628" spans="1:8" s="27" customFormat="1" ht="12.75">
      <c r="A628" s="310"/>
      <c r="B628" s="310"/>
      <c r="C628" s="310"/>
      <c r="D628" s="310"/>
      <c r="E628" s="311"/>
      <c r="F628" s="311"/>
      <c r="G628" s="311"/>
      <c r="H628" s="350"/>
    </row>
    <row r="629" spans="1:8" s="27" customFormat="1" ht="12.75">
      <c r="A629" s="310"/>
      <c r="B629" s="310"/>
      <c r="C629" s="310"/>
      <c r="D629" s="310"/>
      <c r="E629" s="311"/>
      <c r="F629" s="311"/>
      <c r="G629" s="311"/>
      <c r="H629" s="350"/>
    </row>
    <row r="630" spans="1:8" s="27" customFormat="1" ht="12.75">
      <c r="A630" s="313"/>
      <c r="B630" s="313"/>
      <c r="C630" s="310"/>
      <c r="D630" s="310"/>
      <c r="E630" s="311"/>
      <c r="F630" s="311"/>
      <c r="G630" s="311"/>
      <c r="H630" s="350"/>
    </row>
    <row r="631" spans="1:8" s="27" customFormat="1" ht="12.75">
      <c r="A631" s="310"/>
      <c r="B631" s="310"/>
      <c r="C631" s="310"/>
      <c r="D631" s="310"/>
      <c r="E631" s="311"/>
      <c r="F631" s="311"/>
      <c r="G631" s="311"/>
      <c r="H631" s="350"/>
    </row>
    <row r="632" spans="1:8" s="27" customFormat="1" ht="12.75">
      <c r="A632" s="310"/>
      <c r="B632" s="310"/>
      <c r="C632" s="310"/>
      <c r="D632" s="310"/>
      <c r="E632" s="311"/>
      <c r="F632" s="311"/>
      <c r="G632" s="311"/>
      <c r="H632" s="350"/>
    </row>
    <row r="633" spans="1:8" s="27" customFormat="1" ht="12.75">
      <c r="A633" s="310"/>
      <c r="B633" s="310"/>
      <c r="C633" s="310"/>
      <c r="D633" s="310"/>
      <c r="E633" s="311"/>
      <c r="F633" s="311"/>
      <c r="G633" s="311"/>
      <c r="H633" s="350"/>
    </row>
    <row r="634" spans="1:8" s="27" customFormat="1" ht="12.75">
      <c r="A634" s="310"/>
      <c r="B634" s="310"/>
      <c r="C634" s="310"/>
      <c r="D634" s="310"/>
      <c r="E634" s="311"/>
      <c r="F634" s="311"/>
      <c r="G634" s="311"/>
      <c r="H634" s="350"/>
    </row>
    <row r="635" spans="1:8" s="27" customFormat="1" ht="12.75">
      <c r="A635" s="310"/>
      <c r="B635" s="310"/>
      <c r="C635" s="310"/>
      <c r="D635" s="310"/>
      <c r="E635" s="311"/>
      <c r="F635" s="311"/>
      <c r="G635" s="311"/>
      <c r="H635" s="350"/>
    </row>
    <row r="636" spans="1:8" s="27" customFormat="1" ht="12.75">
      <c r="A636" s="310"/>
      <c r="B636" s="310"/>
      <c r="C636" s="310"/>
      <c r="D636" s="310"/>
      <c r="E636" s="311"/>
      <c r="F636" s="311"/>
      <c r="G636" s="311"/>
      <c r="H636" s="350"/>
    </row>
    <row r="637" spans="1:8" s="27" customFormat="1" ht="12.75">
      <c r="A637" s="313"/>
      <c r="B637" s="313"/>
      <c r="C637" s="310"/>
      <c r="D637" s="310"/>
      <c r="E637" s="311"/>
      <c r="F637" s="311"/>
      <c r="G637" s="311"/>
      <c r="H637" s="350"/>
    </row>
    <row r="638" spans="1:8" s="27" customFormat="1" ht="12.75">
      <c r="A638" s="313"/>
      <c r="B638" s="313"/>
      <c r="C638" s="310"/>
      <c r="D638" s="310"/>
      <c r="E638" s="311"/>
      <c r="F638" s="311"/>
      <c r="G638" s="311"/>
      <c r="H638" s="350"/>
    </row>
    <row r="639" spans="1:8" s="27" customFormat="1" ht="12.75">
      <c r="A639" s="313"/>
      <c r="B639" s="313"/>
      <c r="C639" s="310"/>
      <c r="D639" s="314"/>
      <c r="E639" s="311"/>
      <c r="F639" s="311"/>
      <c r="G639" s="311"/>
      <c r="H639" s="350"/>
    </row>
    <row r="640" spans="1:8" s="27" customFormat="1" ht="12.75">
      <c r="A640" s="313"/>
      <c r="B640" s="313"/>
      <c r="C640" s="310"/>
      <c r="D640" s="314"/>
      <c r="E640" s="311"/>
      <c r="F640" s="311"/>
      <c r="G640" s="311"/>
      <c r="H640" s="350"/>
    </row>
    <row r="641" spans="1:8" s="27" customFormat="1" ht="12.75">
      <c r="A641" s="313"/>
      <c r="B641" s="313"/>
      <c r="C641" s="310"/>
      <c r="D641" s="310"/>
      <c r="E641" s="311"/>
      <c r="F641" s="311"/>
      <c r="G641" s="311"/>
      <c r="H641" s="350"/>
    </row>
    <row r="642" spans="1:8" s="27" customFormat="1" ht="12.75">
      <c r="A642" s="313"/>
      <c r="B642" s="313"/>
      <c r="C642" s="310"/>
      <c r="D642" s="314"/>
      <c r="E642" s="311"/>
      <c r="F642" s="311"/>
      <c r="G642" s="311"/>
      <c r="H642" s="350"/>
    </row>
    <row r="643" spans="1:8" s="27" customFormat="1" ht="12.75">
      <c r="A643" s="313"/>
      <c r="B643" s="313"/>
      <c r="C643" s="310"/>
      <c r="D643" s="314"/>
      <c r="E643" s="311"/>
      <c r="F643" s="311"/>
      <c r="G643" s="311"/>
      <c r="H643" s="350"/>
    </row>
    <row r="644" spans="1:8" s="27" customFormat="1" ht="12.75">
      <c r="A644" s="313"/>
      <c r="B644" s="313"/>
      <c r="C644" s="310"/>
      <c r="D644" s="310"/>
      <c r="E644" s="311"/>
      <c r="F644" s="311"/>
      <c r="G644" s="311"/>
      <c r="H644" s="350"/>
    </row>
    <row r="645" spans="1:8" s="27" customFormat="1" ht="12.75">
      <c r="A645" s="313"/>
      <c r="B645" s="313"/>
      <c r="C645" s="310"/>
      <c r="D645" s="314"/>
      <c r="E645" s="311"/>
      <c r="F645" s="311"/>
      <c r="G645" s="311"/>
      <c r="H645" s="350"/>
    </row>
    <row r="646" spans="1:8" s="27" customFormat="1" ht="12.75">
      <c r="A646" s="313"/>
      <c r="B646" s="313"/>
      <c r="C646" s="310"/>
      <c r="D646" s="314"/>
      <c r="E646" s="311"/>
      <c r="F646" s="311"/>
      <c r="G646" s="311"/>
      <c r="H646" s="350"/>
    </row>
    <row r="647" spans="1:8" s="27" customFormat="1" ht="12.75">
      <c r="A647" s="313"/>
      <c r="B647" s="313"/>
      <c r="C647" s="310"/>
      <c r="D647" s="310"/>
      <c r="E647" s="311"/>
      <c r="F647" s="311"/>
      <c r="G647" s="311"/>
      <c r="H647" s="350"/>
    </row>
    <row r="648" spans="1:8" s="27" customFormat="1" ht="12.75">
      <c r="A648" s="310"/>
      <c r="B648" s="310"/>
      <c r="C648" s="310"/>
      <c r="D648" s="310"/>
      <c r="E648" s="311"/>
      <c r="F648" s="311"/>
      <c r="G648" s="311"/>
      <c r="H648" s="350"/>
    </row>
    <row r="649" spans="1:8" s="27" customFormat="1" ht="12.75">
      <c r="A649" s="310"/>
      <c r="B649" s="310"/>
      <c r="C649" s="310"/>
      <c r="D649" s="310"/>
      <c r="E649" s="311"/>
      <c r="F649" s="311"/>
      <c r="G649" s="311"/>
      <c r="H649" s="350"/>
    </row>
    <row r="650" spans="1:8" s="27" customFormat="1" ht="12.75">
      <c r="A650" s="310"/>
      <c r="B650" s="310"/>
      <c r="C650" s="310"/>
      <c r="D650" s="310"/>
      <c r="E650" s="311"/>
      <c r="F650" s="311"/>
      <c r="G650" s="311"/>
      <c r="H650" s="350"/>
    </row>
    <row r="651" spans="1:8" s="27" customFormat="1" ht="12.75">
      <c r="A651" s="310"/>
      <c r="B651" s="310"/>
      <c r="C651" s="310"/>
      <c r="D651" s="310"/>
      <c r="E651" s="311"/>
      <c r="F651" s="311"/>
      <c r="G651" s="311"/>
      <c r="H651" s="350"/>
    </row>
    <row r="652" spans="1:8" s="27" customFormat="1" ht="12.75">
      <c r="A652" s="310"/>
      <c r="B652" s="310"/>
      <c r="C652" s="310"/>
      <c r="D652" s="310"/>
      <c r="E652" s="311"/>
      <c r="F652" s="311"/>
      <c r="G652" s="311"/>
      <c r="H652" s="350"/>
    </row>
    <row r="653" spans="1:8" s="27" customFormat="1" ht="12.75">
      <c r="A653" s="310"/>
      <c r="B653" s="310"/>
      <c r="C653" s="310"/>
      <c r="D653" s="310"/>
      <c r="E653" s="311"/>
      <c r="F653" s="311"/>
      <c r="G653" s="311"/>
      <c r="H653" s="350"/>
    </row>
    <row r="654" spans="1:8" s="27" customFormat="1" ht="12.75">
      <c r="A654" s="310"/>
      <c r="B654" s="310"/>
      <c r="C654" s="310"/>
      <c r="D654" s="310"/>
      <c r="E654" s="311"/>
      <c r="F654" s="311"/>
      <c r="G654" s="311"/>
      <c r="H654" s="350"/>
    </row>
    <row r="655" spans="1:8" s="27" customFormat="1" ht="12.75">
      <c r="A655" s="310"/>
      <c r="B655" s="310"/>
      <c r="C655" s="310"/>
      <c r="D655" s="310"/>
      <c r="E655" s="311"/>
      <c r="F655" s="311"/>
      <c r="G655" s="311"/>
      <c r="H655" s="350"/>
    </row>
    <row r="656" spans="1:8" s="27" customFormat="1" ht="12.75">
      <c r="A656" s="310"/>
      <c r="B656" s="310"/>
      <c r="C656" s="310"/>
      <c r="D656" s="310"/>
      <c r="E656" s="311"/>
      <c r="F656" s="311"/>
      <c r="G656" s="311"/>
      <c r="H656" s="350"/>
    </row>
    <row r="657" spans="1:8" s="27" customFormat="1" ht="12.75">
      <c r="A657" s="310"/>
      <c r="B657" s="310"/>
      <c r="C657" s="310"/>
      <c r="D657" s="310"/>
      <c r="E657" s="311"/>
      <c r="F657" s="311"/>
      <c r="G657" s="311"/>
      <c r="H657" s="350"/>
    </row>
    <row r="658" spans="1:8" s="27" customFormat="1" ht="12.75">
      <c r="A658" s="310"/>
      <c r="B658" s="310"/>
      <c r="C658" s="310"/>
      <c r="D658" s="310"/>
      <c r="E658" s="311"/>
      <c r="F658" s="311"/>
      <c r="G658" s="311"/>
      <c r="H658" s="350"/>
    </row>
    <row r="659" spans="1:8" s="27" customFormat="1" ht="12.75">
      <c r="A659" s="310"/>
      <c r="B659" s="310"/>
      <c r="C659" s="310"/>
      <c r="D659" s="310"/>
      <c r="E659" s="311"/>
      <c r="F659" s="311"/>
      <c r="G659" s="311"/>
      <c r="H659" s="350"/>
    </row>
    <row r="660" spans="1:8" s="27" customFormat="1" ht="12.75">
      <c r="A660" s="310"/>
      <c r="B660" s="310"/>
      <c r="C660" s="310"/>
      <c r="D660" s="310"/>
      <c r="E660" s="311"/>
      <c r="F660" s="311"/>
      <c r="G660" s="311"/>
      <c r="H660" s="350"/>
    </row>
    <row r="661" spans="1:8" s="27" customFormat="1" ht="12.75">
      <c r="A661" s="310"/>
      <c r="B661" s="310"/>
      <c r="C661" s="310"/>
      <c r="D661" s="310"/>
      <c r="E661" s="311"/>
      <c r="F661" s="311"/>
      <c r="G661" s="311"/>
      <c r="H661" s="350"/>
    </row>
    <row r="662" spans="1:8" s="27" customFormat="1" ht="12.75">
      <c r="A662" s="310"/>
      <c r="B662" s="310"/>
      <c r="C662" s="310"/>
      <c r="D662" s="310"/>
      <c r="E662" s="311"/>
      <c r="F662" s="311"/>
      <c r="G662" s="311"/>
      <c r="H662" s="350"/>
    </row>
    <row r="663" spans="1:8" s="27" customFormat="1" ht="12.75">
      <c r="A663" s="310"/>
      <c r="B663" s="310"/>
      <c r="C663" s="310"/>
      <c r="D663" s="314"/>
      <c r="E663" s="311"/>
      <c r="F663" s="311"/>
      <c r="G663" s="311"/>
      <c r="H663" s="350"/>
    </row>
    <row r="664" spans="1:8" s="27" customFormat="1" ht="12.75">
      <c r="A664" s="310"/>
      <c r="B664" s="310"/>
      <c r="C664" s="310"/>
      <c r="D664" s="310"/>
      <c r="E664" s="311"/>
      <c r="F664" s="311"/>
      <c r="G664" s="311"/>
      <c r="H664" s="350"/>
    </row>
    <row r="665" spans="1:8" s="27" customFormat="1" ht="12.75">
      <c r="A665" s="310"/>
      <c r="B665" s="310"/>
      <c r="C665" s="310"/>
      <c r="D665" s="310"/>
      <c r="E665" s="311"/>
      <c r="F665" s="311"/>
      <c r="G665" s="311"/>
      <c r="H665" s="350"/>
    </row>
    <row r="666" spans="1:8" s="27" customFormat="1" ht="12.75">
      <c r="A666" s="310"/>
      <c r="B666" s="310"/>
      <c r="C666" s="310"/>
      <c r="D666" s="314"/>
      <c r="E666" s="311"/>
      <c r="F666" s="311"/>
      <c r="G666" s="311"/>
      <c r="H666" s="350"/>
    </row>
    <row r="667" spans="1:8" s="27" customFormat="1" ht="12.75">
      <c r="A667" s="310"/>
      <c r="B667" s="310"/>
      <c r="C667" s="310"/>
      <c r="D667" s="310"/>
      <c r="E667" s="311"/>
      <c r="F667" s="311"/>
      <c r="G667" s="311"/>
      <c r="H667" s="350"/>
    </row>
    <row r="668" spans="1:8" s="27" customFormat="1" ht="12.75">
      <c r="A668" s="310"/>
      <c r="B668" s="310"/>
      <c r="C668" s="310"/>
      <c r="D668" s="310"/>
      <c r="E668" s="311"/>
      <c r="F668" s="311"/>
      <c r="G668" s="311"/>
      <c r="H668" s="350"/>
    </row>
    <row r="669" spans="1:8" s="27" customFormat="1" ht="12.75">
      <c r="A669" s="310"/>
      <c r="B669" s="310"/>
      <c r="C669" s="310"/>
      <c r="D669" s="310"/>
      <c r="E669" s="311"/>
      <c r="F669" s="311"/>
      <c r="G669" s="311"/>
      <c r="H669" s="350"/>
    </row>
    <row r="670" spans="1:8" s="27" customFormat="1" ht="12.75">
      <c r="A670" s="310"/>
      <c r="B670" s="310"/>
      <c r="C670" s="310"/>
      <c r="D670" s="310"/>
      <c r="E670" s="311"/>
      <c r="F670" s="311"/>
      <c r="G670" s="311"/>
      <c r="H670" s="350"/>
    </row>
    <row r="671" spans="1:8" s="27" customFormat="1" ht="12.75">
      <c r="A671" s="310"/>
      <c r="B671" s="310"/>
      <c r="C671" s="310"/>
      <c r="D671" s="310"/>
      <c r="E671" s="311"/>
      <c r="F671" s="311"/>
      <c r="G671" s="311"/>
      <c r="H671" s="350"/>
    </row>
    <row r="672" spans="1:8" s="27" customFormat="1" ht="12.75">
      <c r="A672" s="310"/>
      <c r="B672" s="310"/>
      <c r="C672" s="310"/>
      <c r="D672" s="310"/>
      <c r="E672" s="311"/>
      <c r="F672" s="311"/>
      <c r="G672" s="311"/>
      <c r="H672" s="350"/>
    </row>
    <row r="673" spans="1:8" s="27" customFormat="1" ht="12.75">
      <c r="A673" s="310"/>
      <c r="B673" s="310"/>
      <c r="C673" s="310"/>
      <c r="D673" s="310"/>
      <c r="E673" s="311"/>
      <c r="F673" s="311"/>
      <c r="G673" s="311"/>
      <c r="H673" s="350"/>
    </row>
    <row r="674" spans="1:8" s="27" customFormat="1" ht="12.75">
      <c r="A674" s="310"/>
      <c r="B674" s="310"/>
      <c r="C674" s="310"/>
      <c r="D674" s="314"/>
      <c r="E674" s="311"/>
      <c r="F674" s="311"/>
      <c r="G674" s="311"/>
      <c r="H674" s="350"/>
    </row>
    <row r="675" spans="1:8" s="27" customFormat="1" ht="12.75">
      <c r="A675" s="310"/>
      <c r="B675" s="310"/>
      <c r="C675" s="310"/>
      <c r="D675" s="310"/>
      <c r="E675" s="311"/>
      <c r="F675" s="311"/>
      <c r="G675" s="311"/>
      <c r="H675" s="350"/>
    </row>
    <row r="676" spans="1:8" s="27" customFormat="1" ht="12.75">
      <c r="A676" s="310"/>
      <c r="B676" s="310"/>
      <c r="C676" s="310"/>
      <c r="D676" s="310"/>
      <c r="E676" s="311"/>
      <c r="F676" s="311"/>
      <c r="G676" s="311"/>
      <c r="H676" s="350"/>
    </row>
    <row r="677" spans="1:8" s="27" customFormat="1" ht="12.75">
      <c r="A677" s="310"/>
      <c r="B677" s="310"/>
      <c r="C677" s="310"/>
      <c r="D677" s="310"/>
      <c r="E677" s="311"/>
      <c r="F677" s="311"/>
      <c r="G677" s="311"/>
      <c r="H677" s="350"/>
    </row>
    <row r="678" spans="1:8" s="27" customFormat="1" ht="12.75">
      <c r="A678" s="310"/>
      <c r="B678" s="310"/>
      <c r="C678" s="310"/>
      <c r="D678" s="310"/>
      <c r="E678" s="311"/>
      <c r="F678" s="311"/>
      <c r="G678" s="311"/>
      <c r="H678" s="350"/>
    </row>
    <row r="679" spans="1:8" s="27" customFormat="1" ht="12.75">
      <c r="A679" s="310"/>
      <c r="B679" s="310"/>
      <c r="C679" s="310"/>
      <c r="D679" s="310"/>
      <c r="E679" s="311"/>
      <c r="F679" s="311"/>
      <c r="G679" s="311"/>
      <c r="H679" s="350"/>
    </row>
    <row r="680" spans="1:8" s="27" customFormat="1" ht="12.75">
      <c r="A680" s="310"/>
      <c r="B680" s="310"/>
      <c r="C680" s="310"/>
      <c r="D680" s="310"/>
      <c r="E680" s="311"/>
      <c r="F680" s="311"/>
      <c r="G680" s="311"/>
      <c r="H680" s="350"/>
    </row>
    <row r="681" spans="1:8" s="27" customFormat="1" ht="12.75">
      <c r="A681" s="310"/>
      <c r="B681" s="310"/>
      <c r="C681" s="310"/>
      <c r="D681" s="310"/>
      <c r="E681" s="311"/>
      <c r="F681" s="311"/>
      <c r="G681" s="311"/>
      <c r="H681" s="350"/>
    </row>
    <row r="682" spans="1:8" s="27" customFormat="1" ht="12.75">
      <c r="A682" s="310"/>
      <c r="B682" s="310"/>
      <c r="C682" s="310"/>
      <c r="D682" s="310"/>
      <c r="E682" s="311"/>
      <c r="F682" s="311"/>
      <c r="G682" s="311"/>
      <c r="H682" s="350"/>
    </row>
    <row r="683" spans="1:8" s="27" customFormat="1" ht="12.75">
      <c r="A683" s="310"/>
      <c r="B683" s="310"/>
      <c r="C683" s="310"/>
      <c r="D683" s="310"/>
      <c r="E683" s="311"/>
      <c r="F683" s="311"/>
      <c r="G683" s="311"/>
      <c r="H683" s="350"/>
    </row>
    <row r="684" spans="1:8" s="27" customFormat="1" ht="12.75">
      <c r="A684" s="310"/>
      <c r="B684" s="310"/>
      <c r="C684" s="310"/>
      <c r="D684" s="314"/>
      <c r="E684" s="311"/>
      <c r="F684" s="311"/>
      <c r="G684" s="311"/>
      <c r="H684" s="350"/>
    </row>
    <row r="685" spans="1:8" s="27" customFormat="1" ht="12.75">
      <c r="A685" s="310"/>
      <c r="B685" s="310"/>
      <c r="C685" s="310"/>
      <c r="D685" s="310"/>
      <c r="E685" s="311"/>
      <c r="F685" s="311"/>
      <c r="G685" s="311"/>
      <c r="H685" s="350"/>
    </row>
    <row r="686" spans="1:8" s="27" customFormat="1" ht="12.75">
      <c r="A686" s="310"/>
      <c r="B686" s="310"/>
      <c r="C686" s="310"/>
      <c r="D686" s="310"/>
      <c r="E686" s="311"/>
      <c r="F686" s="311"/>
      <c r="G686" s="311"/>
      <c r="H686" s="350"/>
    </row>
    <row r="687" spans="1:8" s="27" customFormat="1" ht="12.75">
      <c r="A687" s="310"/>
      <c r="B687" s="310"/>
      <c r="C687" s="310"/>
      <c r="D687" s="310"/>
      <c r="E687" s="311"/>
      <c r="F687" s="311"/>
      <c r="G687" s="311"/>
      <c r="H687" s="350"/>
    </row>
    <row r="688" spans="1:8" s="27" customFormat="1" ht="12.75">
      <c r="A688" s="310"/>
      <c r="B688" s="310"/>
      <c r="C688" s="310"/>
      <c r="D688" s="310"/>
      <c r="E688" s="311"/>
      <c r="F688" s="311"/>
      <c r="G688" s="311"/>
      <c r="H688" s="350"/>
    </row>
    <row r="689" spans="1:8" s="27" customFormat="1" ht="12.75">
      <c r="A689" s="310"/>
      <c r="B689" s="310"/>
      <c r="C689" s="310"/>
      <c r="D689" s="310"/>
      <c r="E689" s="311"/>
      <c r="F689" s="311"/>
      <c r="G689" s="311"/>
      <c r="H689" s="350"/>
    </row>
    <row r="690" spans="1:8" s="27" customFormat="1" ht="12.75">
      <c r="A690" s="310"/>
      <c r="B690" s="310"/>
      <c r="C690" s="310"/>
      <c r="D690" s="310"/>
      <c r="E690" s="311"/>
      <c r="F690" s="311"/>
      <c r="G690" s="311"/>
      <c r="H690" s="350"/>
    </row>
    <row r="691" spans="1:8" s="27" customFormat="1" ht="12.75">
      <c r="A691" s="310"/>
      <c r="B691" s="310"/>
      <c r="C691" s="310"/>
      <c r="D691" s="310"/>
      <c r="E691" s="311"/>
      <c r="F691" s="311"/>
      <c r="G691" s="311"/>
      <c r="H691" s="350"/>
    </row>
    <row r="692" spans="1:8" s="27" customFormat="1" ht="12.75">
      <c r="A692" s="310"/>
      <c r="B692" s="310"/>
      <c r="C692" s="310"/>
      <c r="D692" s="310"/>
      <c r="E692" s="311"/>
      <c r="F692" s="311"/>
      <c r="G692" s="311"/>
      <c r="H692" s="350"/>
    </row>
    <row r="693" spans="1:8" s="27" customFormat="1" ht="12.75">
      <c r="A693" s="310"/>
      <c r="B693" s="310"/>
      <c r="C693" s="310"/>
      <c r="D693" s="310"/>
      <c r="E693" s="311"/>
      <c r="F693" s="311"/>
      <c r="G693" s="311"/>
      <c r="H693" s="350"/>
    </row>
    <row r="694" spans="1:8" s="27" customFormat="1" ht="12.75">
      <c r="A694" s="310"/>
      <c r="B694" s="310"/>
      <c r="C694" s="310"/>
      <c r="D694" s="310"/>
      <c r="E694" s="311"/>
      <c r="F694" s="311"/>
      <c r="G694" s="311"/>
      <c r="H694" s="350"/>
    </row>
    <row r="695" spans="1:8" s="27" customFormat="1" ht="12.75">
      <c r="A695" s="310"/>
      <c r="B695" s="310"/>
      <c r="C695" s="310"/>
      <c r="D695" s="310"/>
      <c r="E695" s="311"/>
      <c r="F695" s="311"/>
      <c r="G695" s="311"/>
      <c r="H695" s="350"/>
    </row>
    <row r="696" spans="1:8" s="27" customFormat="1" ht="12.75">
      <c r="A696" s="310"/>
      <c r="B696" s="310"/>
      <c r="C696" s="310"/>
      <c r="D696" s="310"/>
      <c r="E696" s="311"/>
      <c r="F696" s="311"/>
      <c r="G696" s="311"/>
      <c r="H696" s="350"/>
    </row>
    <row r="697" spans="1:8" s="27" customFormat="1" ht="12.75">
      <c r="A697" s="310"/>
      <c r="B697" s="310"/>
      <c r="C697" s="310"/>
      <c r="D697" s="310"/>
      <c r="E697" s="311"/>
      <c r="F697" s="311"/>
      <c r="G697" s="311"/>
      <c r="H697" s="350"/>
    </row>
    <row r="698" spans="1:8" s="27" customFormat="1" ht="12.75">
      <c r="A698" s="312"/>
      <c r="B698" s="312"/>
      <c r="C698" s="310"/>
      <c r="D698" s="310"/>
      <c r="E698" s="311"/>
      <c r="F698" s="311"/>
      <c r="G698" s="311"/>
      <c r="H698" s="350"/>
    </row>
    <row r="699" spans="1:8" s="27" customFormat="1" ht="12.75">
      <c r="A699" s="310"/>
      <c r="B699" s="310"/>
      <c r="C699" s="310"/>
      <c r="D699" s="310"/>
      <c r="E699" s="311"/>
      <c r="F699" s="311"/>
      <c r="G699" s="311"/>
      <c r="H699" s="350"/>
    </row>
    <row r="700" spans="1:8" s="27" customFormat="1" ht="12.75">
      <c r="A700" s="310"/>
      <c r="B700" s="310"/>
      <c r="C700" s="310"/>
      <c r="D700" s="310"/>
      <c r="E700" s="311"/>
      <c r="F700" s="311"/>
      <c r="G700" s="311"/>
      <c r="H700" s="350"/>
    </row>
    <row r="701" spans="1:8" s="27" customFormat="1" ht="12.75">
      <c r="A701" s="310"/>
      <c r="B701" s="310"/>
      <c r="C701" s="310"/>
      <c r="D701" s="310"/>
      <c r="E701" s="311"/>
      <c r="F701" s="311"/>
      <c r="G701" s="311"/>
      <c r="H701" s="350"/>
    </row>
    <row r="702" spans="1:8" s="27" customFormat="1" ht="12.75">
      <c r="A702" s="310"/>
      <c r="B702" s="310"/>
      <c r="C702" s="310"/>
      <c r="D702" s="310"/>
      <c r="E702" s="311"/>
      <c r="F702" s="311"/>
      <c r="G702" s="311"/>
      <c r="H702" s="350"/>
    </row>
    <row r="703" spans="1:8" s="27" customFormat="1" ht="12.75">
      <c r="A703" s="310"/>
      <c r="B703" s="310"/>
      <c r="C703" s="310"/>
      <c r="D703" s="310"/>
      <c r="E703" s="311"/>
      <c r="F703" s="311"/>
      <c r="G703" s="311"/>
      <c r="H703" s="350"/>
    </row>
    <row r="704" spans="1:8" s="27" customFormat="1" ht="12.75">
      <c r="A704" s="310"/>
      <c r="B704" s="310"/>
      <c r="C704" s="310"/>
      <c r="D704" s="310"/>
      <c r="E704" s="311"/>
      <c r="F704" s="311"/>
      <c r="G704" s="311"/>
      <c r="H704" s="350"/>
    </row>
    <row r="705" spans="1:8" s="27" customFormat="1" ht="12.75">
      <c r="A705" s="310"/>
      <c r="B705" s="310"/>
      <c r="C705" s="310"/>
      <c r="D705" s="310"/>
      <c r="E705" s="311"/>
      <c r="F705" s="311"/>
      <c r="G705" s="311"/>
      <c r="H705" s="350"/>
    </row>
    <row r="706" spans="1:8" s="27" customFormat="1" ht="12.75">
      <c r="A706" s="310"/>
      <c r="B706" s="310"/>
      <c r="C706" s="310"/>
      <c r="D706" s="310"/>
      <c r="E706" s="311"/>
      <c r="F706" s="311"/>
      <c r="G706" s="311"/>
      <c r="H706" s="350"/>
    </row>
    <row r="707" spans="1:8" s="27" customFormat="1" ht="12.75">
      <c r="A707" s="310"/>
      <c r="B707" s="310"/>
      <c r="C707" s="310"/>
      <c r="D707" s="310"/>
      <c r="E707" s="311"/>
      <c r="F707" s="311"/>
      <c r="G707" s="311"/>
      <c r="H707" s="350"/>
    </row>
    <row r="708" spans="1:8" s="27" customFormat="1" ht="12.75">
      <c r="A708" s="310"/>
      <c r="B708" s="310"/>
      <c r="C708" s="310"/>
      <c r="D708" s="310"/>
      <c r="E708" s="311"/>
      <c r="F708" s="311"/>
      <c r="G708" s="311"/>
      <c r="H708" s="350"/>
    </row>
    <row r="709" spans="1:8" s="27" customFormat="1" ht="12.75">
      <c r="A709" s="310"/>
      <c r="B709" s="310"/>
      <c r="C709" s="310"/>
      <c r="D709" s="310"/>
      <c r="E709" s="311"/>
      <c r="F709" s="311"/>
      <c r="G709" s="311"/>
      <c r="H709" s="350"/>
    </row>
    <row r="710" spans="1:8" s="27" customFormat="1" ht="12.75">
      <c r="A710" s="310"/>
      <c r="B710" s="310"/>
      <c r="C710" s="310"/>
      <c r="D710" s="310"/>
      <c r="E710" s="311"/>
      <c r="F710" s="311"/>
      <c r="G710" s="311"/>
      <c r="H710" s="350"/>
    </row>
    <row r="711" spans="1:8" s="27" customFormat="1" ht="12.75">
      <c r="A711" s="310"/>
      <c r="B711" s="310"/>
      <c r="C711" s="310"/>
      <c r="D711" s="310"/>
      <c r="E711" s="311"/>
      <c r="F711" s="311"/>
      <c r="G711" s="311"/>
      <c r="H711" s="350"/>
    </row>
    <row r="712" spans="1:8" s="27" customFormat="1" ht="12.75">
      <c r="A712" s="310"/>
      <c r="B712" s="310"/>
      <c r="C712" s="310"/>
      <c r="D712" s="310"/>
      <c r="E712" s="311"/>
      <c r="F712" s="311"/>
      <c r="G712" s="311"/>
      <c r="H712" s="350"/>
    </row>
    <row r="713" spans="1:8" s="27" customFormat="1" ht="12.75">
      <c r="A713" s="310"/>
      <c r="B713" s="310"/>
      <c r="C713" s="310"/>
      <c r="D713" s="310"/>
      <c r="E713" s="311"/>
      <c r="F713" s="311"/>
      <c r="G713" s="311"/>
      <c r="H713" s="350"/>
    </row>
    <row r="714" spans="1:8" s="27" customFormat="1" ht="12.75">
      <c r="A714" s="310"/>
      <c r="B714" s="310"/>
      <c r="C714" s="310"/>
      <c r="D714" s="310"/>
      <c r="E714" s="311"/>
      <c r="F714" s="311"/>
      <c r="G714" s="311"/>
      <c r="H714" s="350"/>
    </row>
    <row r="715" spans="1:8" s="27" customFormat="1" ht="12.75">
      <c r="A715" s="310"/>
      <c r="B715" s="310"/>
      <c r="C715" s="310"/>
      <c r="D715" s="310"/>
      <c r="E715" s="311"/>
      <c r="F715" s="311"/>
      <c r="G715" s="311"/>
      <c r="H715" s="350"/>
    </row>
    <row r="716" spans="1:8" s="27" customFormat="1" ht="12.75">
      <c r="A716" s="310"/>
      <c r="B716" s="310"/>
      <c r="C716" s="310"/>
      <c r="D716" s="310"/>
      <c r="E716" s="311"/>
      <c r="F716" s="311"/>
      <c r="G716" s="311"/>
      <c r="H716" s="350"/>
    </row>
    <row r="717" spans="1:8" s="27" customFormat="1" ht="12.75">
      <c r="A717" s="310"/>
      <c r="B717" s="310"/>
      <c r="C717" s="310"/>
      <c r="D717" s="310"/>
      <c r="E717" s="311"/>
      <c r="F717" s="311"/>
      <c r="G717" s="311"/>
      <c r="H717" s="350"/>
    </row>
    <row r="718" spans="1:8" s="27" customFormat="1" ht="12.75">
      <c r="A718" s="310"/>
      <c r="B718" s="310"/>
      <c r="C718" s="310"/>
      <c r="D718" s="310"/>
      <c r="E718" s="311"/>
      <c r="F718" s="311"/>
      <c r="G718" s="311"/>
      <c r="H718" s="350"/>
    </row>
    <row r="719" spans="1:8" s="27" customFormat="1" ht="12.75">
      <c r="A719" s="310"/>
      <c r="B719" s="310"/>
      <c r="C719" s="310"/>
      <c r="D719" s="310"/>
      <c r="E719" s="311"/>
      <c r="F719" s="311"/>
      <c r="G719" s="311"/>
      <c r="H719" s="350"/>
    </row>
    <row r="720" spans="1:8" s="27" customFormat="1" ht="12.75">
      <c r="A720" s="310"/>
      <c r="B720" s="310"/>
      <c r="C720" s="310"/>
      <c r="D720" s="310"/>
      <c r="E720" s="311"/>
      <c r="F720" s="311"/>
      <c r="G720" s="311"/>
      <c r="H720" s="350"/>
    </row>
    <row r="721" spans="1:8" s="27" customFormat="1" ht="12.75">
      <c r="A721" s="310"/>
      <c r="B721" s="310"/>
      <c r="C721" s="310"/>
      <c r="D721" s="310"/>
      <c r="E721" s="311"/>
      <c r="F721" s="311"/>
      <c r="G721" s="311"/>
      <c r="H721" s="350"/>
    </row>
    <row r="722" spans="1:8" s="27" customFormat="1" ht="12.75">
      <c r="A722" s="310"/>
      <c r="B722" s="310"/>
      <c r="C722" s="310"/>
      <c r="D722" s="310"/>
      <c r="E722" s="311"/>
      <c r="F722" s="311"/>
      <c r="G722" s="311"/>
      <c r="H722" s="350"/>
    </row>
    <row r="723" spans="1:8" s="27" customFormat="1" ht="12.75">
      <c r="A723" s="310"/>
      <c r="B723" s="310"/>
      <c r="C723" s="310"/>
      <c r="D723" s="310"/>
      <c r="E723" s="311"/>
      <c r="F723" s="311"/>
      <c r="G723" s="311"/>
      <c r="H723" s="350"/>
    </row>
    <row r="724" spans="1:8" s="27" customFormat="1" ht="12.75">
      <c r="A724" s="310"/>
      <c r="B724" s="310"/>
      <c r="C724" s="310"/>
      <c r="D724" s="310"/>
      <c r="E724" s="311"/>
      <c r="F724" s="311"/>
      <c r="G724" s="311"/>
      <c r="H724" s="350"/>
    </row>
    <row r="725" spans="1:8" s="27" customFormat="1" ht="12.75">
      <c r="A725" s="310"/>
      <c r="B725" s="310"/>
      <c r="C725" s="310"/>
      <c r="D725" s="310"/>
      <c r="E725" s="311"/>
      <c r="F725" s="311"/>
      <c r="G725" s="311"/>
      <c r="H725" s="350"/>
    </row>
    <row r="726" spans="1:8" s="27" customFormat="1" ht="12.75">
      <c r="A726" s="310"/>
      <c r="B726" s="310"/>
      <c r="C726" s="310"/>
      <c r="D726" s="310"/>
      <c r="E726" s="311"/>
      <c r="F726" s="311"/>
      <c r="G726" s="311"/>
      <c r="H726" s="350"/>
    </row>
    <row r="727" spans="1:8" s="27" customFormat="1" ht="12.75">
      <c r="A727" s="310"/>
      <c r="B727" s="310"/>
      <c r="C727" s="310"/>
      <c r="D727" s="310"/>
      <c r="E727" s="311"/>
      <c r="F727" s="311"/>
      <c r="G727" s="311"/>
      <c r="H727" s="350"/>
    </row>
    <row r="728" spans="1:8" s="27" customFormat="1" ht="12.75">
      <c r="A728" s="310"/>
      <c r="B728" s="310"/>
      <c r="C728" s="310"/>
      <c r="D728" s="310"/>
      <c r="E728" s="311"/>
      <c r="F728" s="311"/>
      <c r="G728" s="311"/>
      <c r="H728" s="350"/>
    </row>
    <row r="729" spans="1:8" s="27" customFormat="1" ht="12.75">
      <c r="A729" s="310"/>
      <c r="B729" s="310"/>
      <c r="C729" s="310"/>
      <c r="D729" s="310"/>
      <c r="E729" s="311"/>
      <c r="F729" s="311"/>
      <c r="G729" s="311"/>
      <c r="H729" s="350"/>
    </row>
    <row r="730" spans="1:8" s="27" customFormat="1" ht="12.75">
      <c r="A730" s="310"/>
      <c r="B730" s="310"/>
      <c r="C730" s="310"/>
      <c r="D730" s="310"/>
      <c r="E730" s="311"/>
      <c r="F730" s="311"/>
      <c r="G730" s="311"/>
      <c r="H730" s="350"/>
    </row>
    <row r="731" spans="1:8" s="27" customFormat="1" ht="12.75">
      <c r="A731" s="310"/>
      <c r="B731" s="310"/>
      <c r="C731" s="310"/>
      <c r="D731" s="310"/>
      <c r="E731" s="311"/>
      <c r="F731" s="311"/>
      <c r="G731" s="311"/>
      <c r="H731" s="350"/>
    </row>
    <row r="732" spans="1:8" s="27" customFormat="1" ht="12.75">
      <c r="A732" s="310"/>
      <c r="B732" s="310"/>
      <c r="C732" s="310"/>
      <c r="D732" s="310"/>
      <c r="E732" s="311"/>
      <c r="F732" s="311"/>
      <c r="G732" s="311"/>
      <c r="H732" s="350"/>
    </row>
    <row r="733" spans="1:8" s="27" customFormat="1" ht="12.75">
      <c r="A733" s="310"/>
      <c r="B733" s="310"/>
      <c r="C733" s="310"/>
      <c r="D733" s="310"/>
      <c r="E733" s="311"/>
      <c r="F733" s="311"/>
      <c r="G733" s="311"/>
      <c r="H733" s="350"/>
    </row>
    <row r="734" spans="1:8" s="27" customFormat="1" ht="12.75">
      <c r="A734" s="310"/>
      <c r="B734" s="310"/>
      <c r="C734" s="310"/>
      <c r="D734" s="310"/>
      <c r="E734" s="311"/>
      <c r="F734" s="311"/>
      <c r="G734" s="311"/>
      <c r="H734" s="350"/>
    </row>
    <row r="735" spans="1:8" s="27" customFormat="1" ht="12.75">
      <c r="A735" s="310"/>
      <c r="B735" s="310"/>
      <c r="C735" s="310"/>
      <c r="D735" s="310"/>
      <c r="E735" s="311"/>
      <c r="F735" s="311"/>
      <c r="G735" s="311"/>
      <c r="H735" s="350"/>
    </row>
    <row r="736" spans="1:8" s="27" customFormat="1" ht="12.75">
      <c r="A736" s="310"/>
      <c r="B736" s="310"/>
      <c r="C736" s="310"/>
      <c r="D736" s="310"/>
      <c r="E736" s="311"/>
      <c r="F736" s="311"/>
      <c r="G736" s="311"/>
      <c r="H736" s="350"/>
    </row>
    <row r="737" spans="1:8" s="27" customFormat="1" ht="12.75">
      <c r="A737" s="310"/>
      <c r="B737" s="310"/>
      <c r="C737" s="310"/>
      <c r="D737" s="310"/>
      <c r="E737" s="311"/>
      <c r="F737" s="311"/>
      <c r="G737" s="311"/>
      <c r="H737" s="350"/>
    </row>
    <row r="738" spans="1:8" s="27" customFormat="1" ht="12.75">
      <c r="A738" s="310"/>
      <c r="B738" s="310"/>
      <c r="C738" s="310"/>
      <c r="D738" s="310"/>
      <c r="E738" s="311"/>
      <c r="F738" s="311"/>
      <c r="G738" s="311"/>
      <c r="H738" s="350"/>
    </row>
    <row r="739" spans="1:8" s="27" customFormat="1" ht="12.75">
      <c r="A739" s="310"/>
      <c r="B739" s="310"/>
      <c r="C739" s="310"/>
      <c r="D739" s="310"/>
      <c r="E739" s="311"/>
      <c r="F739" s="311"/>
      <c r="G739" s="311"/>
      <c r="H739" s="350"/>
    </row>
    <row r="740" spans="1:8" s="27" customFormat="1" ht="12.75">
      <c r="A740" s="310"/>
      <c r="B740" s="310"/>
      <c r="C740" s="310"/>
      <c r="D740" s="310"/>
      <c r="E740" s="311"/>
      <c r="F740" s="311"/>
      <c r="G740" s="311"/>
      <c r="H740" s="350"/>
    </row>
    <row r="741" spans="1:8" s="27" customFormat="1" ht="12.75">
      <c r="A741" s="310"/>
      <c r="B741" s="310"/>
      <c r="C741" s="310"/>
      <c r="D741" s="310"/>
      <c r="E741" s="311"/>
      <c r="F741" s="311"/>
      <c r="G741" s="311"/>
      <c r="H741" s="350"/>
    </row>
    <row r="742" spans="1:8" s="27" customFormat="1" ht="12.75">
      <c r="A742" s="310"/>
      <c r="B742" s="310"/>
      <c r="C742" s="310"/>
      <c r="D742" s="310"/>
      <c r="E742" s="311"/>
      <c r="F742" s="311"/>
      <c r="G742" s="311"/>
      <c r="H742" s="350"/>
    </row>
    <row r="743" spans="1:8" s="27" customFormat="1" ht="12.75">
      <c r="A743" s="310"/>
      <c r="B743" s="310"/>
      <c r="C743" s="310"/>
      <c r="D743" s="310"/>
      <c r="E743" s="311"/>
      <c r="F743" s="311"/>
      <c r="G743" s="311"/>
      <c r="H743" s="350"/>
    </row>
    <row r="744" spans="1:8" s="27" customFormat="1" ht="12.75">
      <c r="A744" s="310"/>
      <c r="B744" s="310"/>
      <c r="C744" s="310"/>
      <c r="D744" s="310"/>
      <c r="E744" s="311"/>
      <c r="F744" s="311"/>
      <c r="G744" s="311"/>
      <c r="H744" s="350"/>
    </row>
    <row r="745" spans="1:8" s="27" customFormat="1" ht="12.75">
      <c r="A745" s="310"/>
      <c r="B745" s="310"/>
      <c r="C745" s="310"/>
      <c r="D745" s="310"/>
      <c r="E745" s="311"/>
      <c r="F745" s="311"/>
      <c r="G745" s="311"/>
      <c r="H745" s="350"/>
    </row>
    <row r="746" spans="1:8" s="27" customFormat="1" ht="12.75">
      <c r="A746" s="310"/>
      <c r="B746" s="310"/>
      <c r="C746" s="310"/>
      <c r="D746" s="310"/>
      <c r="E746" s="311"/>
      <c r="F746" s="311"/>
      <c r="G746" s="311"/>
      <c r="H746" s="350"/>
    </row>
    <row r="747" spans="1:8" s="27" customFormat="1" ht="12.75">
      <c r="A747" s="310"/>
      <c r="B747" s="310"/>
      <c r="C747" s="310"/>
      <c r="D747" s="310"/>
      <c r="E747" s="311"/>
      <c r="F747" s="311"/>
      <c r="G747" s="311"/>
      <c r="H747" s="350"/>
    </row>
    <row r="748" spans="1:8" s="27" customFormat="1" ht="12.75">
      <c r="A748" s="310"/>
      <c r="B748" s="310"/>
      <c r="C748" s="310"/>
      <c r="D748" s="310"/>
      <c r="E748" s="311"/>
      <c r="F748" s="311"/>
      <c r="G748" s="311"/>
      <c r="H748" s="350"/>
    </row>
    <row r="749" spans="1:8" s="27" customFormat="1" ht="12.75">
      <c r="A749" s="310"/>
      <c r="B749" s="310"/>
      <c r="C749" s="310"/>
      <c r="D749" s="310"/>
      <c r="E749" s="311"/>
      <c r="F749" s="311"/>
      <c r="G749" s="311"/>
      <c r="H749" s="350"/>
    </row>
    <row r="750" spans="1:8" s="27" customFormat="1" ht="12.75">
      <c r="A750" s="310"/>
      <c r="B750" s="310"/>
      <c r="C750" s="310"/>
      <c r="D750" s="310"/>
      <c r="E750" s="311"/>
      <c r="F750" s="311"/>
      <c r="G750" s="311"/>
      <c r="H750" s="350"/>
    </row>
    <row r="751" spans="1:8" s="27" customFormat="1" ht="12.75">
      <c r="A751" s="310"/>
      <c r="B751" s="310"/>
      <c r="C751" s="310"/>
      <c r="D751" s="310"/>
      <c r="E751" s="311"/>
      <c r="F751" s="311"/>
      <c r="G751" s="311"/>
      <c r="H751" s="350"/>
    </row>
    <row r="752" spans="1:8" s="27" customFormat="1" ht="12.75">
      <c r="A752" s="310"/>
      <c r="B752" s="310"/>
      <c r="C752" s="310"/>
      <c r="D752" s="310"/>
      <c r="E752" s="311"/>
      <c r="F752" s="311"/>
      <c r="G752" s="311"/>
      <c r="H752" s="350"/>
    </row>
    <row r="753" spans="1:8" s="27" customFormat="1" ht="12.75">
      <c r="A753" s="310"/>
      <c r="B753" s="310"/>
      <c r="C753" s="310"/>
      <c r="D753" s="310"/>
      <c r="E753" s="311"/>
      <c r="F753" s="311"/>
      <c r="G753" s="311"/>
      <c r="H753" s="350"/>
    </row>
    <row r="754" spans="1:8" s="27" customFormat="1" ht="12.75">
      <c r="A754" s="310"/>
      <c r="B754" s="310"/>
      <c r="C754" s="310"/>
      <c r="D754" s="310"/>
      <c r="E754" s="311"/>
      <c r="F754" s="311"/>
      <c r="G754" s="311"/>
      <c r="H754" s="350"/>
    </row>
  </sheetData>
  <sheetProtection/>
  <mergeCells count="7">
    <mergeCell ref="G6:H6"/>
    <mergeCell ref="A6:A7"/>
    <mergeCell ref="B6:B7"/>
    <mergeCell ref="C6:C7"/>
    <mergeCell ref="D6:D7"/>
    <mergeCell ref="E6:E7"/>
    <mergeCell ref="F6:F7"/>
  </mergeCells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625" style="9" customWidth="1"/>
    <col min="2" max="2" width="8.25390625" style="9" customWidth="1"/>
    <col min="3" max="3" width="4.375" style="9" bestFit="1" customWidth="1"/>
    <col min="4" max="4" width="31.75390625" style="9" customWidth="1"/>
    <col min="5" max="5" width="12.25390625" style="9" customWidth="1"/>
    <col min="6" max="6" width="12.375" style="9" customWidth="1"/>
    <col min="7" max="7" width="12.875" style="9" customWidth="1"/>
    <col min="8" max="8" width="6.375" style="0" customWidth="1"/>
  </cols>
  <sheetData>
    <row r="1" spans="1:7" ht="12.75">
      <c r="A1" s="67"/>
      <c r="B1" s="67"/>
      <c r="C1" s="67"/>
      <c r="D1" s="67"/>
      <c r="E1" s="68"/>
      <c r="F1" s="68"/>
      <c r="G1" s="68" t="s">
        <v>513</v>
      </c>
    </row>
    <row r="2" spans="1:7" ht="12.75">
      <c r="A2" s="67"/>
      <c r="B2" s="67"/>
      <c r="C2" s="67"/>
      <c r="D2" s="67"/>
      <c r="E2" s="68"/>
      <c r="F2" s="68"/>
      <c r="G2" s="68" t="s">
        <v>509</v>
      </c>
    </row>
    <row r="3" spans="1:7" ht="12.75">
      <c r="A3" s="67"/>
      <c r="B3" s="67"/>
      <c r="C3" s="67"/>
      <c r="D3" s="67"/>
      <c r="E3" s="68"/>
      <c r="F3" s="68"/>
      <c r="G3" s="68" t="s">
        <v>503</v>
      </c>
    </row>
    <row r="4" spans="1:7" ht="12.75">
      <c r="A4" s="67"/>
      <c r="B4" s="67"/>
      <c r="C4" s="67"/>
      <c r="D4" s="67"/>
      <c r="E4" s="68"/>
      <c r="F4" s="68"/>
      <c r="G4" s="68" t="s">
        <v>510</v>
      </c>
    </row>
    <row r="5" spans="1:7" ht="27.75" customHeight="1">
      <c r="A5" s="414" t="s">
        <v>514</v>
      </c>
      <c r="B5" s="414"/>
      <c r="C5" s="414"/>
      <c r="D5" s="414"/>
      <c r="E5" s="414"/>
      <c r="F5" s="414"/>
      <c r="G5" s="414"/>
    </row>
    <row r="6" spans="1:8" ht="12.75">
      <c r="A6" s="412" t="s">
        <v>0</v>
      </c>
      <c r="B6" s="412" t="s">
        <v>1</v>
      </c>
      <c r="C6" s="412" t="s">
        <v>2</v>
      </c>
      <c r="D6" s="412" t="s">
        <v>3</v>
      </c>
      <c r="E6" s="413" t="s">
        <v>119</v>
      </c>
      <c r="F6" s="413" t="s">
        <v>320</v>
      </c>
      <c r="G6" s="408" t="s">
        <v>505</v>
      </c>
      <c r="H6" s="408"/>
    </row>
    <row r="7" spans="1:8" s="9" customFormat="1" ht="12">
      <c r="A7" s="412"/>
      <c r="B7" s="412"/>
      <c r="C7" s="412"/>
      <c r="D7" s="412"/>
      <c r="E7" s="413"/>
      <c r="F7" s="413"/>
      <c r="G7" s="359" t="s">
        <v>506</v>
      </c>
      <c r="H7" s="342" t="s">
        <v>507</v>
      </c>
    </row>
    <row r="8" spans="1:8" s="9" customFormat="1" ht="21" customHeight="1">
      <c r="A8" s="39" t="s">
        <v>4</v>
      </c>
      <c r="B8" s="259"/>
      <c r="C8" s="260"/>
      <c r="D8" s="42" t="s">
        <v>5</v>
      </c>
      <c r="E8" s="357">
        <f aca="true" t="shared" si="0" ref="E8:G9">SUM(E9)</f>
        <v>0</v>
      </c>
      <c r="F8" s="261">
        <f t="shared" si="0"/>
        <v>550419</v>
      </c>
      <c r="G8" s="261">
        <f t="shared" si="0"/>
        <v>550417.64</v>
      </c>
      <c r="H8" s="202">
        <f>G8/F8*100</f>
        <v>99.99975291550619</v>
      </c>
    </row>
    <row r="9" spans="1:8" s="161" customFormat="1" ht="21" customHeight="1">
      <c r="A9" s="262"/>
      <c r="B9" s="263" t="s">
        <v>234</v>
      </c>
      <c r="C9" s="264"/>
      <c r="D9" s="230" t="s">
        <v>6</v>
      </c>
      <c r="E9" s="358">
        <f t="shared" si="0"/>
        <v>0</v>
      </c>
      <c r="F9" s="265">
        <f t="shared" si="0"/>
        <v>550419</v>
      </c>
      <c r="G9" s="265">
        <f t="shared" si="0"/>
        <v>550417.64</v>
      </c>
      <c r="H9" s="89">
        <f aca="true" t="shared" si="1" ref="H9:H50">G9/F9*100</f>
        <v>99.99975291550619</v>
      </c>
    </row>
    <row r="10" spans="1:8" s="161" customFormat="1" ht="56.25">
      <c r="A10" s="262"/>
      <c r="B10" s="262"/>
      <c r="C10" s="264">
        <v>2010</v>
      </c>
      <c r="D10" s="43" t="s">
        <v>397</v>
      </c>
      <c r="E10" s="358">
        <v>0</v>
      </c>
      <c r="F10" s="265">
        <v>550419</v>
      </c>
      <c r="G10" s="265">
        <v>550417.64</v>
      </c>
      <c r="H10" s="89">
        <f t="shared" si="1"/>
        <v>99.99975291550619</v>
      </c>
    </row>
    <row r="11" spans="1:8" s="9" customFormat="1" ht="21" customHeight="1">
      <c r="A11" s="39" t="s">
        <v>14</v>
      </c>
      <c r="B11" s="266"/>
      <c r="C11" s="267"/>
      <c r="D11" s="42" t="s">
        <v>15</v>
      </c>
      <c r="E11" s="261">
        <f>SUM(E12)</f>
        <v>156600</v>
      </c>
      <c r="F11" s="261">
        <f>SUM(F12)</f>
        <v>156600</v>
      </c>
      <c r="G11" s="261">
        <f>SUM(G12)</f>
        <v>156599.16</v>
      </c>
      <c r="H11" s="202">
        <f t="shared" si="1"/>
        <v>99.99946360153257</v>
      </c>
    </row>
    <row r="12" spans="1:8" s="28" customFormat="1" ht="21" customHeight="1">
      <c r="A12" s="71"/>
      <c r="B12" s="71">
        <v>75011</v>
      </c>
      <c r="C12" s="72"/>
      <c r="D12" s="43" t="s">
        <v>16</v>
      </c>
      <c r="E12" s="268">
        <f>E13</f>
        <v>156600</v>
      </c>
      <c r="F12" s="268">
        <f>F13</f>
        <v>156600</v>
      </c>
      <c r="G12" s="268">
        <f>G13</f>
        <v>156599.16</v>
      </c>
      <c r="H12" s="89">
        <f t="shared" si="1"/>
        <v>99.99946360153257</v>
      </c>
    </row>
    <row r="13" spans="1:8" s="28" customFormat="1" ht="56.25">
      <c r="A13" s="71"/>
      <c r="B13" s="88"/>
      <c r="C13" s="73" t="s">
        <v>398</v>
      </c>
      <c r="D13" s="43" t="s">
        <v>397</v>
      </c>
      <c r="E13" s="268">
        <v>156600</v>
      </c>
      <c r="F13" s="268">
        <v>156600</v>
      </c>
      <c r="G13" s="268">
        <v>156599.16</v>
      </c>
      <c r="H13" s="89">
        <f t="shared" si="1"/>
        <v>99.99946360153257</v>
      </c>
    </row>
    <row r="14" spans="1:8" s="9" customFormat="1" ht="40.5" customHeight="1">
      <c r="A14" s="39">
        <v>751</v>
      </c>
      <c r="B14" s="41"/>
      <c r="C14" s="269"/>
      <c r="D14" s="42" t="s">
        <v>19</v>
      </c>
      <c r="E14" s="270">
        <f>SUM(E15,E17)</f>
        <v>3910</v>
      </c>
      <c r="F14" s="270">
        <f>SUM(F15,F17)</f>
        <v>46082</v>
      </c>
      <c r="G14" s="270">
        <f>SUM(G15,G17)</f>
        <v>45914.9</v>
      </c>
      <c r="H14" s="202">
        <f t="shared" si="1"/>
        <v>99.63738553014193</v>
      </c>
    </row>
    <row r="15" spans="1:8" s="28" customFormat="1" ht="22.5">
      <c r="A15" s="88"/>
      <c r="B15" s="71">
        <v>75101</v>
      </c>
      <c r="C15" s="72"/>
      <c r="D15" s="43" t="s">
        <v>20</v>
      </c>
      <c r="E15" s="90">
        <f>E16</f>
        <v>3910</v>
      </c>
      <c r="F15" s="90">
        <f>F16</f>
        <v>3910</v>
      </c>
      <c r="G15" s="90">
        <f>G16</f>
        <v>3910</v>
      </c>
      <c r="H15" s="89">
        <f t="shared" si="1"/>
        <v>100</v>
      </c>
    </row>
    <row r="16" spans="1:8" s="28" customFormat="1" ht="56.25">
      <c r="A16" s="88"/>
      <c r="B16" s="71"/>
      <c r="C16" s="73" t="s">
        <v>398</v>
      </c>
      <c r="D16" s="43" t="s">
        <v>399</v>
      </c>
      <c r="E16" s="90">
        <v>3910</v>
      </c>
      <c r="F16" s="90">
        <v>3910</v>
      </c>
      <c r="G16" s="90">
        <v>3910</v>
      </c>
      <c r="H16" s="89">
        <f t="shared" si="1"/>
        <v>100</v>
      </c>
    </row>
    <row r="17" spans="1:8" s="28" customFormat="1" ht="21" customHeight="1">
      <c r="A17" s="88"/>
      <c r="B17" s="71">
        <v>75113</v>
      </c>
      <c r="C17" s="71"/>
      <c r="D17" s="43" t="s">
        <v>359</v>
      </c>
      <c r="E17" s="90">
        <f>SUM(E18)</f>
        <v>0</v>
      </c>
      <c r="F17" s="90">
        <f>SUM(F18)</f>
        <v>42172</v>
      </c>
      <c r="G17" s="90">
        <f>SUM(G18)</f>
        <v>42004.9</v>
      </c>
      <c r="H17" s="89">
        <f t="shared" si="1"/>
        <v>99.60376553163238</v>
      </c>
    </row>
    <row r="18" spans="1:8" s="28" customFormat="1" ht="56.25">
      <c r="A18" s="88"/>
      <c r="B18" s="71"/>
      <c r="C18" s="71">
        <v>2010</v>
      </c>
      <c r="D18" s="43" t="s">
        <v>399</v>
      </c>
      <c r="E18" s="90">
        <v>0</v>
      </c>
      <c r="F18" s="90">
        <v>42172</v>
      </c>
      <c r="G18" s="90">
        <v>42004.9</v>
      </c>
      <c r="H18" s="89">
        <f t="shared" si="1"/>
        <v>99.60376553163238</v>
      </c>
    </row>
    <row r="19" spans="1:8" s="13" customFormat="1" ht="21" customHeight="1">
      <c r="A19" s="271" t="s">
        <v>95</v>
      </c>
      <c r="B19" s="272"/>
      <c r="C19" s="273"/>
      <c r="D19" s="274" t="s">
        <v>96</v>
      </c>
      <c r="E19" s="275">
        <f>SUM(E20,E24)</f>
        <v>55768</v>
      </c>
      <c r="F19" s="275">
        <f>SUM(F20,F24)</f>
        <v>97327</v>
      </c>
      <c r="G19" s="275">
        <f>SUM(G20,G24)</f>
        <v>99117.28</v>
      </c>
      <c r="H19" s="202">
        <f t="shared" si="1"/>
        <v>101.83944845726262</v>
      </c>
    </row>
    <row r="20" spans="1:8" s="28" customFormat="1" ht="21" customHeight="1">
      <c r="A20" s="71"/>
      <c r="B20" s="85" t="s">
        <v>97</v>
      </c>
      <c r="C20" s="88"/>
      <c r="D20" s="43" t="s">
        <v>52</v>
      </c>
      <c r="E20" s="268">
        <f>E21+E23+E22</f>
        <v>4782</v>
      </c>
      <c r="F20" s="268">
        <f>F21+F23+F22</f>
        <v>96799</v>
      </c>
      <c r="G20" s="268">
        <f>G21+G23+G22</f>
        <v>98589.28</v>
      </c>
      <c r="H20" s="89">
        <f t="shared" si="1"/>
        <v>101.8494819161355</v>
      </c>
    </row>
    <row r="21" spans="1:8" s="28" customFormat="1" ht="57" customHeight="1">
      <c r="A21" s="71"/>
      <c r="B21" s="71"/>
      <c r="C21" s="88">
        <v>2010</v>
      </c>
      <c r="D21" s="43" t="s">
        <v>399</v>
      </c>
      <c r="E21" s="268">
        <v>0</v>
      </c>
      <c r="F21" s="268">
        <v>44050</v>
      </c>
      <c r="G21" s="268">
        <v>44050</v>
      </c>
      <c r="H21" s="89">
        <f t="shared" si="1"/>
        <v>100</v>
      </c>
    </row>
    <row r="22" spans="1:8" s="28" customFormat="1" ht="36.75" customHeight="1">
      <c r="A22" s="71"/>
      <c r="B22" s="71"/>
      <c r="C22" s="72">
        <v>2030</v>
      </c>
      <c r="D22" s="80" t="s">
        <v>400</v>
      </c>
      <c r="E22" s="268">
        <v>0</v>
      </c>
      <c r="F22" s="268">
        <v>47967</v>
      </c>
      <c r="G22" s="268">
        <v>47965.2</v>
      </c>
      <c r="H22" s="89">
        <f t="shared" si="1"/>
        <v>99.99624742010131</v>
      </c>
    </row>
    <row r="23" spans="1:8" s="28" customFormat="1" ht="45">
      <c r="A23" s="88"/>
      <c r="B23" s="71"/>
      <c r="C23" s="115">
        <v>2310</v>
      </c>
      <c r="D23" s="43" t="s">
        <v>197</v>
      </c>
      <c r="E23" s="74">
        <v>4782</v>
      </c>
      <c r="F23" s="74">
        <v>4782</v>
      </c>
      <c r="G23" s="74">
        <v>6574.08</v>
      </c>
      <c r="H23" s="89">
        <f t="shared" si="1"/>
        <v>137.47553324968632</v>
      </c>
    </row>
    <row r="24" spans="1:8" s="28" customFormat="1" ht="21" customHeight="1">
      <c r="A24" s="88"/>
      <c r="B24" s="71">
        <v>80195</v>
      </c>
      <c r="C24" s="115"/>
      <c r="D24" s="43" t="s">
        <v>6</v>
      </c>
      <c r="E24" s="74">
        <f>SUM(E25)</f>
        <v>50986</v>
      </c>
      <c r="F24" s="74">
        <f>SUM(F25)</f>
        <v>528</v>
      </c>
      <c r="G24" s="74">
        <f>SUM(G25)</f>
        <v>528</v>
      </c>
      <c r="H24" s="89">
        <f t="shared" si="1"/>
        <v>100</v>
      </c>
    </row>
    <row r="25" spans="1:8" s="28" customFormat="1" ht="45">
      <c r="A25" s="88"/>
      <c r="B25" s="71"/>
      <c r="C25" s="115">
        <v>2030</v>
      </c>
      <c r="D25" s="80" t="s">
        <v>400</v>
      </c>
      <c r="E25" s="74">
        <v>50986</v>
      </c>
      <c r="F25" s="74">
        <v>528</v>
      </c>
      <c r="G25" s="74">
        <v>528</v>
      </c>
      <c r="H25" s="89">
        <f t="shared" si="1"/>
        <v>100</v>
      </c>
    </row>
    <row r="26" spans="1:8" s="46" customFormat="1" ht="21" customHeight="1">
      <c r="A26" s="39" t="s">
        <v>133</v>
      </c>
      <c r="B26" s="41"/>
      <c r="C26" s="269"/>
      <c r="D26" s="42" t="s">
        <v>164</v>
      </c>
      <c r="E26" s="261">
        <f>SUM(E27,E29,E32,E35,E37,)</f>
        <v>8801400</v>
      </c>
      <c r="F26" s="261">
        <f>SUM(F27,F29,F32,F35,F37,)</f>
        <v>8891563</v>
      </c>
      <c r="G26" s="261">
        <f>SUM(G27,G29,G32,G35,G37,)</f>
        <v>8886648.17</v>
      </c>
      <c r="H26" s="202">
        <f t="shared" si="1"/>
        <v>99.94472479135558</v>
      </c>
    </row>
    <row r="27" spans="1:8" s="28" customFormat="1" ht="45">
      <c r="A27" s="71"/>
      <c r="B27" s="59">
        <v>85212</v>
      </c>
      <c r="C27" s="82"/>
      <c r="D27" s="80" t="s">
        <v>548</v>
      </c>
      <c r="E27" s="276">
        <f>SUM(E28)</f>
        <v>6479100</v>
      </c>
      <c r="F27" s="276">
        <f>SUM(F28)</f>
        <v>6038925</v>
      </c>
      <c r="G27" s="276">
        <f>SUM(G28)</f>
        <v>6036767.59</v>
      </c>
      <c r="H27" s="89">
        <f t="shared" si="1"/>
        <v>99.96427493303858</v>
      </c>
    </row>
    <row r="28" spans="1:8" s="28" customFormat="1" ht="56.25">
      <c r="A28" s="71"/>
      <c r="B28" s="59"/>
      <c r="C28" s="82">
        <v>2010</v>
      </c>
      <c r="D28" s="43" t="s">
        <v>397</v>
      </c>
      <c r="E28" s="276">
        <v>6479100</v>
      </c>
      <c r="F28" s="276">
        <v>6038925</v>
      </c>
      <c r="G28" s="276">
        <v>6036767.59</v>
      </c>
      <c r="H28" s="89">
        <f t="shared" si="1"/>
        <v>99.96427493303858</v>
      </c>
    </row>
    <row r="29" spans="1:8" s="28" customFormat="1" ht="67.5">
      <c r="A29" s="71"/>
      <c r="B29" s="88">
        <v>85213</v>
      </c>
      <c r="C29" s="72"/>
      <c r="D29" s="80" t="s">
        <v>295</v>
      </c>
      <c r="E29" s="276">
        <f>SUM(E30,E31)</f>
        <v>59100</v>
      </c>
      <c r="F29" s="276">
        <f>SUM(F30,F31)</f>
        <v>49505</v>
      </c>
      <c r="G29" s="276">
        <f>SUM(G30,G31)</f>
        <v>46756.71000000001</v>
      </c>
      <c r="H29" s="89">
        <f t="shared" si="1"/>
        <v>94.44845975154026</v>
      </c>
    </row>
    <row r="30" spans="1:8" s="28" customFormat="1" ht="56.25">
      <c r="A30" s="71"/>
      <c r="B30" s="88"/>
      <c r="C30" s="72">
        <v>2010</v>
      </c>
      <c r="D30" s="43" t="s">
        <v>397</v>
      </c>
      <c r="E30" s="276">
        <v>59100</v>
      </c>
      <c r="F30" s="276">
        <v>32505</v>
      </c>
      <c r="G30" s="276">
        <v>30280.56</v>
      </c>
      <c r="H30" s="89">
        <f t="shared" si="1"/>
        <v>93.1566220581449</v>
      </c>
    </row>
    <row r="31" spans="1:8" s="28" customFormat="1" ht="38.25" customHeight="1">
      <c r="A31" s="71"/>
      <c r="B31" s="88"/>
      <c r="C31" s="72">
        <v>2030</v>
      </c>
      <c r="D31" s="80" t="s">
        <v>184</v>
      </c>
      <c r="E31" s="276">
        <v>0</v>
      </c>
      <c r="F31" s="276">
        <v>17000</v>
      </c>
      <c r="G31" s="276">
        <v>16476.15</v>
      </c>
      <c r="H31" s="89">
        <f t="shared" si="1"/>
        <v>96.91852941176471</v>
      </c>
    </row>
    <row r="32" spans="1:8" s="28" customFormat="1" ht="22.5">
      <c r="A32" s="71"/>
      <c r="B32" s="71" t="s">
        <v>134</v>
      </c>
      <c r="C32" s="72"/>
      <c r="D32" s="43" t="s">
        <v>401</v>
      </c>
      <c r="E32" s="268">
        <f>SUM(E33:E34)</f>
        <v>1124100</v>
      </c>
      <c r="F32" s="268">
        <f>SUM(F33:F34)</f>
        <v>1236609</v>
      </c>
      <c r="G32" s="268">
        <f>SUM(G33:G34)</f>
        <v>1236599.87</v>
      </c>
      <c r="H32" s="89">
        <f t="shared" si="1"/>
        <v>99.9992616906395</v>
      </c>
    </row>
    <row r="33" spans="1:8" s="28" customFormat="1" ht="56.25">
      <c r="A33" s="71"/>
      <c r="B33" s="71"/>
      <c r="C33" s="73" t="s">
        <v>398</v>
      </c>
      <c r="D33" s="43" t="s">
        <v>549</v>
      </c>
      <c r="E33" s="268">
        <v>468000</v>
      </c>
      <c r="F33" s="268">
        <v>245665</v>
      </c>
      <c r="G33" s="268">
        <v>245664.64</v>
      </c>
      <c r="H33" s="89">
        <f t="shared" si="1"/>
        <v>99.99985345897869</v>
      </c>
    </row>
    <row r="34" spans="1:8" s="28" customFormat="1" ht="33.75">
      <c r="A34" s="71"/>
      <c r="B34" s="71"/>
      <c r="C34" s="73">
        <v>2030</v>
      </c>
      <c r="D34" s="80" t="s">
        <v>184</v>
      </c>
      <c r="E34" s="268">
        <v>656100</v>
      </c>
      <c r="F34" s="268">
        <v>990944</v>
      </c>
      <c r="G34" s="268">
        <v>990935.23</v>
      </c>
      <c r="H34" s="89">
        <f t="shared" si="1"/>
        <v>99.99911498530693</v>
      </c>
    </row>
    <row r="35" spans="1:8" s="28" customFormat="1" ht="21" customHeight="1">
      <c r="A35" s="71"/>
      <c r="B35" s="71" t="s">
        <v>135</v>
      </c>
      <c r="C35" s="72"/>
      <c r="D35" s="43" t="s">
        <v>58</v>
      </c>
      <c r="E35" s="268">
        <f>E36</f>
        <v>597800</v>
      </c>
      <c r="F35" s="268">
        <f>F36</f>
        <v>586524</v>
      </c>
      <c r="G35" s="268">
        <f>G36</f>
        <v>586524</v>
      </c>
      <c r="H35" s="89">
        <f t="shared" si="1"/>
        <v>100</v>
      </c>
    </row>
    <row r="36" spans="1:8" s="28" customFormat="1" ht="45">
      <c r="A36" s="71"/>
      <c r="B36" s="71"/>
      <c r="C36" s="73">
        <v>2030</v>
      </c>
      <c r="D36" s="80" t="s">
        <v>400</v>
      </c>
      <c r="E36" s="268">
        <v>597800</v>
      </c>
      <c r="F36" s="268">
        <v>586524</v>
      </c>
      <c r="G36" s="268">
        <v>586524</v>
      </c>
      <c r="H36" s="89">
        <f t="shared" si="1"/>
        <v>100</v>
      </c>
    </row>
    <row r="37" spans="1:8" s="28" customFormat="1" ht="21" customHeight="1">
      <c r="A37" s="71"/>
      <c r="B37" s="71">
        <v>85295</v>
      </c>
      <c r="C37" s="73"/>
      <c r="D37" s="80" t="s">
        <v>6</v>
      </c>
      <c r="E37" s="268">
        <f>SUM(E38)</f>
        <v>541300</v>
      </c>
      <c r="F37" s="268">
        <f>SUM(F38)</f>
        <v>980000</v>
      </c>
      <c r="G37" s="268">
        <f>SUM(G38)</f>
        <v>980000</v>
      </c>
      <c r="H37" s="89">
        <f t="shared" si="1"/>
        <v>100</v>
      </c>
    </row>
    <row r="38" spans="1:8" s="28" customFormat="1" ht="33.75">
      <c r="A38" s="71"/>
      <c r="B38" s="71"/>
      <c r="C38" s="73">
        <v>2030</v>
      </c>
      <c r="D38" s="80" t="s">
        <v>184</v>
      </c>
      <c r="E38" s="268">
        <v>541300</v>
      </c>
      <c r="F38" s="268">
        <v>980000</v>
      </c>
      <c r="G38" s="268">
        <v>980000</v>
      </c>
      <c r="H38" s="89">
        <f t="shared" si="1"/>
        <v>100</v>
      </c>
    </row>
    <row r="39" spans="1:8" s="156" customFormat="1" ht="21" customHeight="1">
      <c r="A39" s="199">
        <v>854</v>
      </c>
      <c r="B39" s="211"/>
      <c r="C39" s="212"/>
      <c r="D39" s="42" t="s">
        <v>59</v>
      </c>
      <c r="E39" s="277">
        <f aca="true" t="shared" si="2" ref="E39:G40">SUM(E40)</f>
        <v>0</v>
      </c>
      <c r="F39" s="277">
        <f t="shared" si="2"/>
        <v>490631</v>
      </c>
      <c r="G39" s="277">
        <f t="shared" si="2"/>
        <v>470366.46</v>
      </c>
      <c r="H39" s="202">
        <f t="shared" si="1"/>
        <v>95.8696984087838</v>
      </c>
    </row>
    <row r="40" spans="1:8" s="28" customFormat="1" ht="21" customHeight="1">
      <c r="A40" s="75"/>
      <c r="B40" s="76">
        <v>85415</v>
      </c>
      <c r="C40" s="77"/>
      <c r="D40" s="43" t="s">
        <v>196</v>
      </c>
      <c r="E40" s="268">
        <f t="shared" si="2"/>
        <v>0</v>
      </c>
      <c r="F40" s="268">
        <f>SUM(F41)</f>
        <v>490631</v>
      </c>
      <c r="G40" s="268">
        <f>SUM(G41)</f>
        <v>470366.46</v>
      </c>
      <c r="H40" s="89">
        <f t="shared" si="1"/>
        <v>95.8696984087838</v>
      </c>
    </row>
    <row r="41" spans="1:8" s="28" customFormat="1" ht="22.5" customHeight="1">
      <c r="A41" s="71"/>
      <c r="B41" s="71"/>
      <c r="C41" s="73">
        <v>2030</v>
      </c>
      <c r="D41" s="80" t="s">
        <v>184</v>
      </c>
      <c r="E41" s="268">
        <v>0</v>
      </c>
      <c r="F41" s="268">
        <v>490631</v>
      </c>
      <c r="G41" s="268">
        <v>470366.46</v>
      </c>
      <c r="H41" s="89">
        <f t="shared" si="1"/>
        <v>95.8696984087838</v>
      </c>
    </row>
    <row r="42" spans="1:8" s="9" customFormat="1" ht="24.75" customHeight="1">
      <c r="A42" s="39" t="s">
        <v>62</v>
      </c>
      <c r="B42" s="266"/>
      <c r="C42" s="267"/>
      <c r="D42" s="42" t="s">
        <v>68</v>
      </c>
      <c r="E42" s="261">
        <f>SUM(E45,E43)</f>
        <v>60000</v>
      </c>
      <c r="F42" s="261">
        <f>SUM(F45,F43)</f>
        <v>69350</v>
      </c>
      <c r="G42" s="261">
        <f>SUM(G45,G43)</f>
        <v>69349.97</v>
      </c>
      <c r="H42" s="202">
        <f t="shared" si="1"/>
        <v>99.99995674116799</v>
      </c>
    </row>
    <row r="43" spans="1:8" s="28" customFormat="1" ht="21" customHeight="1">
      <c r="A43" s="278"/>
      <c r="B43" s="171">
        <v>92105</v>
      </c>
      <c r="C43" s="176"/>
      <c r="D43" s="216" t="s">
        <v>346</v>
      </c>
      <c r="E43" s="265">
        <f>SUM(E44)</f>
        <v>0</v>
      </c>
      <c r="F43" s="265">
        <f>SUM(F44)</f>
        <v>9350</v>
      </c>
      <c r="G43" s="265">
        <f>SUM(G44)</f>
        <v>9349.97</v>
      </c>
      <c r="H43" s="89">
        <f t="shared" si="1"/>
        <v>99.99967914438503</v>
      </c>
    </row>
    <row r="44" spans="1:8" s="28" customFormat="1" ht="45">
      <c r="A44" s="278"/>
      <c r="B44" s="171"/>
      <c r="C44" s="176">
        <v>2320</v>
      </c>
      <c r="D44" s="80" t="s">
        <v>185</v>
      </c>
      <c r="E44" s="279">
        <v>0</v>
      </c>
      <c r="F44" s="265">
        <v>9350</v>
      </c>
      <c r="G44" s="265">
        <v>9349.97</v>
      </c>
      <c r="H44" s="89">
        <f t="shared" si="1"/>
        <v>99.99967914438503</v>
      </c>
    </row>
    <row r="45" spans="1:8" s="28" customFormat="1" ht="21" customHeight="1">
      <c r="A45" s="71"/>
      <c r="B45" s="71" t="s">
        <v>63</v>
      </c>
      <c r="C45" s="72"/>
      <c r="D45" s="43" t="s">
        <v>64</v>
      </c>
      <c r="E45" s="268">
        <f>E46</f>
        <v>60000</v>
      </c>
      <c r="F45" s="268">
        <f>F46</f>
        <v>60000</v>
      </c>
      <c r="G45" s="268">
        <f>G46</f>
        <v>60000</v>
      </c>
      <c r="H45" s="89">
        <f t="shared" si="1"/>
        <v>100</v>
      </c>
    </row>
    <row r="46" spans="1:8" s="28" customFormat="1" ht="45">
      <c r="A46" s="71"/>
      <c r="B46" s="71"/>
      <c r="C46" s="73">
        <v>2320</v>
      </c>
      <c r="D46" s="43" t="s">
        <v>185</v>
      </c>
      <c r="E46" s="268">
        <v>60000</v>
      </c>
      <c r="F46" s="268">
        <v>60000</v>
      </c>
      <c r="G46" s="268">
        <v>60000</v>
      </c>
      <c r="H46" s="89">
        <f t="shared" si="1"/>
        <v>100</v>
      </c>
    </row>
    <row r="47" spans="1:8" s="28" customFormat="1" ht="24">
      <c r="A47" s="211">
        <v>926</v>
      </c>
      <c r="B47" s="211"/>
      <c r="C47" s="211"/>
      <c r="D47" s="42" t="s">
        <v>113</v>
      </c>
      <c r="E47" s="277">
        <f aca="true" t="shared" si="3" ref="E47:G48">SUM(E48)</f>
        <v>0</v>
      </c>
      <c r="F47" s="277">
        <f t="shared" si="3"/>
        <v>3200</v>
      </c>
      <c r="G47" s="277">
        <f t="shared" si="3"/>
        <v>3200</v>
      </c>
      <c r="H47" s="202">
        <f t="shared" si="1"/>
        <v>100</v>
      </c>
    </row>
    <row r="48" spans="1:8" s="28" customFormat="1" ht="22.5">
      <c r="A48" s="76"/>
      <c r="B48" s="76">
        <v>92605</v>
      </c>
      <c r="C48" s="76"/>
      <c r="D48" s="43" t="s">
        <v>66</v>
      </c>
      <c r="E48" s="268">
        <f t="shared" si="3"/>
        <v>0</v>
      </c>
      <c r="F48" s="268">
        <f t="shared" si="3"/>
        <v>3200</v>
      </c>
      <c r="G48" s="268">
        <f t="shared" si="3"/>
        <v>3200</v>
      </c>
      <c r="H48" s="89">
        <f t="shared" si="1"/>
        <v>100</v>
      </c>
    </row>
    <row r="49" spans="1:8" s="28" customFormat="1" ht="45">
      <c r="A49" s="76"/>
      <c r="B49" s="76"/>
      <c r="C49" s="76">
        <v>2320</v>
      </c>
      <c r="D49" s="80" t="s">
        <v>185</v>
      </c>
      <c r="E49" s="268">
        <v>0</v>
      </c>
      <c r="F49" s="268">
        <v>3200</v>
      </c>
      <c r="G49" s="268">
        <v>3200</v>
      </c>
      <c r="H49" s="89">
        <f t="shared" si="1"/>
        <v>100</v>
      </c>
    </row>
    <row r="50" spans="1:8" s="28" customFormat="1" ht="25.5" customHeight="1">
      <c r="A50" s="280"/>
      <c r="B50" s="281"/>
      <c r="C50" s="282"/>
      <c r="D50" s="283" t="s">
        <v>67</v>
      </c>
      <c r="E50" s="284">
        <f>SUM(E42,E26,E14,E11,E19,E39)</f>
        <v>9077678</v>
      </c>
      <c r="F50" s="284">
        <f>SUM(F42,F26,F14,F11,F19,F39,F47,F8)</f>
        <v>10305172</v>
      </c>
      <c r="G50" s="284">
        <f>SUM(G42,G26,G14,G11,G19,G39,G47,G8)</f>
        <v>10281613.580000002</v>
      </c>
      <c r="H50" s="202">
        <f t="shared" si="1"/>
        <v>99.7713922678826</v>
      </c>
    </row>
    <row r="51" spans="1:3" ht="12.75">
      <c r="A51" s="67"/>
      <c r="B51" s="67"/>
      <c r="C51" s="67"/>
    </row>
    <row r="54" spans="5:7" ht="12.75">
      <c r="E54" s="285"/>
      <c r="F54" s="30"/>
      <c r="G54" s="30"/>
    </row>
    <row r="55" spans="6:7" ht="12.75">
      <c r="F55" s="30"/>
      <c r="G55" s="30"/>
    </row>
    <row r="56" spans="6:7" ht="12.75">
      <c r="F56" s="30"/>
      <c r="G56" s="30"/>
    </row>
    <row r="57" spans="6:7" ht="12.75">
      <c r="F57" s="30"/>
      <c r="G57" s="30"/>
    </row>
    <row r="58" spans="6:7" ht="12.75">
      <c r="F58" s="30"/>
      <c r="G58" s="30"/>
    </row>
    <row r="59" spans="6:7" ht="12.75">
      <c r="F59" s="30"/>
      <c r="G59" s="30"/>
    </row>
    <row r="60" spans="6:7" ht="12.75">
      <c r="F60" s="30"/>
      <c r="G60" s="30"/>
    </row>
    <row r="61" spans="6:7" ht="12.75">
      <c r="F61" s="30"/>
      <c r="G61" s="30"/>
    </row>
    <row r="62" spans="6:7" ht="12.75">
      <c r="F62" s="30"/>
      <c r="G62" s="30"/>
    </row>
    <row r="63" spans="6:7" ht="12.75">
      <c r="F63" s="326"/>
      <c r="G63" s="326"/>
    </row>
    <row r="64" spans="6:7" ht="12.75">
      <c r="F64" s="30"/>
      <c r="G64" s="30"/>
    </row>
    <row r="65" spans="6:7" ht="12.75">
      <c r="F65" s="30"/>
      <c r="G65" s="30"/>
    </row>
    <row r="66" spans="6:7" ht="12.75">
      <c r="F66" s="30"/>
      <c r="G66" s="30"/>
    </row>
    <row r="67" spans="6:7" ht="12.75">
      <c r="F67" s="30"/>
      <c r="G67" s="30"/>
    </row>
    <row r="68" spans="6:7" ht="12.75">
      <c r="F68" s="30"/>
      <c r="G68" s="30"/>
    </row>
  </sheetData>
  <sheetProtection/>
  <mergeCells count="8">
    <mergeCell ref="A6:A7"/>
    <mergeCell ref="B6:B7"/>
    <mergeCell ref="C6:C7"/>
    <mergeCell ref="D6:D7"/>
    <mergeCell ref="E6:E7"/>
    <mergeCell ref="A5:G5"/>
    <mergeCell ref="F6:F7"/>
    <mergeCell ref="G6:H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selection activeCell="AB2" sqref="AB2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5.00390625" style="9" bestFit="1" customWidth="1"/>
    <col min="4" max="4" width="40.375" style="9" customWidth="1"/>
    <col min="5" max="5" width="43.625" style="9" customWidth="1"/>
    <col min="6" max="6" width="0.12890625" style="9" hidden="1" customWidth="1"/>
    <col min="7" max="7" width="12.00390625" style="9" hidden="1" customWidth="1"/>
    <col min="8" max="8" width="12.125" style="9" customWidth="1"/>
    <col min="9" max="9" width="12.00390625" style="9" hidden="1" customWidth="1"/>
    <col min="10" max="11" width="14.25390625" style="9" hidden="1" customWidth="1"/>
    <col min="12" max="12" width="0.12890625" style="9" hidden="1" customWidth="1"/>
    <col min="13" max="24" width="14.25390625" style="9" hidden="1" customWidth="1"/>
    <col min="25" max="25" width="13.75390625" style="9" hidden="1" customWidth="1"/>
    <col min="26" max="27" width="14.25390625" style="9" hidden="1" customWidth="1"/>
    <col min="28" max="28" width="13.00390625" style="9" customWidth="1"/>
    <col min="29" max="29" width="12.375" style="9" customWidth="1"/>
    <col min="30" max="30" width="6.25390625" style="349" customWidth="1"/>
  </cols>
  <sheetData>
    <row r="1" spans="6:29" ht="12.75">
      <c r="F1" s="9" t="s">
        <v>212</v>
      </c>
      <c r="H1" s="68"/>
      <c r="J1" s="68" t="s">
        <v>355</v>
      </c>
      <c r="L1" s="68" t="s">
        <v>367</v>
      </c>
      <c r="M1" s="68"/>
      <c r="N1" s="68" t="s">
        <v>389</v>
      </c>
      <c r="O1" s="68"/>
      <c r="P1" s="68" t="s">
        <v>394</v>
      </c>
      <c r="Q1" s="68"/>
      <c r="R1" s="68" t="s">
        <v>477</v>
      </c>
      <c r="S1" s="68"/>
      <c r="T1" s="68" t="s">
        <v>482</v>
      </c>
      <c r="U1" s="68"/>
      <c r="V1" s="68" t="s">
        <v>490</v>
      </c>
      <c r="W1" s="68"/>
      <c r="X1" s="68" t="s">
        <v>493</v>
      </c>
      <c r="Y1" s="68"/>
      <c r="Z1" s="68" t="s">
        <v>499</v>
      </c>
      <c r="AA1" s="68"/>
      <c r="AB1" s="68" t="s">
        <v>545</v>
      </c>
      <c r="AC1" s="68"/>
    </row>
    <row r="2" spans="6:29" ht="12.75">
      <c r="F2" s="9" t="s">
        <v>190</v>
      </c>
      <c r="H2" s="68"/>
      <c r="J2" s="68" t="s">
        <v>354</v>
      </c>
      <c r="L2" s="68" t="s">
        <v>368</v>
      </c>
      <c r="M2" s="68"/>
      <c r="N2" s="68" t="s">
        <v>388</v>
      </c>
      <c r="O2" s="68"/>
      <c r="P2" s="68" t="s">
        <v>393</v>
      </c>
      <c r="Q2" s="68"/>
      <c r="R2" s="68" t="s">
        <v>476</v>
      </c>
      <c r="S2" s="68"/>
      <c r="T2" s="68" t="s">
        <v>481</v>
      </c>
      <c r="U2" s="68"/>
      <c r="V2" s="68" t="s">
        <v>489</v>
      </c>
      <c r="W2" s="68"/>
      <c r="X2" s="68" t="s">
        <v>492</v>
      </c>
      <c r="Y2" s="68"/>
      <c r="Z2" s="68" t="s">
        <v>500</v>
      </c>
      <c r="AA2" s="68"/>
      <c r="AB2" s="68" t="s">
        <v>509</v>
      </c>
      <c r="AC2" s="68"/>
    </row>
    <row r="3" spans="6:29" ht="12.75">
      <c r="F3" s="9" t="s">
        <v>126</v>
      </c>
      <c r="H3" s="68"/>
      <c r="J3" s="68" t="s">
        <v>322</v>
      </c>
      <c r="L3" s="68" t="s">
        <v>355</v>
      </c>
      <c r="M3" s="68"/>
      <c r="N3" s="68" t="s">
        <v>367</v>
      </c>
      <c r="O3" s="68"/>
      <c r="P3" s="68" t="s">
        <v>389</v>
      </c>
      <c r="Q3" s="68"/>
      <c r="R3" s="68" t="s">
        <v>394</v>
      </c>
      <c r="S3" s="68"/>
      <c r="T3" s="68" t="s">
        <v>477</v>
      </c>
      <c r="U3" s="68"/>
      <c r="V3" s="68" t="s">
        <v>482</v>
      </c>
      <c r="W3" s="68"/>
      <c r="X3" s="68" t="s">
        <v>490</v>
      </c>
      <c r="Y3" s="68"/>
      <c r="Z3" s="68" t="s">
        <v>493</v>
      </c>
      <c r="AA3" s="68"/>
      <c r="AB3" s="68" t="s">
        <v>503</v>
      </c>
      <c r="AC3" s="68"/>
    </row>
    <row r="4" spans="6:29" ht="12.75">
      <c r="F4" s="9" t="s">
        <v>191</v>
      </c>
      <c r="H4" s="68"/>
      <c r="J4" s="68" t="s">
        <v>342</v>
      </c>
      <c r="L4" s="68" t="s">
        <v>358</v>
      </c>
      <c r="M4" s="68"/>
      <c r="N4" s="68" t="s">
        <v>370</v>
      </c>
      <c r="O4" s="68"/>
      <c r="P4" s="68" t="s">
        <v>392</v>
      </c>
      <c r="Q4" s="68"/>
      <c r="R4" s="68" t="s">
        <v>395</v>
      </c>
      <c r="S4" s="68"/>
      <c r="T4" s="68" t="s">
        <v>478</v>
      </c>
      <c r="U4" s="68"/>
      <c r="V4" s="68" t="s">
        <v>483</v>
      </c>
      <c r="W4" s="68"/>
      <c r="X4" s="68" t="s">
        <v>491</v>
      </c>
      <c r="Y4" s="68"/>
      <c r="Z4" s="68" t="s">
        <v>494</v>
      </c>
      <c r="AA4" s="68"/>
      <c r="AB4" s="68" t="s">
        <v>510</v>
      </c>
      <c r="AC4" s="68"/>
    </row>
    <row r="5" spans="1:30" ht="40.5" customHeight="1">
      <c r="A5" s="417" t="s">
        <v>538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</row>
    <row r="6" spans="1:29" ht="31.5" customHeight="1">
      <c r="A6" s="431" t="s">
        <v>298</v>
      </c>
      <c r="B6" s="431"/>
      <c r="C6" s="431"/>
      <c r="D6" s="431"/>
      <c r="E6" s="431"/>
      <c r="F6" s="43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30" s="108" customFormat="1" ht="29.25" customHeight="1">
      <c r="A7" s="6" t="s">
        <v>0</v>
      </c>
      <c r="B7" s="6" t="s">
        <v>1</v>
      </c>
      <c r="C7" s="6" t="s">
        <v>2</v>
      </c>
      <c r="D7" s="6" t="s">
        <v>213</v>
      </c>
      <c r="E7" s="6" t="s">
        <v>214</v>
      </c>
      <c r="F7" s="119" t="s">
        <v>215</v>
      </c>
      <c r="G7" s="119" t="s">
        <v>303</v>
      </c>
      <c r="H7" s="119" t="s">
        <v>119</v>
      </c>
      <c r="I7" s="119" t="s">
        <v>303</v>
      </c>
      <c r="J7" s="119" t="s">
        <v>120</v>
      </c>
      <c r="K7" s="119" t="s">
        <v>303</v>
      </c>
      <c r="L7" s="119" t="s">
        <v>120</v>
      </c>
      <c r="M7" s="119" t="s">
        <v>303</v>
      </c>
      <c r="N7" s="119" t="s">
        <v>120</v>
      </c>
      <c r="O7" s="119" t="s">
        <v>303</v>
      </c>
      <c r="P7" s="119" t="s">
        <v>120</v>
      </c>
      <c r="Q7" s="119" t="s">
        <v>303</v>
      </c>
      <c r="R7" s="119" t="s">
        <v>120</v>
      </c>
      <c r="S7" s="119" t="s">
        <v>303</v>
      </c>
      <c r="T7" s="119" t="s">
        <v>120</v>
      </c>
      <c r="U7" s="119" t="s">
        <v>303</v>
      </c>
      <c r="V7" s="119" t="s">
        <v>120</v>
      </c>
      <c r="W7" s="119" t="s">
        <v>303</v>
      </c>
      <c r="X7" s="119" t="s">
        <v>120</v>
      </c>
      <c r="Y7" s="119" t="s">
        <v>303</v>
      </c>
      <c r="Z7" s="119" t="s">
        <v>120</v>
      </c>
      <c r="AA7" s="119" t="s">
        <v>303</v>
      </c>
      <c r="AB7" s="119" t="s">
        <v>320</v>
      </c>
      <c r="AC7" s="119" t="s">
        <v>519</v>
      </c>
      <c r="AD7" s="342" t="s">
        <v>507</v>
      </c>
    </row>
    <row r="8" spans="1:30" s="137" customFormat="1" ht="27" customHeight="1">
      <c r="A8" s="420" t="s">
        <v>250</v>
      </c>
      <c r="B8" s="420"/>
      <c r="C8" s="420"/>
      <c r="D8" s="420"/>
      <c r="E8" s="136"/>
      <c r="F8" s="21">
        <f aca="true" t="shared" si="0" ref="F8:L8">SUM(F9:F10)</f>
        <v>3368735</v>
      </c>
      <c r="G8" s="21">
        <f t="shared" si="0"/>
        <v>0</v>
      </c>
      <c r="H8" s="21">
        <f t="shared" si="0"/>
        <v>3368735</v>
      </c>
      <c r="I8" s="21">
        <f t="shared" si="0"/>
        <v>0</v>
      </c>
      <c r="J8" s="21">
        <f t="shared" si="0"/>
        <v>3368735</v>
      </c>
      <c r="K8" s="21">
        <f t="shared" si="0"/>
        <v>500</v>
      </c>
      <c r="L8" s="21">
        <f t="shared" si="0"/>
        <v>3369235</v>
      </c>
      <c r="M8" s="21">
        <f aca="true" t="shared" si="1" ref="M8:R8">SUM(M9:M10)</f>
        <v>0</v>
      </c>
      <c r="N8" s="21">
        <f t="shared" si="1"/>
        <v>3369235</v>
      </c>
      <c r="O8" s="21">
        <f t="shared" si="1"/>
        <v>0</v>
      </c>
      <c r="P8" s="21">
        <f t="shared" si="1"/>
        <v>3369235</v>
      </c>
      <c r="Q8" s="21">
        <f t="shared" si="1"/>
        <v>0</v>
      </c>
      <c r="R8" s="21">
        <f t="shared" si="1"/>
        <v>3369235</v>
      </c>
      <c r="S8" s="21">
        <f aca="true" t="shared" si="2" ref="S8:X8">SUM(S9:S10)</f>
        <v>29877</v>
      </c>
      <c r="T8" s="21">
        <f t="shared" si="2"/>
        <v>3399112</v>
      </c>
      <c r="U8" s="21">
        <f t="shared" si="2"/>
        <v>0</v>
      </c>
      <c r="V8" s="21">
        <f t="shared" si="2"/>
        <v>3399112</v>
      </c>
      <c r="W8" s="21">
        <f t="shared" si="2"/>
        <v>0</v>
      </c>
      <c r="X8" s="21">
        <f t="shared" si="2"/>
        <v>3399112</v>
      </c>
      <c r="Y8" s="21">
        <f>SUM(Y9:Y10)</f>
        <v>216000</v>
      </c>
      <c r="Z8" s="21">
        <f>SUM(Z9:Z10)</f>
        <v>3615112</v>
      </c>
      <c r="AA8" s="21">
        <f>SUM(AA9:AA10)</f>
        <v>0</v>
      </c>
      <c r="AB8" s="21">
        <f>SUM(AB9:AB10)</f>
        <v>3615112</v>
      </c>
      <c r="AC8" s="21">
        <f>SUM(AC9:AC10)</f>
        <v>3585015.24</v>
      </c>
      <c r="AD8" s="387">
        <f>AC8/AB8*100</f>
        <v>99.16747364950243</v>
      </c>
    </row>
    <row r="9" spans="1:30" s="138" customFormat="1" ht="25.5" customHeight="1">
      <c r="A9" s="3">
        <v>801</v>
      </c>
      <c r="B9" s="4">
        <v>80104</v>
      </c>
      <c r="C9" s="181">
        <v>2510</v>
      </c>
      <c r="D9" s="122" t="s">
        <v>216</v>
      </c>
      <c r="E9" s="122" t="s">
        <v>217</v>
      </c>
      <c r="F9" s="118">
        <v>3355048</v>
      </c>
      <c r="G9" s="118"/>
      <c r="H9" s="118">
        <f>SUM(F9:G9)</f>
        <v>3355048</v>
      </c>
      <c r="I9" s="118"/>
      <c r="J9" s="118">
        <f>SUM(H9:I9)</f>
        <v>3355048</v>
      </c>
      <c r="K9" s="118">
        <v>500</v>
      </c>
      <c r="L9" s="118">
        <f>SUM(J9:K9)</f>
        <v>3355548</v>
      </c>
      <c r="M9" s="118"/>
      <c r="N9" s="118">
        <f>SUM(L9:M9)</f>
        <v>3355548</v>
      </c>
      <c r="O9" s="118"/>
      <c r="P9" s="118">
        <f>SUM(N9:O9)</f>
        <v>3355548</v>
      </c>
      <c r="Q9" s="118"/>
      <c r="R9" s="118">
        <f>SUM(P9:Q9)</f>
        <v>3355548</v>
      </c>
      <c r="S9" s="118">
        <v>29877</v>
      </c>
      <c r="T9" s="118">
        <f>SUM(R9:S9)</f>
        <v>3385425</v>
      </c>
      <c r="U9" s="118"/>
      <c r="V9" s="118">
        <f>SUM(T9:U9)</f>
        <v>3385425</v>
      </c>
      <c r="W9" s="118"/>
      <c r="X9" s="118">
        <f>SUM(V9:W9)</f>
        <v>3385425</v>
      </c>
      <c r="Y9" s="118">
        <v>216000</v>
      </c>
      <c r="Z9" s="118">
        <f>SUM(X9:Y9)</f>
        <v>3601425</v>
      </c>
      <c r="AA9" s="118"/>
      <c r="AB9" s="118">
        <f>SUM(Z9:AA9)</f>
        <v>3601425</v>
      </c>
      <c r="AC9" s="118">
        <v>3571967</v>
      </c>
      <c r="AD9" s="381">
        <f aca="true" t="shared" si="3" ref="AD9:AD55">AC9/AB9*100</f>
        <v>99.18204599568227</v>
      </c>
    </row>
    <row r="10" spans="1:30" s="138" customFormat="1" ht="25.5" customHeight="1">
      <c r="A10" s="3">
        <v>801</v>
      </c>
      <c r="B10" s="3">
        <v>80146</v>
      </c>
      <c r="C10" s="4">
        <v>2510</v>
      </c>
      <c r="D10" s="182" t="s">
        <v>216</v>
      </c>
      <c r="E10" s="182" t="s">
        <v>218</v>
      </c>
      <c r="F10" s="382">
        <v>13687</v>
      </c>
      <c r="G10" s="382"/>
      <c r="H10" s="118">
        <f>SUM(F10:G10)</f>
        <v>13687</v>
      </c>
      <c r="I10" s="382"/>
      <c r="J10" s="118">
        <f>SUM(H10:I10)</f>
        <v>13687</v>
      </c>
      <c r="K10" s="382"/>
      <c r="L10" s="118">
        <f>SUM(J10:K10)</f>
        <v>13687</v>
      </c>
      <c r="M10" s="382"/>
      <c r="N10" s="118">
        <f>SUM(L10:M10)</f>
        <v>13687</v>
      </c>
      <c r="O10" s="382"/>
      <c r="P10" s="118">
        <f>SUM(N10:O10)</f>
        <v>13687</v>
      </c>
      <c r="Q10" s="382"/>
      <c r="R10" s="118">
        <f>SUM(P10:Q10)</f>
        <v>13687</v>
      </c>
      <c r="S10" s="382"/>
      <c r="T10" s="118">
        <f>SUM(R10:S10)</f>
        <v>13687</v>
      </c>
      <c r="U10" s="382"/>
      <c r="V10" s="118">
        <f>SUM(T10:U10)</f>
        <v>13687</v>
      </c>
      <c r="W10" s="382"/>
      <c r="X10" s="118">
        <f>SUM(V10:W10)</f>
        <v>13687</v>
      </c>
      <c r="Y10" s="382"/>
      <c r="Z10" s="118">
        <f>SUM(X10:Y10)</f>
        <v>13687</v>
      </c>
      <c r="AA10" s="382"/>
      <c r="AB10" s="118">
        <f>SUM(Z10:AA10)</f>
        <v>13687</v>
      </c>
      <c r="AC10" s="382">
        <v>13048.24</v>
      </c>
      <c r="AD10" s="381">
        <f t="shared" si="3"/>
        <v>95.33308979323445</v>
      </c>
    </row>
    <row r="11" spans="1:30" s="137" customFormat="1" ht="26.25" customHeight="1">
      <c r="A11" s="420" t="s">
        <v>251</v>
      </c>
      <c r="B11" s="420"/>
      <c r="C11" s="420"/>
      <c r="D11" s="420"/>
      <c r="E11" s="136"/>
      <c r="F11" s="21">
        <f aca="true" t="shared" si="4" ref="F11:L11">SUM(F12:F16)</f>
        <v>609792</v>
      </c>
      <c r="G11" s="21">
        <f t="shared" si="4"/>
        <v>0</v>
      </c>
      <c r="H11" s="21">
        <f t="shared" si="4"/>
        <v>609792</v>
      </c>
      <c r="I11" s="21">
        <f t="shared" si="4"/>
        <v>0</v>
      </c>
      <c r="J11" s="21">
        <f t="shared" si="4"/>
        <v>609792</v>
      </c>
      <c r="K11" s="21">
        <f t="shared" si="4"/>
        <v>0</v>
      </c>
      <c r="L11" s="21">
        <f t="shared" si="4"/>
        <v>609792</v>
      </c>
      <c r="M11" s="21">
        <f aca="true" t="shared" si="5" ref="M11:R11">SUM(M12:M16)</f>
        <v>0</v>
      </c>
      <c r="N11" s="21">
        <f t="shared" si="5"/>
        <v>609792</v>
      </c>
      <c r="O11" s="21">
        <f t="shared" si="5"/>
        <v>0</v>
      </c>
      <c r="P11" s="21">
        <f t="shared" si="5"/>
        <v>609792</v>
      </c>
      <c r="Q11" s="21">
        <f t="shared" si="5"/>
        <v>0</v>
      </c>
      <c r="R11" s="21">
        <f t="shared" si="5"/>
        <v>609792</v>
      </c>
      <c r="S11" s="21">
        <f aca="true" t="shared" si="6" ref="S11:X11">SUM(S12:S16)</f>
        <v>87865</v>
      </c>
      <c r="T11" s="21">
        <f t="shared" si="6"/>
        <v>697657</v>
      </c>
      <c r="U11" s="21">
        <f t="shared" si="6"/>
        <v>0</v>
      </c>
      <c r="V11" s="21">
        <f t="shared" si="6"/>
        <v>697657</v>
      </c>
      <c r="W11" s="21">
        <f t="shared" si="6"/>
        <v>0</v>
      </c>
      <c r="X11" s="21">
        <f t="shared" si="6"/>
        <v>697657</v>
      </c>
      <c r="Y11" s="21">
        <f>SUM(Y12:Y16)</f>
        <v>0</v>
      </c>
      <c r="Z11" s="21">
        <f>SUM(Z12:Z16)</f>
        <v>697657</v>
      </c>
      <c r="AA11" s="21">
        <f>SUM(AA12:AA16)</f>
        <v>0</v>
      </c>
      <c r="AB11" s="21">
        <f>SUM(AB12:AB16)</f>
        <v>697657</v>
      </c>
      <c r="AC11" s="21">
        <f>SUM(AC12:AC16)</f>
        <v>697657</v>
      </c>
      <c r="AD11" s="387">
        <f t="shared" si="3"/>
        <v>100</v>
      </c>
    </row>
    <row r="12" spans="1:30" s="138" customFormat="1" ht="24">
      <c r="A12" s="3">
        <v>801</v>
      </c>
      <c r="B12" s="4">
        <v>80101</v>
      </c>
      <c r="C12" s="181">
        <v>2540</v>
      </c>
      <c r="D12" s="122" t="s">
        <v>219</v>
      </c>
      <c r="E12" s="122" t="s">
        <v>220</v>
      </c>
      <c r="F12" s="118">
        <v>447149</v>
      </c>
      <c r="G12" s="118"/>
      <c r="H12" s="118">
        <f>SUM(F12:G12)</f>
        <v>447149</v>
      </c>
      <c r="I12" s="118"/>
      <c r="J12" s="118">
        <f>SUM(H12:I12)</f>
        <v>447149</v>
      </c>
      <c r="K12" s="118"/>
      <c r="L12" s="118">
        <f>SUM(J12:K12)</f>
        <v>447149</v>
      </c>
      <c r="M12" s="118"/>
      <c r="N12" s="118">
        <f>SUM(L12:M12)</f>
        <v>447149</v>
      </c>
      <c r="O12" s="118"/>
      <c r="P12" s="118">
        <f>SUM(N12:O12)</f>
        <v>447149</v>
      </c>
      <c r="Q12" s="118"/>
      <c r="R12" s="118">
        <f>SUM(P12:Q12)</f>
        <v>447149</v>
      </c>
      <c r="S12" s="118">
        <v>-149040</v>
      </c>
      <c r="T12" s="118">
        <f>SUM(R12:S12)</f>
        <v>298109</v>
      </c>
      <c r="U12" s="118"/>
      <c r="V12" s="118">
        <f>SUM(T12:U12)</f>
        <v>298109</v>
      </c>
      <c r="W12" s="118"/>
      <c r="X12" s="118">
        <f>SUM(V12:W12)</f>
        <v>298109</v>
      </c>
      <c r="Y12" s="118"/>
      <c r="Z12" s="118">
        <f>SUM(X12:Y12)</f>
        <v>298109</v>
      </c>
      <c r="AA12" s="118"/>
      <c r="AB12" s="118">
        <f>SUM(Z12:AA12)</f>
        <v>298109</v>
      </c>
      <c r="AC12" s="118">
        <v>298109</v>
      </c>
      <c r="AD12" s="381">
        <f t="shared" si="3"/>
        <v>100</v>
      </c>
    </row>
    <row r="13" spans="1:30" s="138" customFormat="1" ht="24">
      <c r="A13" s="3">
        <v>801</v>
      </c>
      <c r="B13" s="121">
        <v>80101</v>
      </c>
      <c r="C13" s="181">
        <v>2590</v>
      </c>
      <c r="D13" s="122" t="s">
        <v>219</v>
      </c>
      <c r="E13" s="122" t="s">
        <v>220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>
        <v>0</v>
      </c>
      <c r="S13" s="118">
        <v>239259</v>
      </c>
      <c r="T13" s="118">
        <f>SUM(R13:S13)</f>
        <v>239259</v>
      </c>
      <c r="U13" s="118"/>
      <c r="V13" s="118">
        <f>SUM(T13:U13)</f>
        <v>239259</v>
      </c>
      <c r="W13" s="118"/>
      <c r="X13" s="118">
        <f>SUM(V13:W13)</f>
        <v>239259</v>
      </c>
      <c r="Y13" s="118"/>
      <c r="Z13" s="118">
        <f>SUM(X13:Y13)</f>
        <v>239259</v>
      </c>
      <c r="AA13" s="118"/>
      <c r="AB13" s="118">
        <f>SUM(Z13:AA13)</f>
        <v>239259</v>
      </c>
      <c r="AC13" s="118">
        <v>239259</v>
      </c>
      <c r="AD13" s="381">
        <f t="shared" si="3"/>
        <v>100</v>
      </c>
    </row>
    <row r="14" spans="1:30" s="138" customFormat="1" ht="24">
      <c r="A14" s="3">
        <v>801</v>
      </c>
      <c r="B14" s="183">
        <v>80103</v>
      </c>
      <c r="C14" s="4">
        <v>2540</v>
      </c>
      <c r="D14" s="139" t="s">
        <v>221</v>
      </c>
      <c r="E14" s="122" t="s">
        <v>222</v>
      </c>
      <c r="F14" s="118">
        <v>61433</v>
      </c>
      <c r="G14" s="118"/>
      <c r="H14" s="118">
        <f>SUM(F14:G14)</f>
        <v>61433</v>
      </c>
      <c r="I14" s="118"/>
      <c r="J14" s="118">
        <f>SUM(H14:I14)</f>
        <v>61433</v>
      </c>
      <c r="K14" s="118"/>
      <c r="L14" s="118">
        <f>SUM(J14:K14)</f>
        <v>61433</v>
      </c>
      <c r="M14" s="118"/>
      <c r="N14" s="118">
        <f>SUM(L14:M14)</f>
        <v>61433</v>
      </c>
      <c r="O14" s="118"/>
      <c r="P14" s="118">
        <f>SUM(N14:O14)</f>
        <v>61433</v>
      </c>
      <c r="Q14" s="118"/>
      <c r="R14" s="118">
        <f>SUM(P14:Q14)</f>
        <v>61433</v>
      </c>
      <c r="S14" s="118">
        <v>-20400</v>
      </c>
      <c r="T14" s="118">
        <f>SUM(R14:S14)</f>
        <v>41033</v>
      </c>
      <c r="U14" s="118"/>
      <c r="V14" s="118">
        <f>SUM(T14:U14)</f>
        <v>41033</v>
      </c>
      <c r="W14" s="118"/>
      <c r="X14" s="118">
        <f>SUM(V14:W14)</f>
        <v>41033</v>
      </c>
      <c r="Y14" s="118"/>
      <c r="Z14" s="118">
        <f>SUM(X14:Y14)</f>
        <v>41033</v>
      </c>
      <c r="AA14" s="118"/>
      <c r="AB14" s="118">
        <f>SUM(Z14:AA14)</f>
        <v>41033</v>
      </c>
      <c r="AC14" s="118">
        <v>41033</v>
      </c>
      <c r="AD14" s="381">
        <f t="shared" si="3"/>
        <v>100</v>
      </c>
    </row>
    <row r="15" spans="1:30" s="138" customFormat="1" ht="24">
      <c r="A15" s="3">
        <v>801</v>
      </c>
      <c r="B15" s="183">
        <v>80103</v>
      </c>
      <c r="C15" s="4">
        <v>2590</v>
      </c>
      <c r="D15" s="139" t="s">
        <v>221</v>
      </c>
      <c r="E15" s="122" t="s">
        <v>222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>
        <v>0</v>
      </c>
      <c r="S15" s="118">
        <v>9321</v>
      </c>
      <c r="T15" s="118">
        <f>SUM(R15:S15)</f>
        <v>9321</v>
      </c>
      <c r="U15" s="118"/>
      <c r="V15" s="118">
        <f>SUM(T15:U15)</f>
        <v>9321</v>
      </c>
      <c r="W15" s="118"/>
      <c r="X15" s="118">
        <f>SUM(V15:W15)</f>
        <v>9321</v>
      </c>
      <c r="Y15" s="118"/>
      <c r="Z15" s="118">
        <f>SUM(X15:Y15)</f>
        <v>9321</v>
      </c>
      <c r="AA15" s="118"/>
      <c r="AB15" s="118">
        <f>SUM(Z15:AA15)</f>
        <v>9321</v>
      </c>
      <c r="AC15" s="118">
        <v>9321</v>
      </c>
      <c r="AD15" s="381">
        <f t="shared" si="3"/>
        <v>100</v>
      </c>
    </row>
    <row r="16" spans="1:30" s="138" customFormat="1" ht="19.5" customHeight="1">
      <c r="A16" s="3">
        <v>801</v>
      </c>
      <c r="B16" s="183">
        <v>80110</v>
      </c>
      <c r="C16" s="4">
        <v>2590</v>
      </c>
      <c r="D16" s="139" t="s">
        <v>258</v>
      </c>
      <c r="E16" s="184" t="s">
        <v>259</v>
      </c>
      <c r="F16" s="118">
        <v>101210</v>
      </c>
      <c r="G16" s="118"/>
      <c r="H16" s="118">
        <f>SUM(F16:G16)</f>
        <v>101210</v>
      </c>
      <c r="I16" s="118"/>
      <c r="J16" s="118">
        <f>SUM(H16:I16)</f>
        <v>101210</v>
      </c>
      <c r="K16" s="118"/>
      <c r="L16" s="118">
        <f>SUM(J16:K16)</f>
        <v>101210</v>
      </c>
      <c r="M16" s="118"/>
      <c r="N16" s="118">
        <f>SUM(L16:M16)</f>
        <v>101210</v>
      </c>
      <c r="O16" s="118"/>
      <c r="P16" s="118">
        <f>SUM(N16:O16)</f>
        <v>101210</v>
      </c>
      <c r="Q16" s="118"/>
      <c r="R16" s="118">
        <f>SUM(P16:Q16)</f>
        <v>101210</v>
      </c>
      <c r="S16" s="118">
        <v>8725</v>
      </c>
      <c r="T16" s="118">
        <f>SUM(R16:S16)</f>
        <v>109935</v>
      </c>
      <c r="U16" s="118"/>
      <c r="V16" s="118">
        <f>SUM(T16:U16)</f>
        <v>109935</v>
      </c>
      <c r="W16" s="118"/>
      <c r="X16" s="118">
        <f>SUM(V16:W16)</f>
        <v>109935</v>
      </c>
      <c r="Y16" s="118"/>
      <c r="Z16" s="118">
        <f>SUM(X16:Y16)</f>
        <v>109935</v>
      </c>
      <c r="AA16" s="118"/>
      <c r="AB16" s="118">
        <f>SUM(Z16:AA16)</f>
        <v>109935</v>
      </c>
      <c r="AC16" s="118">
        <v>109935</v>
      </c>
      <c r="AD16" s="381">
        <f t="shared" si="3"/>
        <v>100</v>
      </c>
    </row>
    <row r="17" spans="1:30" s="137" customFormat="1" ht="28.5" customHeight="1">
      <c r="A17" s="420" t="s">
        <v>252</v>
      </c>
      <c r="B17" s="420"/>
      <c r="C17" s="420"/>
      <c r="D17" s="420"/>
      <c r="E17" s="136"/>
      <c r="F17" s="21">
        <f aca="true" t="shared" si="7" ref="F17:L17">SUM(F18:F23)</f>
        <v>2502522</v>
      </c>
      <c r="G17" s="21">
        <f t="shared" si="7"/>
        <v>28000</v>
      </c>
      <c r="H17" s="21">
        <f t="shared" si="7"/>
        <v>2530522</v>
      </c>
      <c r="I17" s="21">
        <f t="shared" si="7"/>
        <v>0</v>
      </c>
      <c r="J17" s="21">
        <f t="shared" si="7"/>
        <v>2530522</v>
      </c>
      <c r="K17" s="21">
        <f t="shared" si="7"/>
        <v>7400</v>
      </c>
      <c r="L17" s="21">
        <f t="shared" si="7"/>
        <v>2537922</v>
      </c>
      <c r="M17" s="21">
        <f aca="true" t="shared" si="8" ref="M17:R17">SUM(M18:M23)</f>
        <v>0</v>
      </c>
      <c r="N17" s="21">
        <f t="shared" si="8"/>
        <v>2537922</v>
      </c>
      <c r="O17" s="21">
        <f t="shared" si="8"/>
        <v>0</v>
      </c>
      <c r="P17" s="21">
        <f t="shared" si="8"/>
        <v>2537922</v>
      </c>
      <c r="Q17" s="21">
        <f t="shared" si="8"/>
        <v>0</v>
      </c>
      <c r="R17" s="21">
        <f t="shared" si="8"/>
        <v>2537922</v>
      </c>
      <c r="S17" s="21">
        <f aca="true" t="shared" si="9" ref="S17:X17">SUM(S18:S23)</f>
        <v>-66000</v>
      </c>
      <c r="T17" s="21">
        <f t="shared" si="9"/>
        <v>2471922</v>
      </c>
      <c r="U17" s="21">
        <f t="shared" si="9"/>
        <v>0</v>
      </c>
      <c r="V17" s="21">
        <f t="shared" si="9"/>
        <v>2471922</v>
      </c>
      <c r="W17" s="21">
        <f t="shared" si="9"/>
        <v>0</v>
      </c>
      <c r="X17" s="21">
        <f t="shared" si="9"/>
        <v>2471922</v>
      </c>
      <c r="Y17" s="21">
        <f>SUM(Y18:Y23)</f>
        <v>0</v>
      </c>
      <c r="Z17" s="21">
        <f>SUM(Z18:Z23)</f>
        <v>2471922</v>
      </c>
      <c r="AA17" s="21">
        <f>SUM(AA18:AA23)</f>
        <v>0</v>
      </c>
      <c r="AB17" s="21">
        <f>SUM(AB18:AB23)</f>
        <v>2471922</v>
      </c>
      <c r="AC17" s="21">
        <f>SUM(AC18:AC23)</f>
        <v>2456922</v>
      </c>
      <c r="AD17" s="387">
        <f t="shared" si="3"/>
        <v>99.39318473641158</v>
      </c>
    </row>
    <row r="18" spans="1:30" s="138" customFormat="1" ht="24.75" customHeight="1">
      <c r="A18" s="3" t="s">
        <v>62</v>
      </c>
      <c r="B18" s="4">
        <v>92109</v>
      </c>
      <c r="C18" s="5">
        <v>2480</v>
      </c>
      <c r="D18" s="122" t="s">
        <v>223</v>
      </c>
      <c r="E18" s="122" t="s">
        <v>224</v>
      </c>
      <c r="F18" s="118">
        <v>725435</v>
      </c>
      <c r="G18" s="118">
        <f>-10000-5000-10000-10000-15000-5000+83000</f>
        <v>28000</v>
      </c>
      <c r="H18" s="118">
        <f>SUM(F18:G18)</f>
        <v>753435</v>
      </c>
      <c r="I18" s="118"/>
      <c r="J18" s="118">
        <f>SUM(H18:I18)</f>
        <v>753435</v>
      </c>
      <c r="K18" s="118"/>
      <c r="L18" s="118">
        <f aca="true" t="shared" si="10" ref="L18:L23">SUM(J18:K18)</f>
        <v>753435</v>
      </c>
      <c r="M18" s="118"/>
      <c r="N18" s="118">
        <f aca="true" t="shared" si="11" ref="N18:N23">SUM(L18:M18)</f>
        <v>753435</v>
      </c>
      <c r="O18" s="118"/>
      <c r="P18" s="118">
        <f aca="true" t="shared" si="12" ref="P18:P23">SUM(N18:O18)</f>
        <v>753435</v>
      </c>
      <c r="Q18" s="118"/>
      <c r="R18" s="118">
        <f aca="true" t="shared" si="13" ref="R18:R23">SUM(P18:Q18)</f>
        <v>753435</v>
      </c>
      <c r="S18" s="118"/>
      <c r="T18" s="118">
        <f aca="true" t="shared" si="14" ref="T18:T23">SUM(R18:S18)</f>
        <v>753435</v>
      </c>
      <c r="U18" s="118"/>
      <c r="V18" s="118">
        <f aca="true" t="shared" si="15" ref="V18:V23">SUM(T18:U18)</f>
        <v>753435</v>
      </c>
      <c r="W18" s="118"/>
      <c r="X18" s="118">
        <f aca="true" t="shared" si="16" ref="X18:X23">SUM(V18:W18)</f>
        <v>753435</v>
      </c>
      <c r="Y18" s="118"/>
      <c r="Z18" s="118">
        <f aca="true" t="shared" si="17" ref="Z18:Z23">SUM(X18:Y18)</f>
        <v>753435</v>
      </c>
      <c r="AA18" s="118"/>
      <c r="AB18" s="118">
        <f aca="true" t="shared" si="18" ref="AB18:AB23">SUM(Z18:AA18)</f>
        <v>753435</v>
      </c>
      <c r="AC18" s="118">
        <v>738435</v>
      </c>
      <c r="AD18" s="381">
        <f t="shared" si="3"/>
        <v>98.00911823846782</v>
      </c>
    </row>
    <row r="19" spans="1:30" s="138" customFormat="1" ht="24.75" customHeight="1">
      <c r="A19" s="3">
        <v>921</v>
      </c>
      <c r="B19" s="4">
        <v>92109</v>
      </c>
      <c r="C19" s="5">
        <v>2480</v>
      </c>
      <c r="D19" s="122" t="s">
        <v>223</v>
      </c>
      <c r="E19" s="122" t="s">
        <v>226</v>
      </c>
      <c r="F19" s="118"/>
      <c r="G19" s="118"/>
      <c r="H19" s="118"/>
      <c r="I19" s="118"/>
      <c r="J19" s="118">
        <v>0</v>
      </c>
      <c r="K19" s="118">
        <v>4000</v>
      </c>
      <c r="L19" s="118">
        <f t="shared" si="10"/>
        <v>4000</v>
      </c>
      <c r="M19" s="118"/>
      <c r="N19" s="118">
        <f t="shared" si="11"/>
        <v>4000</v>
      </c>
      <c r="O19" s="118"/>
      <c r="P19" s="118">
        <f t="shared" si="12"/>
        <v>4000</v>
      </c>
      <c r="Q19" s="118"/>
      <c r="R19" s="118">
        <f t="shared" si="13"/>
        <v>4000</v>
      </c>
      <c r="S19" s="118"/>
      <c r="T19" s="118">
        <f t="shared" si="14"/>
        <v>4000</v>
      </c>
      <c r="U19" s="118"/>
      <c r="V19" s="118">
        <f t="shared" si="15"/>
        <v>4000</v>
      </c>
      <c r="W19" s="118"/>
      <c r="X19" s="118">
        <f t="shared" si="16"/>
        <v>4000</v>
      </c>
      <c r="Y19" s="118"/>
      <c r="Z19" s="118">
        <f t="shared" si="17"/>
        <v>4000</v>
      </c>
      <c r="AA19" s="118"/>
      <c r="AB19" s="118">
        <f t="shared" si="18"/>
        <v>4000</v>
      </c>
      <c r="AC19" s="118">
        <v>4000</v>
      </c>
      <c r="AD19" s="381">
        <f t="shared" si="3"/>
        <v>100</v>
      </c>
    </row>
    <row r="20" spans="1:30" s="138" customFormat="1" ht="24.75" customHeight="1">
      <c r="A20" s="3">
        <v>921</v>
      </c>
      <c r="B20" s="3" t="s">
        <v>63</v>
      </c>
      <c r="C20" s="5">
        <v>2480</v>
      </c>
      <c r="D20" s="122" t="s">
        <v>225</v>
      </c>
      <c r="E20" s="122" t="s">
        <v>224</v>
      </c>
      <c r="F20" s="118">
        <v>1031087</v>
      </c>
      <c r="G20" s="118"/>
      <c r="H20" s="118">
        <f>SUM(F20:G20)</f>
        <v>1031087</v>
      </c>
      <c r="I20" s="118"/>
      <c r="J20" s="118">
        <f>SUM(H20:I20)</f>
        <v>1031087</v>
      </c>
      <c r="K20" s="118"/>
      <c r="L20" s="118">
        <f t="shared" si="10"/>
        <v>1031087</v>
      </c>
      <c r="M20" s="118"/>
      <c r="N20" s="118">
        <f t="shared" si="11"/>
        <v>1031087</v>
      </c>
      <c r="O20" s="118"/>
      <c r="P20" s="118">
        <f t="shared" si="12"/>
        <v>1031087</v>
      </c>
      <c r="Q20" s="118"/>
      <c r="R20" s="118">
        <f t="shared" si="13"/>
        <v>1031087</v>
      </c>
      <c r="S20" s="118"/>
      <c r="T20" s="118">
        <f t="shared" si="14"/>
        <v>1031087</v>
      </c>
      <c r="U20" s="118"/>
      <c r="V20" s="118">
        <f t="shared" si="15"/>
        <v>1031087</v>
      </c>
      <c r="W20" s="118"/>
      <c r="X20" s="118">
        <f t="shared" si="16"/>
        <v>1031087</v>
      </c>
      <c r="Y20" s="118"/>
      <c r="Z20" s="118">
        <f t="shared" si="17"/>
        <v>1031087</v>
      </c>
      <c r="AA20" s="118"/>
      <c r="AB20" s="118">
        <f t="shared" si="18"/>
        <v>1031087</v>
      </c>
      <c r="AC20" s="118">
        <v>1031087</v>
      </c>
      <c r="AD20" s="381">
        <f t="shared" si="3"/>
        <v>100</v>
      </c>
    </row>
    <row r="21" spans="1:30" s="138" customFormat="1" ht="24">
      <c r="A21" s="3">
        <v>921</v>
      </c>
      <c r="B21" s="3" t="s">
        <v>63</v>
      </c>
      <c r="C21" s="5">
        <v>2480</v>
      </c>
      <c r="D21" s="122" t="s">
        <v>225</v>
      </c>
      <c r="E21" s="122" t="s">
        <v>226</v>
      </c>
      <c r="F21" s="382">
        <v>60000</v>
      </c>
      <c r="G21" s="382"/>
      <c r="H21" s="118">
        <f>SUM(F21:G21)</f>
        <v>60000</v>
      </c>
      <c r="I21" s="382"/>
      <c r="J21" s="118">
        <f>SUM(H21:I21)</f>
        <v>60000</v>
      </c>
      <c r="K21" s="382"/>
      <c r="L21" s="118">
        <f t="shared" si="10"/>
        <v>60000</v>
      </c>
      <c r="M21" s="382"/>
      <c r="N21" s="118">
        <f t="shared" si="11"/>
        <v>60000</v>
      </c>
      <c r="O21" s="382"/>
      <c r="P21" s="118">
        <f t="shared" si="12"/>
        <v>60000</v>
      </c>
      <c r="Q21" s="382"/>
      <c r="R21" s="118">
        <f t="shared" si="13"/>
        <v>60000</v>
      </c>
      <c r="S21" s="382"/>
      <c r="T21" s="118">
        <f t="shared" si="14"/>
        <v>60000</v>
      </c>
      <c r="U21" s="382"/>
      <c r="V21" s="118">
        <f t="shared" si="15"/>
        <v>60000</v>
      </c>
      <c r="W21" s="382"/>
      <c r="X21" s="118">
        <f t="shared" si="16"/>
        <v>60000</v>
      </c>
      <c r="Y21" s="382"/>
      <c r="Z21" s="118">
        <f t="shared" si="17"/>
        <v>60000</v>
      </c>
      <c r="AA21" s="382"/>
      <c r="AB21" s="118">
        <f t="shared" si="18"/>
        <v>60000</v>
      </c>
      <c r="AC21" s="382">
        <v>60000</v>
      </c>
      <c r="AD21" s="381">
        <f t="shared" si="3"/>
        <v>100</v>
      </c>
    </row>
    <row r="22" spans="1:30" s="138" customFormat="1" ht="24">
      <c r="A22" s="3">
        <v>921</v>
      </c>
      <c r="B22" s="3">
        <v>92118</v>
      </c>
      <c r="C22" s="5">
        <v>2480</v>
      </c>
      <c r="D22" s="22" t="s">
        <v>227</v>
      </c>
      <c r="E22" s="122" t="s">
        <v>226</v>
      </c>
      <c r="F22" s="382"/>
      <c r="G22" s="382"/>
      <c r="H22" s="118"/>
      <c r="I22" s="382"/>
      <c r="J22" s="118">
        <v>0</v>
      </c>
      <c r="K22" s="382">
        <v>3400</v>
      </c>
      <c r="L22" s="118">
        <f t="shared" si="10"/>
        <v>3400</v>
      </c>
      <c r="M22" s="382"/>
      <c r="N22" s="118">
        <f t="shared" si="11"/>
        <v>3400</v>
      </c>
      <c r="O22" s="382"/>
      <c r="P22" s="118">
        <f t="shared" si="12"/>
        <v>3400</v>
      </c>
      <c r="Q22" s="382"/>
      <c r="R22" s="118">
        <f t="shared" si="13"/>
        <v>3400</v>
      </c>
      <c r="S22" s="382"/>
      <c r="T22" s="118">
        <f t="shared" si="14"/>
        <v>3400</v>
      </c>
      <c r="U22" s="382"/>
      <c r="V22" s="118">
        <f t="shared" si="15"/>
        <v>3400</v>
      </c>
      <c r="W22" s="382"/>
      <c r="X22" s="118">
        <f t="shared" si="16"/>
        <v>3400</v>
      </c>
      <c r="Y22" s="382"/>
      <c r="Z22" s="118">
        <f t="shared" si="17"/>
        <v>3400</v>
      </c>
      <c r="AA22" s="382"/>
      <c r="AB22" s="118">
        <f t="shared" si="18"/>
        <v>3400</v>
      </c>
      <c r="AC22" s="382">
        <v>3400</v>
      </c>
      <c r="AD22" s="381">
        <f t="shared" si="3"/>
        <v>100</v>
      </c>
    </row>
    <row r="23" spans="1:30" s="138" customFormat="1" ht="24">
      <c r="A23" s="3">
        <v>921</v>
      </c>
      <c r="B23" s="3" t="s">
        <v>116</v>
      </c>
      <c r="C23" s="4">
        <v>2480</v>
      </c>
      <c r="D23" s="22" t="s">
        <v>227</v>
      </c>
      <c r="E23" s="122" t="s">
        <v>224</v>
      </c>
      <c r="F23" s="118">
        <v>686000</v>
      </c>
      <c r="G23" s="118"/>
      <c r="H23" s="118">
        <f>SUM(F23:G23)</f>
        <v>686000</v>
      </c>
      <c r="I23" s="118"/>
      <c r="J23" s="118">
        <f>SUM(H23:I23)</f>
        <v>686000</v>
      </c>
      <c r="K23" s="118"/>
      <c r="L23" s="118">
        <f t="shared" si="10"/>
        <v>686000</v>
      </c>
      <c r="M23" s="118"/>
      <c r="N23" s="118">
        <f t="shared" si="11"/>
        <v>686000</v>
      </c>
      <c r="O23" s="118"/>
      <c r="P23" s="118">
        <f t="shared" si="12"/>
        <v>686000</v>
      </c>
      <c r="Q23" s="118"/>
      <c r="R23" s="118">
        <f t="shared" si="13"/>
        <v>686000</v>
      </c>
      <c r="S23" s="118">
        <f>-96000+15000+15000</f>
        <v>-66000</v>
      </c>
      <c r="T23" s="118">
        <f t="shared" si="14"/>
        <v>620000</v>
      </c>
      <c r="U23" s="118"/>
      <c r="V23" s="118">
        <f t="shared" si="15"/>
        <v>620000</v>
      </c>
      <c r="W23" s="118"/>
      <c r="X23" s="118">
        <f t="shared" si="16"/>
        <v>620000</v>
      </c>
      <c r="Y23" s="118"/>
      <c r="Z23" s="118">
        <f t="shared" si="17"/>
        <v>620000</v>
      </c>
      <c r="AA23" s="118"/>
      <c r="AB23" s="118">
        <f t="shared" si="18"/>
        <v>620000</v>
      </c>
      <c r="AC23" s="118">
        <v>620000</v>
      </c>
      <c r="AD23" s="381">
        <f t="shared" si="3"/>
        <v>100</v>
      </c>
    </row>
    <row r="24" spans="1:30" s="137" customFormat="1" ht="29.25" customHeight="1">
      <c r="A24" s="420" t="s">
        <v>288</v>
      </c>
      <c r="B24" s="420"/>
      <c r="C24" s="420"/>
      <c r="D24" s="420"/>
      <c r="E24" s="136"/>
      <c r="F24" s="21">
        <f>SUM(F26:F47)</f>
        <v>467650</v>
      </c>
      <c r="G24" s="21">
        <f>SUM(G26:G47)</f>
        <v>-435000</v>
      </c>
      <c r="H24" s="21">
        <f>SUM(H26:H47)</f>
        <v>32650</v>
      </c>
      <c r="I24" s="21">
        <f>SUM(I26:I47)</f>
        <v>511010</v>
      </c>
      <c r="J24" s="21">
        <f aca="true" t="shared" si="19" ref="J24:P24">SUM(J25:J47)</f>
        <v>543660</v>
      </c>
      <c r="K24" s="21">
        <f t="shared" si="19"/>
        <v>45000</v>
      </c>
      <c r="L24" s="21">
        <f t="shared" si="19"/>
        <v>588660</v>
      </c>
      <c r="M24" s="21">
        <f t="shared" si="19"/>
        <v>0</v>
      </c>
      <c r="N24" s="21">
        <f t="shared" si="19"/>
        <v>588660</v>
      </c>
      <c r="O24" s="21">
        <f t="shared" si="19"/>
        <v>0</v>
      </c>
      <c r="P24" s="21">
        <f t="shared" si="19"/>
        <v>588660</v>
      </c>
      <c r="Q24" s="21">
        <f aca="true" t="shared" si="20" ref="Q24:V24">SUM(Q25:Q47)</f>
        <v>38250</v>
      </c>
      <c r="R24" s="21">
        <f t="shared" si="20"/>
        <v>626910</v>
      </c>
      <c r="S24" s="21">
        <f t="shared" si="20"/>
        <v>0</v>
      </c>
      <c r="T24" s="21">
        <f t="shared" si="20"/>
        <v>626910</v>
      </c>
      <c r="U24" s="21">
        <f t="shared" si="20"/>
        <v>5633</v>
      </c>
      <c r="V24" s="21">
        <f t="shared" si="20"/>
        <v>632543</v>
      </c>
      <c r="W24" s="21">
        <f aca="true" t="shared" si="21" ref="W24:AB24">SUM(W25:W47)</f>
        <v>0</v>
      </c>
      <c r="X24" s="21">
        <f t="shared" si="21"/>
        <v>632543</v>
      </c>
      <c r="Y24" s="21">
        <f t="shared" si="21"/>
        <v>0</v>
      </c>
      <c r="Z24" s="21">
        <f t="shared" si="21"/>
        <v>632543</v>
      </c>
      <c r="AA24" s="21">
        <f t="shared" si="21"/>
        <v>0</v>
      </c>
      <c r="AB24" s="21">
        <f t="shared" si="21"/>
        <v>632543</v>
      </c>
      <c r="AC24" s="21">
        <f>SUM(AC25:AC47)</f>
        <v>630518.25</v>
      </c>
      <c r="AD24" s="387">
        <f t="shared" si="3"/>
        <v>99.67990318444754</v>
      </c>
    </row>
    <row r="25" spans="1:30" s="175" customFormat="1" ht="36">
      <c r="A25" s="220" t="s">
        <v>4</v>
      </c>
      <c r="B25" s="220" t="s">
        <v>348</v>
      </c>
      <c r="C25" s="214">
        <v>2830</v>
      </c>
      <c r="D25" s="191" t="s">
        <v>352</v>
      </c>
      <c r="E25" s="225" t="s">
        <v>353</v>
      </c>
      <c r="F25" s="188"/>
      <c r="G25" s="188"/>
      <c r="H25" s="188"/>
      <c r="I25" s="188"/>
      <c r="J25" s="188">
        <v>0</v>
      </c>
      <c r="K25" s="188">
        <v>45000</v>
      </c>
      <c r="L25" s="188">
        <f>SUM(J25:K25)</f>
        <v>45000</v>
      </c>
      <c r="M25" s="188"/>
      <c r="N25" s="188">
        <f>SUM(L25:M25)</f>
        <v>45000</v>
      </c>
      <c r="O25" s="188"/>
      <c r="P25" s="188">
        <f>SUM(N25:O25)</f>
        <v>45000</v>
      </c>
      <c r="Q25" s="188"/>
      <c r="R25" s="188">
        <f>SUM(P25:Q25)</f>
        <v>45000</v>
      </c>
      <c r="S25" s="188"/>
      <c r="T25" s="188">
        <f>SUM(R25:S25)</f>
        <v>45000</v>
      </c>
      <c r="U25" s="188"/>
      <c r="V25" s="188">
        <f>SUM(T25:U25)</f>
        <v>45000</v>
      </c>
      <c r="W25" s="188"/>
      <c r="X25" s="188">
        <f>SUM(V25:W25)</f>
        <v>45000</v>
      </c>
      <c r="Y25" s="188"/>
      <c r="Z25" s="188">
        <f>SUM(X25:Y25)</f>
        <v>45000</v>
      </c>
      <c r="AA25" s="188"/>
      <c r="AB25" s="188">
        <f>SUM(Z25:AA25)</f>
        <v>45000</v>
      </c>
      <c r="AC25" s="188">
        <v>45000</v>
      </c>
      <c r="AD25" s="383">
        <f t="shared" si="3"/>
        <v>100</v>
      </c>
    </row>
    <row r="26" spans="1:30" s="175" customFormat="1" ht="25.5" customHeight="1">
      <c r="A26" s="185">
        <v>754</v>
      </c>
      <c r="B26" s="185">
        <v>75412</v>
      </c>
      <c r="C26" s="214">
        <v>2820</v>
      </c>
      <c r="D26" s="186" t="s">
        <v>289</v>
      </c>
      <c r="E26" s="187" t="s">
        <v>293</v>
      </c>
      <c r="F26" s="188">
        <v>10000</v>
      </c>
      <c r="G26" s="188"/>
      <c r="H26" s="188">
        <f>SUM(F26:G26)</f>
        <v>10000</v>
      </c>
      <c r="I26" s="188"/>
      <c r="J26" s="188">
        <f aca="true" t="shared" si="22" ref="J26:J47">SUM(H26:I26)</f>
        <v>10000</v>
      </c>
      <c r="K26" s="188"/>
      <c r="L26" s="188">
        <f aca="true" t="shared" si="23" ref="L26:L47">SUM(J26:K26)</f>
        <v>10000</v>
      </c>
      <c r="M26" s="188"/>
      <c r="N26" s="188">
        <f aca="true" t="shared" si="24" ref="N26:N47">SUM(L26:M26)</f>
        <v>10000</v>
      </c>
      <c r="O26" s="188"/>
      <c r="P26" s="188">
        <f aca="true" t="shared" si="25" ref="P26:P47">SUM(N26:O26)</f>
        <v>10000</v>
      </c>
      <c r="Q26" s="188"/>
      <c r="R26" s="188">
        <f aca="true" t="shared" si="26" ref="R26:R47">SUM(P26:Q26)</f>
        <v>10000</v>
      </c>
      <c r="S26" s="188"/>
      <c r="T26" s="188">
        <f aca="true" t="shared" si="27" ref="T26:T47">SUM(R26:S26)</f>
        <v>10000</v>
      </c>
      <c r="U26" s="188">
        <v>5633</v>
      </c>
      <c r="V26" s="188">
        <f aca="true" t="shared" si="28" ref="V26:V47">SUM(T26:U26)</f>
        <v>15633</v>
      </c>
      <c r="W26" s="188"/>
      <c r="X26" s="188">
        <f aca="true" t="shared" si="29" ref="X26:X47">SUM(V26:W26)</f>
        <v>15633</v>
      </c>
      <c r="Y26" s="188"/>
      <c r="Z26" s="188">
        <f aca="true" t="shared" si="30" ref="Z26:Z47">SUM(X26:Y26)</f>
        <v>15633</v>
      </c>
      <c r="AA26" s="188"/>
      <c r="AB26" s="188">
        <f aca="true" t="shared" si="31" ref="AB26:AB47">SUM(Z26:AA26)</f>
        <v>15633</v>
      </c>
      <c r="AC26" s="188">
        <v>15632.06</v>
      </c>
      <c r="AD26" s="383">
        <f t="shared" si="3"/>
        <v>99.99398707861575</v>
      </c>
    </row>
    <row r="27" spans="1:30" s="175" customFormat="1" ht="25.5" customHeight="1">
      <c r="A27" s="185">
        <v>851</v>
      </c>
      <c r="B27" s="185">
        <v>85154</v>
      </c>
      <c r="C27" s="214">
        <v>2820</v>
      </c>
      <c r="D27" s="186" t="s">
        <v>323</v>
      </c>
      <c r="E27" s="190" t="s">
        <v>238</v>
      </c>
      <c r="F27" s="188"/>
      <c r="G27" s="188"/>
      <c r="H27" s="188">
        <v>0</v>
      </c>
      <c r="I27" s="188">
        <v>8130</v>
      </c>
      <c r="J27" s="188">
        <f t="shared" si="22"/>
        <v>8130</v>
      </c>
      <c r="K27" s="188"/>
      <c r="L27" s="188">
        <f t="shared" si="23"/>
        <v>8130</v>
      </c>
      <c r="M27" s="188"/>
      <c r="N27" s="188">
        <f t="shared" si="24"/>
        <v>8130</v>
      </c>
      <c r="O27" s="188"/>
      <c r="P27" s="188">
        <f t="shared" si="25"/>
        <v>8130</v>
      </c>
      <c r="Q27" s="188"/>
      <c r="R27" s="188">
        <f t="shared" si="26"/>
        <v>8130</v>
      </c>
      <c r="S27" s="188"/>
      <c r="T27" s="188">
        <f t="shared" si="27"/>
        <v>8130</v>
      </c>
      <c r="U27" s="188"/>
      <c r="V27" s="188">
        <f t="shared" si="28"/>
        <v>8130</v>
      </c>
      <c r="W27" s="188"/>
      <c r="X27" s="188">
        <f t="shared" si="29"/>
        <v>8130</v>
      </c>
      <c r="Y27" s="188"/>
      <c r="Z27" s="188">
        <f t="shared" si="30"/>
        <v>8130</v>
      </c>
      <c r="AA27" s="188"/>
      <c r="AB27" s="188">
        <f t="shared" si="31"/>
        <v>8130</v>
      </c>
      <c r="AC27" s="188">
        <v>6130</v>
      </c>
      <c r="AD27" s="383">
        <f t="shared" si="3"/>
        <v>75.39975399753997</v>
      </c>
    </row>
    <row r="28" spans="1:30" s="175" customFormat="1" ht="26.25" customHeight="1">
      <c r="A28" s="189">
        <v>851</v>
      </c>
      <c r="B28" s="189">
        <v>85154</v>
      </c>
      <c r="C28" s="189">
        <v>2830</v>
      </c>
      <c r="D28" s="191" t="s">
        <v>324</v>
      </c>
      <c r="E28" s="190" t="s">
        <v>238</v>
      </c>
      <c r="F28" s="188">
        <v>60000</v>
      </c>
      <c r="G28" s="188">
        <v>-60000</v>
      </c>
      <c r="H28" s="188">
        <f>SUM(F28:G28)</f>
        <v>0</v>
      </c>
      <c r="I28" s="188">
        <v>50060</v>
      </c>
      <c r="J28" s="188">
        <f t="shared" si="22"/>
        <v>50060</v>
      </c>
      <c r="K28" s="188"/>
      <c r="L28" s="188">
        <f t="shared" si="23"/>
        <v>50060</v>
      </c>
      <c r="M28" s="188"/>
      <c r="N28" s="188">
        <f t="shared" si="24"/>
        <v>50060</v>
      </c>
      <c r="O28" s="188"/>
      <c r="P28" s="188">
        <f t="shared" si="25"/>
        <v>50060</v>
      </c>
      <c r="Q28" s="188"/>
      <c r="R28" s="188">
        <f t="shared" si="26"/>
        <v>50060</v>
      </c>
      <c r="S28" s="188"/>
      <c r="T28" s="188">
        <f t="shared" si="27"/>
        <v>50060</v>
      </c>
      <c r="U28" s="188"/>
      <c r="V28" s="188">
        <f t="shared" si="28"/>
        <v>50060</v>
      </c>
      <c r="W28" s="188"/>
      <c r="X28" s="188">
        <f t="shared" si="29"/>
        <v>50060</v>
      </c>
      <c r="Y28" s="188"/>
      <c r="Z28" s="188">
        <f t="shared" si="30"/>
        <v>50060</v>
      </c>
      <c r="AA28" s="188"/>
      <c r="AB28" s="188">
        <f t="shared" si="31"/>
        <v>50060</v>
      </c>
      <c r="AC28" s="188">
        <v>50060</v>
      </c>
      <c r="AD28" s="383">
        <f t="shared" si="3"/>
        <v>100</v>
      </c>
    </row>
    <row r="29" spans="1:30" s="175" customFormat="1" ht="24">
      <c r="A29" s="189">
        <v>851</v>
      </c>
      <c r="B29" s="189">
        <v>85154</v>
      </c>
      <c r="C29" s="189">
        <v>2830</v>
      </c>
      <c r="D29" s="191" t="s">
        <v>324</v>
      </c>
      <c r="E29" s="190" t="s">
        <v>228</v>
      </c>
      <c r="F29" s="188">
        <v>10000</v>
      </c>
      <c r="G29" s="188">
        <v>-10000</v>
      </c>
      <c r="H29" s="188">
        <f>SUM(F29:G29)</f>
        <v>0</v>
      </c>
      <c r="I29" s="188">
        <v>5820</v>
      </c>
      <c r="J29" s="188">
        <f t="shared" si="22"/>
        <v>5820</v>
      </c>
      <c r="K29" s="188"/>
      <c r="L29" s="188">
        <f t="shared" si="23"/>
        <v>5820</v>
      </c>
      <c r="M29" s="188"/>
      <c r="N29" s="188">
        <f t="shared" si="24"/>
        <v>5820</v>
      </c>
      <c r="O29" s="188"/>
      <c r="P29" s="188">
        <f t="shared" si="25"/>
        <v>5820</v>
      </c>
      <c r="Q29" s="188"/>
      <c r="R29" s="188">
        <f t="shared" si="26"/>
        <v>5820</v>
      </c>
      <c r="S29" s="188"/>
      <c r="T29" s="188">
        <f t="shared" si="27"/>
        <v>5820</v>
      </c>
      <c r="U29" s="188"/>
      <c r="V29" s="188">
        <f t="shared" si="28"/>
        <v>5820</v>
      </c>
      <c r="W29" s="188"/>
      <c r="X29" s="188">
        <f t="shared" si="29"/>
        <v>5820</v>
      </c>
      <c r="Y29" s="188"/>
      <c r="Z29" s="188">
        <f t="shared" si="30"/>
        <v>5820</v>
      </c>
      <c r="AA29" s="188"/>
      <c r="AB29" s="188">
        <f t="shared" si="31"/>
        <v>5820</v>
      </c>
      <c r="AC29" s="188">
        <v>5820</v>
      </c>
      <c r="AD29" s="383">
        <f t="shared" si="3"/>
        <v>100</v>
      </c>
    </row>
    <row r="30" spans="1:30" s="384" customFormat="1" ht="24.75" customHeight="1">
      <c r="A30" s="189">
        <v>854</v>
      </c>
      <c r="B30" s="189">
        <v>85412</v>
      </c>
      <c r="C30" s="189">
        <v>2830</v>
      </c>
      <c r="D30" s="191" t="s">
        <v>324</v>
      </c>
      <c r="E30" s="190" t="s">
        <v>229</v>
      </c>
      <c r="F30" s="336">
        <v>65000</v>
      </c>
      <c r="G30" s="336">
        <v>-65000</v>
      </c>
      <c r="H30" s="188">
        <f>SUM(F30:G30)</f>
        <v>0</v>
      </c>
      <c r="I30" s="336"/>
      <c r="J30" s="188">
        <f t="shared" si="22"/>
        <v>0</v>
      </c>
      <c r="K30" s="336"/>
      <c r="L30" s="188">
        <f t="shared" si="23"/>
        <v>0</v>
      </c>
      <c r="M30" s="336"/>
      <c r="N30" s="188">
        <f t="shared" si="24"/>
        <v>0</v>
      </c>
      <c r="O30" s="336"/>
      <c r="P30" s="188">
        <f t="shared" si="25"/>
        <v>0</v>
      </c>
      <c r="Q30" s="336">
        <v>38250</v>
      </c>
      <c r="R30" s="188">
        <f t="shared" si="26"/>
        <v>38250</v>
      </c>
      <c r="S30" s="336"/>
      <c r="T30" s="188">
        <f t="shared" si="27"/>
        <v>38250</v>
      </c>
      <c r="U30" s="336"/>
      <c r="V30" s="188">
        <f t="shared" si="28"/>
        <v>38250</v>
      </c>
      <c r="W30" s="336"/>
      <c r="X30" s="188">
        <f t="shared" si="29"/>
        <v>38250</v>
      </c>
      <c r="Y30" s="336"/>
      <c r="Z30" s="188">
        <f t="shared" si="30"/>
        <v>38250</v>
      </c>
      <c r="AA30" s="336"/>
      <c r="AB30" s="188">
        <f t="shared" si="31"/>
        <v>38250</v>
      </c>
      <c r="AC30" s="336">
        <v>38250</v>
      </c>
      <c r="AD30" s="383">
        <f t="shared" si="3"/>
        <v>100</v>
      </c>
    </row>
    <row r="31" spans="1:30" s="384" customFormat="1" ht="24.75" customHeight="1">
      <c r="A31" s="189">
        <v>926</v>
      </c>
      <c r="B31" s="189">
        <v>92605</v>
      </c>
      <c r="C31" s="189">
        <v>2820</v>
      </c>
      <c r="D31" s="186" t="s">
        <v>325</v>
      </c>
      <c r="E31" s="190" t="s">
        <v>66</v>
      </c>
      <c r="F31" s="336"/>
      <c r="G31" s="336"/>
      <c r="H31" s="188">
        <v>0</v>
      </c>
      <c r="I31" s="336">
        <f>130000+2000</f>
        <v>132000</v>
      </c>
      <c r="J31" s="188">
        <f t="shared" si="22"/>
        <v>132000</v>
      </c>
      <c r="K31" s="336"/>
      <c r="L31" s="188">
        <f t="shared" si="23"/>
        <v>132000</v>
      </c>
      <c r="M31" s="336"/>
      <c r="N31" s="188">
        <f t="shared" si="24"/>
        <v>132000</v>
      </c>
      <c r="O31" s="336"/>
      <c r="P31" s="188">
        <f t="shared" si="25"/>
        <v>132000</v>
      </c>
      <c r="Q31" s="336"/>
      <c r="R31" s="188">
        <f t="shared" si="26"/>
        <v>132000</v>
      </c>
      <c r="S31" s="336"/>
      <c r="T31" s="188">
        <f t="shared" si="27"/>
        <v>132000</v>
      </c>
      <c r="U31" s="336"/>
      <c r="V31" s="188">
        <f t="shared" si="28"/>
        <v>132000</v>
      </c>
      <c r="W31" s="336"/>
      <c r="X31" s="188">
        <f t="shared" si="29"/>
        <v>132000</v>
      </c>
      <c r="Y31" s="336"/>
      <c r="Z31" s="188">
        <f t="shared" si="30"/>
        <v>132000</v>
      </c>
      <c r="AA31" s="336"/>
      <c r="AB31" s="188">
        <f t="shared" si="31"/>
        <v>132000</v>
      </c>
      <c r="AC31" s="336">
        <v>132000</v>
      </c>
      <c r="AD31" s="383">
        <f t="shared" si="3"/>
        <v>100</v>
      </c>
    </row>
    <row r="32" spans="1:30" s="384" customFormat="1" ht="24.75" customHeight="1">
      <c r="A32" s="189">
        <v>926</v>
      </c>
      <c r="B32" s="189">
        <v>92605</v>
      </c>
      <c r="C32" s="189">
        <v>2820</v>
      </c>
      <c r="D32" s="186" t="s">
        <v>326</v>
      </c>
      <c r="E32" s="190" t="s">
        <v>66</v>
      </c>
      <c r="F32" s="336"/>
      <c r="G32" s="336"/>
      <c r="H32" s="188">
        <v>0</v>
      </c>
      <c r="I32" s="336">
        <v>218000</v>
      </c>
      <c r="J32" s="188">
        <f t="shared" si="22"/>
        <v>218000</v>
      </c>
      <c r="K32" s="336"/>
      <c r="L32" s="188">
        <f t="shared" si="23"/>
        <v>218000</v>
      </c>
      <c r="M32" s="336"/>
      <c r="N32" s="188">
        <f t="shared" si="24"/>
        <v>218000</v>
      </c>
      <c r="O32" s="336"/>
      <c r="P32" s="188">
        <f t="shared" si="25"/>
        <v>218000</v>
      </c>
      <c r="Q32" s="336"/>
      <c r="R32" s="188">
        <f t="shared" si="26"/>
        <v>218000</v>
      </c>
      <c r="S32" s="336"/>
      <c r="T32" s="188">
        <f t="shared" si="27"/>
        <v>218000</v>
      </c>
      <c r="U32" s="336"/>
      <c r="V32" s="188">
        <f t="shared" si="28"/>
        <v>218000</v>
      </c>
      <c r="W32" s="336"/>
      <c r="X32" s="188">
        <f t="shared" si="29"/>
        <v>218000</v>
      </c>
      <c r="Y32" s="336"/>
      <c r="Z32" s="188">
        <f t="shared" si="30"/>
        <v>218000</v>
      </c>
      <c r="AA32" s="336"/>
      <c r="AB32" s="188">
        <f t="shared" si="31"/>
        <v>218000</v>
      </c>
      <c r="AC32" s="336">
        <v>218000</v>
      </c>
      <c r="AD32" s="383">
        <f t="shared" si="3"/>
        <v>100</v>
      </c>
    </row>
    <row r="33" spans="1:30" s="384" customFormat="1" ht="24.75" customHeight="1">
      <c r="A33" s="189">
        <v>926</v>
      </c>
      <c r="B33" s="189">
        <v>92605</v>
      </c>
      <c r="C33" s="189">
        <v>2820</v>
      </c>
      <c r="D33" s="186" t="s">
        <v>327</v>
      </c>
      <c r="E33" s="190" t="s">
        <v>66</v>
      </c>
      <c r="F33" s="336"/>
      <c r="G33" s="336"/>
      <c r="H33" s="188">
        <v>0</v>
      </c>
      <c r="I33" s="336">
        <f>6000+4000</f>
        <v>10000</v>
      </c>
      <c r="J33" s="188">
        <f t="shared" si="22"/>
        <v>10000</v>
      </c>
      <c r="K33" s="336"/>
      <c r="L33" s="188">
        <f t="shared" si="23"/>
        <v>10000</v>
      </c>
      <c r="M33" s="336"/>
      <c r="N33" s="188">
        <f t="shared" si="24"/>
        <v>10000</v>
      </c>
      <c r="O33" s="336"/>
      <c r="P33" s="188">
        <f t="shared" si="25"/>
        <v>10000</v>
      </c>
      <c r="Q33" s="336"/>
      <c r="R33" s="188">
        <f t="shared" si="26"/>
        <v>10000</v>
      </c>
      <c r="S33" s="336"/>
      <c r="T33" s="188">
        <f t="shared" si="27"/>
        <v>10000</v>
      </c>
      <c r="U33" s="336"/>
      <c r="V33" s="188">
        <f t="shared" si="28"/>
        <v>10000</v>
      </c>
      <c r="W33" s="336"/>
      <c r="X33" s="188">
        <f t="shared" si="29"/>
        <v>10000</v>
      </c>
      <c r="Y33" s="336"/>
      <c r="Z33" s="188">
        <f t="shared" si="30"/>
        <v>10000</v>
      </c>
      <c r="AA33" s="336"/>
      <c r="AB33" s="188">
        <f t="shared" si="31"/>
        <v>10000</v>
      </c>
      <c r="AC33" s="336">
        <v>10000</v>
      </c>
      <c r="AD33" s="383">
        <f t="shared" si="3"/>
        <v>100</v>
      </c>
    </row>
    <row r="34" spans="1:30" s="384" customFormat="1" ht="24.75" customHeight="1">
      <c r="A34" s="189">
        <v>926</v>
      </c>
      <c r="B34" s="189">
        <v>92605</v>
      </c>
      <c r="C34" s="189">
        <v>2820</v>
      </c>
      <c r="D34" s="186" t="s">
        <v>328</v>
      </c>
      <c r="E34" s="190" t="s">
        <v>66</v>
      </c>
      <c r="F34" s="336"/>
      <c r="G34" s="336"/>
      <c r="H34" s="188">
        <v>0</v>
      </c>
      <c r="I34" s="336">
        <v>8000</v>
      </c>
      <c r="J34" s="188">
        <f t="shared" si="22"/>
        <v>8000</v>
      </c>
      <c r="K34" s="336"/>
      <c r="L34" s="188">
        <f t="shared" si="23"/>
        <v>8000</v>
      </c>
      <c r="M34" s="336"/>
      <c r="N34" s="188">
        <f t="shared" si="24"/>
        <v>8000</v>
      </c>
      <c r="O34" s="336"/>
      <c r="P34" s="188">
        <f t="shared" si="25"/>
        <v>8000</v>
      </c>
      <c r="Q34" s="336"/>
      <c r="R34" s="188">
        <f t="shared" si="26"/>
        <v>8000</v>
      </c>
      <c r="S34" s="336"/>
      <c r="T34" s="188">
        <f t="shared" si="27"/>
        <v>8000</v>
      </c>
      <c r="U34" s="336"/>
      <c r="V34" s="188">
        <f t="shared" si="28"/>
        <v>8000</v>
      </c>
      <c r="W34" s="336"/>
      <c r="X34" s="188">
        <f t="shared" si="29"/>
        <v>8000</v>
      </c>
      <c r="Y34" s="336"/>
      <c r="Z34" s="188">
        <f t="shared" si="30"/>
        <v>8000</v>
      </c>
      <c r="AA34" s="336"/>
      <c r="AB34" s="188">
        <f t="shared" si="31"/>
        <v>8000</v>
      </c>
      <c r="AC34" s="336">
        <v>7995.3</v>
      </c>
      <c r="AD34" s="383">
        <f t="shared" si="3"/>
        <v>99.94125</v>
      </c>
    </row>
    <row r="35" spans="1:30" s="384" customFormat="1" ht="24.75" customHeight="1">
      <c r="A35" s="189">
        <v>926</v>
      </c>
      <c r="B35" s="189">
        <v>92605</v>
      </c>
      <c r="C35" s="189">
        <v>2820</v>
      </c>
      <c r="D35" s="186" t="s">
        <v>329</v>
      </c>
      <c r="E35" s="190" t="s">
        <v>66</v>
      </c>
      <c r="F35" s="336"/>
      <c r="G35" s="336"/>
      <c r="H35" s="188">
        <v>0</v>
      </c>
      <c r="I35" s="336">
        <f>4000+1000</f>
        <v>5000</v>
      </c>
      <c r="J35" s="188">
        <f t="shared" si="22"/>
        <v>5000</v>
      </c>
      <c r="K35" s="336"/>
      <c r="L35" s="188">
        <f t="shared" si="23"/>
        <v>5000</v>
      </c>
      <c r="M35" s="336"/>
      <c r="N35" s="188">
        <f t="shared" si="24"/>
        <v>5000</v>
      </c>
      <c r="O35" s="336"/>
      <c r="P35" s="188">
        <f t="shared" si="25"/>
        <v>5000</v>
      </c>
      <c r="Q35" s="336"/>
      <c r="R35" s="188">
        <f t="shared" si="26"/>
        <v>5000</v>
      </c>
      <c r="S35" s="336"/>
      <c r="T35" s="188">
        <f t="shared" si="27"/>
        <v>5000</v>
      </c>
      <c r="U35" s="336"/>
      <c r="V35" s="188">
        <f t="shared" si="28"/>
        <v>5000</v>
      </c>
      <c r="W35" s="336"/>
      <c r="X35" s="188">
        <f t="shared" si="29"/>
        <v>5000</v>
      </c>
      <c r="Y35" s="336"/>
      <c r="Z35" s="188">
        <f t="shared" si="30"/>
        <v>5000</v>
      </c>
      <c r="AA35" s="336"/>
      <c r="AB35" s="188">
        <f t="shared" si="31"/>
        <v>5000</v>
      </c>
      <c r="AC35" s="336">
        <v>5000</v>
      </c>
      <c r="AD35" s="383">
        <f t="shared" si="3"/>
        <v>100</v>
      </c>
    </row>
    <row r="36" spans="1:30" s="384" customFormat="1" ht="24.75" customHeight="1">
      <c r="A36" s="189">
        <v>926</v>
      </c>
      <c r="B36" s="189">
        <v>92605</v>
      </c>
      <c r="C36" s="189">
        <v>2820</v>
      </c>
      <c r="D36" s="186" t="s">
        <v>330</v>
      </c>
      <c r="E36" s="190" t="s">
        <v>66</v>
      </c>
      <c r="F36" s="336"/>
      <c r="G36" s="336"/>
      <c r="H36" s="188">
        <v>0</v>
      </c>
      <c r="I36" s="336">
        <f>4700+300</f>
        <v>5000</v>
      </c>
      <c r="J36" s="188">
        <f t="shared" si="22"/>
        <v>5000</v>
      </c>
      <c r="K36" s="336"/>
      <c r="L36" s="188">
        <f t="shared" si="23"/>
        <v>5000</v>
      </c>
      <c r="M36" s="336"/>
      <c r="N36" s="188">
        <f t="shared" si="24"/>
        <v>5000</v>
      </c>
      <c r="O36" s="336"/>
      <c r="P36" s="188">
        <f t="shared" si="25"/>
        <v>5000</v>
      </c>
      <c r="Q36" s="336"/>
      <c r="R36" s="188">
        <f t="shared" si="26"/>
        <v>5000</v>
      </c>
      <c r="S36" s="336"/>
      <c r="T36" s="188">
        <f t="shared" si="27"/>
        <v>5000</v>
      </c>
      <c r="U36" s="336"/>
      <c r="V36" s="188">
        <f t="shared" si="28"/>
        <v>5000</v>
      </c>
      <c r="W36" s="336"/>
      <c r="X36" s="188">
        <f t="shared" si="29"/>
        <v>5000</v>
      </c>
      <c r="Y36" s="336"/>
      <c r="Z36" s="188">
        <f t="shared" si="30"/>
        <v>5000</v>
      </c>
      <c r="AA36" s="336"/>
      <c r="AB36" s="188">
        <f t="shared" si="31"/>
        <v>5000</v>
      </c>
      <c r="AC36" s="336">
        <v>4980.89</v>
      </c>
      <c r="AD36" s="383">
        <f t="shared" si="3"/>
        <v>99.61780000000002</v>
      </c>
    </row>
    <row r="37" spans="1:30" s="384" customFormat="1" ht="24.75" customHeight="1">
      <c r="A37" s="189">
        <v>926</v>
      </c>
      <c r="B37" s="189">
        <v>92605</v>
      </c>
      <c r="C37" s="189">
        <v>2820</v>
      </c>
      <c r="D37" s="186" t="s">
        <v>331</v>
      </c>
      <c r="E37" s="190" t="s">
        <v>66</v>
      </c>
      <c r="F37" s="336"/>
      <c r="G37" s="336"/>
      <c r="H37" s="188">
        <v>0</v>
      </c>
      <c r="I37" s="336">
        <v>6000</v>
      </c>
      <c r="J37" s="188">
        <f t="shared" si="22"/>
        <v>6000</v>
      </c>
      <c r="K37" s="336"/>
      <c r="L37" s="188">
        <f t="shared" si="23"/>
        <v>6000</v>
      </c>
      <c r="M37" s="336"/>
      <c r="N37" s="188">
        <f t="shared" si="24"/>
        <v>6000</v>
      </c>
      <c r="O37" s="336"/>
      <c r="P37" s="188">
        <f t="shared" si="25"/>
        <v>6000</v>
      </c>
      <c r="Q37" s="336"/>
      <c r="R37" s="188">
        <f t="shared" si="26"/>
        <v>6000</v>
      </c>
      <c r="S37" s="336"/>
      <c r="T37" s="188">
        <f t="shared" si="27"/>
        <v>6000</v>
      </c>
      <c r="U37" s="336"/>
      <c r="V37" s="188">
        <f t="shared" si="28"/>
        <v>6000</v>
      </c>
      <c r="W37" s="336"/>
      <c r="X37" s="188">
        <f t="shared" si="29"/>
        <v>6000</v>
      </c>
      <c r="Y37" s="336"/>
      <c r="Z37" s="188">
        <f t="shared" si="30"/>
        <v>6000</v>
      </c>
      <c r="AA37" s="336"/>
      <c r="AB37" s="188">
        <f t="shared" si="31"/>
        <v>6000</v>
      </c>
      <c r="AC37" s="336">
        <v>6000</v>
      </c>
      <c r="AD37" s="383">
        <f t="shared" si="3"/>
        <v>100</v>
      </c>
    </row>
    <row r="38" spans="1:30" s="384" customFormat="1" ht="24.75" customHeight="1">
      <c r="A38" s="189">
        <v>926</v>
      </c>
      <c r="B38" s="189">
        <v>92605</v>
      </c>
      <c r="C38" s="189">
        <v>2820</v>
      </c>
      <c r="D38" s="186" t="s">
        <v>332</v>
      </c>
      <c r="E38" s="190" t="s">
        <v>66</v>
      </c>
      <c r="F38" s="336"/>
      <c r="G38" s="336"/>
      <c r="H38" s="188">
        <v>0</v>
      </c>
      <c r="I38" s="336">
        <v>15000</v>
      </c>
      <c r="J38" s="188">
        <f t="shared" si="22"/>
        <v>15000</v>
      </c>
      <c r="K38" s="336"/>
      <c r="L38" s="188">
        <f t="shared" si="23"/>
        <v>15000</v>
      </c>
      <c r="M38" s="336"/>
      <c r="N38" s="188">
        <f t="shared" si="24"/>
        <v>15000</v>
      </c>
      <c r="O38" s="336"/>
      <c r="P38" s="188">
        <f t="shared" si="25"/>
        <v>15000</v>
      </c>
      <c r="Q38" s="336"/>
      <c r="R38" s="188">
        <f t="shared" si="26"/>
        <v>15000</v>
      </c>
      <c r="S38" s="336"/>
      <c r="T38" s="188">
        <f t="shared" si="27"/>
        <v>15000</v>
      </c>
      <c r="U38" s="336"/>
      <c r="V38" s="188">
        <f t="shared" si="28"/>
        <v>15000</v>
      </c>
      <c r="W38" s="336"/>
      <c r="X38" s="188">
        <f t="shared" si="29"/>
        <v>15000</v>
      </c>
      <c r="Y38" s="336"/>
      <c r="Z38" s="188">
        <f t="shared" si="30"/>
        <v>15000</v>
      </c>
      <c r="AA38" s="336"/>
      <c r="AB38" s="188">
        <f t="shared" si="31"/>
        <v>15000</v>
      </c>
      <c r="AC38" s="336">
        <v>15000</v>
      </c>
      <c r="AD38" s="383">
        <f t="shared" si="3"/>
        <v>100</v>
      </c>
    </row>
    <row r="39" spans="1:30" s="384" customFormat="1" ht="27" customHeight="1">
      <c r="A39" s="189">
        <v>926</v>
      </c>
      <c r="B39" s="189">
        <v>92605</v>
      </c>
      <c r="C39" s="189">
        <v>2820</v>
      </c>
      <c r="D39" s="186" t="s">
        <v>333</v>
      </c>
      <c r="E39" s="190" t="s">
        <v>66</v>
      </c>
      <c r="F39" s="336">
        <v>300000</v>
      </c>
      <c r="G39" s="336">
        <v>-300000</v>
      </c>
      <c r="H39" s="188">
        <f>SUM(F39:G39)</f>
        <v>0</v>
      </c>
      <c r="I39" s="336">
        <f>7000+2500</f>
        <v>9500</v>
      </c>
      <c r="J39" s="188">
        <f t="shared" si="22"/>
        <v>9500</v>
      </c>
      <c r="K39" s="336"/>
      <c r="L39" s="188">
        <f t="shared" si="23"/>
        <v>9500</v>
      </c>
      <c r="M39" s="336"/>
      <c r="N39" s="188">
        <f t="shared" si="24"/>
        <v>9500</v>
      </c>
      <c r="O39" s="336"/>
      <c r="P39" s="188">
        <f t="shared" si="25"/>
        <v>9500</v>
      </c>
      <c r="Q39" s="336"/>
      <c r="R39" s="188">
        <f t="shared" si="26"/>
        <v>9500</v>
      </c>
      <c r="S39" s="336"/>
      <c r="T39" s="188">
        <f t="shared" si="27"/>
        <v>9500</v>
      </c>
      <c r="U39" s="336"/>
      <c r="V39" s="188">
        <f t="shared" si="28"/>
        <v>9500</v>
      </c>
      <c r="W39" s="336"/>
      <c r="X39" s="188">
        <f t="shared" si="29"/>
        <v>9500</v>
      </c>
      <c r="Y39" s="336"/>
      <c r="Z39" s="188">
        <f t="shared" si="30"/>
        <v>9500</v>
      </c>
      <c r="AA39" s="336"/>
      <c r="AB39" s="188">
        <f t="shared" si="31"/>
        <v>9500</v>
      </c>
      <c r="AC39" s="336">
        <v>9500</v>
      </c>
      <c r="AD39" s="383">
        <f t="shared" si="3"/>
        <v>100</v>
      </c>
    </row>
    <row r="40" spans="1:30" s="384" customFormat="1" ht="27" customHeight="1">
      <c r="A40" s="189">
        <v>926</v>
      </c>
      <c r="B40" s="189">
        <v>92605</v>
      </c>
      <c r="C40" s="189">
        <v>2820</v>
      </c>
      <c r="D40" s="186" t="s">
        <v>334</v>
      </c>
      <c r="E40" s="190" t="s">
        <v>66</v>
      </c>
      <c r="F40" s="336"/>
      <c r="G40" s="336"/>
      <c r="H40" s="188">
        <v>0</v>
      </c>
      <c r="I40" s="336">
        <v>19000</v>
      </c>
      <c r="J40" s="188">
        <f t="shared" si="22"/>
        <v>19000</v>
      </c>
      <c r="K40" s="336"/>
      <c r="L40" s="188">
        <f t="shared" si="23"/>
        <v>19000</v>
      </c>
      <c r="M40" s="336"/>
      <c r="N40" s="188">
        <f t="shared" si="24"/>
        <v>19000</v>
      </c>
      <c r="O40" s="336"/>
      <c r="P40" s="188">
        <f t="shared" si="25"/>
        <v>19000</v>
      </c>
      <c r="Q40" s="336"/>
      <c r="R40" s="188">
        <f t="shared" si="26"/>
        <v>19000</v>
      </c>
      <c r="S40" s="336"/>
      <c r="T40" s="188">
        <f t="shared" si="27"/>
        <v>19000</v>
      </c>
      <c r="U40" s="336"/>
      <c r="V40" s="188">
        <f t="shared" si="28"/>
        <v>19000</v>
      </c>
      <c r="W40" s="336"/>
      <c r="X40" s="188">
        <f t="shared" si="29"/>
        <v>19000</v>
      </c>
      <c r="Y40" s="336"/>
      <c r="Z40" s="188">
        <f t="shared" si="30"/>
        <v>19000</v>
      </c>
      <c r="AA40" s="336"/>
      <c r="AB40" s="188">
        <f t="shared" si="31"/>
        <v>19000</v>
      </c>
      <c r="AC40" s="336">
        <v>19000</v>
      </c>
      <c r="AD40" s="383">
        <f t="shared" si="3"/>
        <v>100</v>
      </c>
    </row>
    <row r="41" spans="1:30" s="384" customFormat="1" ht="27" customHeight="1">
      <c r="A41" s="189">
        <v>926</v>
      </c>
      <c r="B41" s="189">
        <v>92605</v>
      </c>
      <c r="C41" s="189">
        <v>2820</v>
      </c>
      <c r="D41" s="186" t="s">
        <v>335</v>
      </c>
      <c r="E41" s="190" t="s">
        <v>66</v>
      </c>
      <c r="F41" s="336"/>
      <c r="G41" s="336"/>
      <c r="H41" s="188">
        <v>0</v>
      </c>
      <c r="I41" s="336">
        <v>3000</v>
      </c>
      <c r="J41" s="188">
        <f t="shared" si="22"/>
        <v>3000</v>
      </c>
      <c r="K41" s="336"/>
      <c r="L41" s="188">
        <f t="shared" si="23"/>
        <v>3000</v>
      </c>
      <c r="M41" s="336"/>
      <c r="N41" s="188">
        <f t="shared" si="24"/>
        <v>3000</v>
      </c>
      <c r="O41" s="336"/>
      <c r="P41" s="188">
        <f t="shared" si="25"/>
        <v>3000</v>
      </c>
      <c r="Q41" s="336"/>
      <c r="R41" s="188">
        <f t="shared" si="26"/>
        <v>3000</v>
      </c>
      <c r="S41" s="336"/>
      <c r="T41" s="188">
        <f t="shared" si="27"/>
        <v>3000</v>
      </c>
      <c r="U41" s="336"/>
      <c r="V41" s="188">
        <f t="shared" si="28"/>
        <v>3000</v>
      </c>
      <c r="W41" s="336"/>
      <c r="X41" s="188">
        <f t="shared" si="29"/>
        <v>3000</v>
      </c>
      <c r="Y41" s="336"/>
      <c r="Z41" s="188">
        <f t="shared" si="30"/>
        <v>3000</v>
      </c>
      <c r="AA41" s="336"/>
      <c r="AB41" s="188">
        <f t="shared" si="31"/>
        <v>3000</v>
      </c>
      <c r="AC41" s="336">
        <v>3000</v>
      </c>
      <c r="AD41" s="383">
        <f t="shared" si="3"/>
        <v>100</v>
      </c>
    </row>
    <row r="42" spans="1:30" s="384" customFormat="1" ht="27" customHeight="1">
      <c r="A42" s="189">
        <v>926</v>
      </c>
      <c r="B42" s="189">
        <v>92605</v>
      </c>
      <c r="C42" s="189">
        <v>2820</v>
      </c>
      <c r="D42" s="186" t="s">
        <v>336</v>
      </c>
      <c r="E42" s="190" t="s">
        <v>66</v>
      </c>
      <c r="F42" s="336"/>
      <c r="G42" s="336"/>
      <c r="H42" s="188">
        <v>0</v>
      </c>
      <c r="I42" s="336">
        <v>10000</v>
      </c>
      <c r="J42" s="188">
        <f t="shared" si="22"/>
        <v>10000</v>
      </c>
      <c r="K42" s="336"/>
      <c r="L42" s="188">
        <f t="shared" si="23"/>
        <v>10000</v>
      </c>
      <c r="M42" s="336"/>
      <c r="N42" s="188">
        <f t="shared" si="24"/>
        <v>10000</v>
      </c>
      <c r="O42" s="336"/>
      <c r="P42" s="188">
        <f t="shared" si="25"/>
        <v>10000</v>
      </c>
      <c r="Q42" s="336"/>
      <c r="R42" s="188">
        <f t="shared" si="26"/>
        <v>10000</v>
      </c>
      <c r="S42" s="336"/>
      <c r="T42" s="188">
        <f t="shared" si="27"/>
        <v>10000</v>
      </c>
      <c r="U42" s="336"/>
      <c r="V42" s="188">
        <f t="shared" si="28"/>
        <v>10000</v>
      </c>
      <c r="W42" s="336"/>
      <c r="X42" s="188">
        <f t="shared" si="29"/>
        <v>10000</v>
      </c>
      <c r="Y42" s="336"/>
      <c r="Z42" s="188">
        <f t="shared" si="30"/>
        <v>10000</v>
      </c>
      <c r="AA42" s="336"/>
      <c r="AB42" s="188">
        <f t="shared" si="31"/>
        <v>10000</v>
      </c>
      <c r="AC42" s="336">
        <v>10000</v>
      </c>
      <c r="AD42" s="383">
        <f t="shared" si="3"/>
        <v>100</v>
      </c>
    </row>
    <row r="43" spans="1:30" s="384" customFormat="1" ht="27" customHeight="1">
      <c r="A43" s="189">
        <v>926</v>
      </c>
      <c r="B43" s="189">
        <v>92605</v>
      </c>
      <c r="C43" s="189">
        <v>2820</v>
      </c>
      <c r="D43" s="191" t="s">
        <v>337</v>
      </c>
      <c r="E43" s="190" t="s">
        <v>66</v>
      </c>
      <c r="F43" s="336"/>
      <c r="G43" s="336"/>
      <c r="H43" s="188">
        <v>0</v>
      </c>
      <c r="I43" s="336">
        <v>2000</v>
      </c>
      <c r="J43" s="188">
        <f t="shared" si="22"/>
        <v>2000</v>
      </c>
      <c r="K43" s="336"/>
      <c r="L43" s="188">
        <f t="shared" si="23"/>
        <v>2000</v>
      </c>
      <c r="M43" s="336"/>
      <c r="N43" s="188">
        <f t="shared" si="24"/>
        <v>2000</v>
      </c>
      <c r="O43" s="336"/>
      <c r="P43" s="188">
        <f t="shared" si="25"/>
        <v>2000</v>
      </c>
      <c r="Q43" s="336"/>
      <c r="R43" s="188">
        <f t="shared" si="26"/>
        <v>2000</v>
      </c>
      <c r="S43" s="336"/>
      <c r="T43" s="188">
        <f t="shared" si="27"/>
        <v>2000</v>
      </c>
      <c r="U43" s="336"/>
      <c r="V43" s="188">
        <f t="shared" si="28"/>
        <v>2000</v>
      </c>
      <c r="W43" s="336"/>
      <c r="X43" s="188">
        <f t="shared" si="29"/>
        <v>2000</v>
      </c>
      <c r="Y43" s="336"/>
      <c r="Z43" s="188">
        <f t="shared" si="30"/>
        <v>2000</v>
      </c>
      <c r="AA43" s="336"/>
      <c r="AB43" s="188">
        <f t="shared" si="31"/>
        <v>2000</v>
      </c>
      <c r="AC43" s="336">
        <v>2000</v>
      </c>
      <c r="AD43" s="383">
        <f t="shared" si="3"/>
        <v>100</v>
      </c>
    </row>
    <row r="44" spans="1:30" s="384" customFormat="1" ht="27" customHeight="1">
      <c r="A44" s="189">
        <v>926</v>
      </c>
      <c r="B44" s="189">
        <v>92605</v>
      </c>
      <c r="C44" s="189">
        <v>2820</v>
      </c>
      <c r="D44" s="186" t="s">
        <v>338</v>
      </c>
      <c r="E44" s="190" t="s">
        <v>66</v>
      </c>
      <c r="F44" s="336"/>
      <c r="G44" s="336"/>
      <c r="H44" s="188">
        <v>0</v>
      </c>
      <c r="I44" s="336">
        <v>1500</v>
      </c>
      <c r="J44" s="188">
        <f t="shared" si="22"/>
        <v>1500</v>
      </c>
      <c r="K44" s="336"/>
      <c r="L44" s="188">
        <f t="shared" si="23"/>
        <v>1500</v>
      </c>
      <c r="M44" s="336"/>
      <c r="N44" s="188">
        <f t="shared" si="24"/>
        <v>1500</v>
      </c>
      <c r="O44" s="336"/>
      <c r="P44" s="188">
        <f t="shared" si="25"/>
        <v>1500</v>
      </c>
      <c r="Q44" s="336"/>
      <c r="R44" s="188">
        <f t="shared" si="26"/>
        <v>1500</v>
      </c>
      <c r="S44" s="336"/>
      <c r="T44" s="188">
        <f t="shared" si="27"/>
        <v>1500</v>
      </c>
      <c r="U44" s="336"/>
      <c r="V44" s="188">
        <f t="shared" si="28"/>
        <v>1500</v>
      </c>
      <c r="W44" s="336"/>
      <c r="X44" s="188">
        <f t="shared" si="29"/>
        <v>1500</v>
      </c>
      <c r="Y44" s="336"/>
      <c r="Z44" s="188">
        <f t="shared" si="30"/>
        <v>1500</v>
      </c>
      <c r="AA44" s="336"/>
      <c r="AB44" s="188">
        <f t="shared" si="31"/>
        <v>1500</v>
      </c>
      <c r="AC44" s="336">
        <v>1500</v>
      </c>
      <c r="AD44" s="383">
        <f t="shared" si="3"/>
        <v>100</v>
      </c>
    </row>
    <row r="45" spans="1:30" s="384" customFormat="1" ht="27" customHeight="1">
      <c r="A45" s="189">
        <v>926</v>
      </c>
      <c r="B45" s="189">
        <v>92605</v>
      </c>
      <c r="C45" s="189">
        <v>2820</v>
      </c>
      <c r="D45" s="186" t="s">
        <v>339</v>
      </c>
      <c r="E45" s="190" t="s">
        <v>66</v>
      </c>
      <c r="F45" s="336"/>
      <c r="G45" s="336"/>
      <c r="H45" s="188">
        <v>0</v>
      </c>
      <c r="I45" s="336">
        <f>1000+1000</f>
        <v>2000</v>
      </c>
      <c r="J45" s="188">
        <f t="shared" si="22"/>
        <v>2000</v>
      </c>
      <c r="K45" s="336"/>
      <c r="L45" s="188">
        <f t="shared" si="23"/>
        <v>2000</v>
      </c>
      <c r="M45" s="336"/>
      <c r="N45" s="188">
        <f t="shared" si="24"/>
        <v>2000</v>
      </c>
      <c r="O45" s="336"/>
      <c r="P45" s="188">
        <f t="shared" si="25"/>
        <v>2000</v>
      </c>
      <c r="Q45" s="336"/>
      <c r="R45" s="188">
        <f t="shared" si="26"/>
        <v>2000</v>
      </c>
      <c r="S45" s="336"/>
      <c r="T45" s="188">
        <f t="shared" si="27"/>
        <v>2000</v>
      </c>
      <c r="U45" s="336"/>
      <c r="V45" s="188">
        <f t="shared" si="28"/>
        <v>2000</v>
      </c>
      <c r="W45" s="336"/>
      <c r="X45" s="188">
        <f t="shared" si="29"/>
        <v>2000</v>
      </c>
      <c r="Y45" s="336"/>
      <c r="Z45" s="188">
        <f t="shared" si="30"/>
        <v>2000</v>
      </c>
      <c r="AA45" s="336"/>
      <c r="AB45" s="188">
        <f t="shared" si="31"/>
        <v>2000</v>
      </c>
      <c r="AC45" s="336">
        <v>2000</v>
      </c>
      <c r="AD45" s="383">
        <f t="shared" si="3"/>
        <v>100</v>
      </c>
    </row>
    <row r="46" spans="1:30" s="384" customFormat="1" ht="27" customHeight="1">
      <c r="A46" s="189">
        <v>926</v>
      </c>
      <c r="B46" s="189">
        <v>92605</v>
      </c>
      <c r="C46" s="189">
        <v>2820</v>
      </c>
      <c r="D46" s="186" t="s">
        <v>340</v>
      </c>
      <c r="E46" s="190" t="s">
        <v>66</v>
      </c>
      <c r="F46" s="336"/>
      <c r="G46" s="336"/>
      <c r="H46" s="188">
        <v>0</v>
      </c>
      <c r="I46" s="336">
        <v>1000</v>
      </c>
      <c r="J46" s="188">
        <f t="shared" si="22"/>
        <v>1000</v>
      </c>
      <c r="K46" s="336"/>
      <c r="L46" s="188">
        <f t="shared" si="23"/>
        <v>1000</v>
      </c>
      <c r="M46" s="336"/>
      <c r="N46" s="188">
        <f t="shared" si="24"/>
        <v>1000</v>
      </c>
      <c r="O46" s="336"/>
      <c r="P46" s="188">
        <f t="shared" si="25"/>
        <v>1000</v>
      </c>
      <c r="Q46" s="336"/>
      <c r="R46" s="188">
        <f t="shared" si="26"/>
        <v>1000</v>
      </c>
      <c r="S46" s="336"/>
      <c r="T46" s="188">
        <f t="shared" si="27"/>
        <v>1000</v>
      </c>
      <c r="U46" s="336"/>
      <c r="V46" s="188">
        <f t="shared" si="28"/>
        <v>1000</v>
      </c>
      <c r="W46" s="336"/>
      <c r="X46" s="188">
        <f t="shared" si="29"/>
        <v>1000</v>
      </c>
      <c r="Y46" s="336"/>
      <c r="Z46" s="188">
        <f t="shared" si="30"/>
        <v>1000</v>
      </c>
      <c r="AA46" s="336"/>
      <c r="AB46" s="188">
        <f t="shared" si="31"/>
        <v>1000</v>
      </c>
      <c r="AC46" s="336">
        <v>1000</v>
      </c>
      <c r="AD46" s="383">
        <f t="shared" si="3"/>
        <v>100</v>
      </c>
    </row>
    <row r="47" spans="1:30" s="384" customFormat="1" ht="36">
      <c r="A47" s="189">
        <v>921</v>
      </c>
      <c r="B47" s="189">
        <v>92120</v>
      </c>
      <c r="C47" s="189">
        <v>2720</v>
      </c>
      <c r="D47" s="191" t="s">
        <v>287</v>
      </c>
      <c r="E47" s="191" t="s">
        <v>313</v>
      </c>
      <c r="F47" s="242">
        <v>22650</v>
      </c>
      <c r="G47" s="242"/>
      <c r="H47" s="188">
        <f>SUM(F47:G47)</f>
        <v>22650</v>
      </c>
      <c r="I47" s="242"/>
      <c r="J47" s="188">
        <f t="shared" si="22"/>
        <v>22650</v>
      </c>
      <c r="K47" s="242"/>
      <c r="L47" s="188">
        <f t="shared" si="23"/>
        <v>22650</v>
      </c>
      <c r="M47" s="242"/>
      <c r="N47" s="188">
        <f t="shared" si="24"/>
        <v>22650</v>
      </c>
      <c r="O47" s="242"/>
      <c r="P47" s="188">
        <f t="shared" si="25"/>
        <v>22650</v>
      </c>
      <c r="Q47" s="242"/>
      <c r="R47" s="188">
        <f t="shared" si="26"/>
        <v>22650</v>
      </c>
      <c r="S47" s="242"/>
      <c r="T47" s="188">
        <f t="shared" si="27"/>
        <v>22650</v>
      </c>
      <c r="U47" s="242"/>
      <c r="V47" s="188">
        <f t="shared" si="28"/>
        <v>22650</v>
      </c>
      <c r="W47" s="242"/>
      <c r="X47" s="188">
        <f t="shared" si="29"/>
        <v>22650</v>
      </c>
      <c r="Y47" s="242"/>
      <c r="Z47" s="188">
        <f t="shared" si="30"/>
        <v>22650</v>
      </c>
      <c r="AA47" s="242"/>
      <c r="AB47" s="188">
        <f t="shared" si="31"/>
        <v>22650</v>
      </c>
      <c r="AC47" s="242">
        <v>22650</v>
      </c>
      <c r="AD47" s="383">
        <f t="shared" si="3"/>
        <v>100</v>
      </c>
    </row>
    <row r="48" spans="1:30" s="103" customFormat="1" ht="28.5" customHeight="1">
      <c r="A48" s="432" t="s">
        <v>253</v>
      </c>
      <c r="B48" s="432"/>
      <c r="C48" s="432"/>
      <c r="D48" s="432"/>
      <c r="E48" s="153"/>
      <c r="F48" s="152">
        <f>SUM(F50:F51)</f>
        <v>227851</v>
      </c>
      <c r="G48" s="152">
        <f>SUM(G50:G51)</f>
        <v>0</v>
      </c>
      <c r="H48" s="152">
        <f>SUM(H49:H51)</f>
        <v>227851</v>
      </c>
      <c r="I48" s="152">
        <f aca="true" t="shared" si="32" ref="I48:AC48">SUM(I49:I51)</f>
        <v>0</v>
      </c>
      <c r="J48" s="152">
        <f t="shared" si="32"/>
        <v>227851</v>
      </c>
      <c r="K48" s="152">
        <f t="shared" si="32"/>
        <v>0</v>
      </c>
      <c r="L48" s="152">
        <f t="shared" si="32"/>
        <v>227851</v>
      </c>
      <c r="M48" s="152">
        <f t="shared" si="32"/>
        <v>0</v>
      </c>
      <c r="N48" s="152">
        <f t="shared" si="32"/>
        <v>227851</v>
      </c>
      <c r="O48" s="152">
        <f t="shared" si="32"/>
        <v>0</v>
      </c>
      <c r="P48" s="152">
        <f t="shared" si="32"/>
        <v>227851</v>
      </c>
      <c r="Q48" s="152">
        <f t="shared" si="32"/>
        <v>0</v>
      </c>
      <c r="R48" s="152">
        <f t="shared" si="32"/>
        <v>227851</v>
      </c>
      <c r="S48" s="152">
        <f t="shared" si="32"/>
        <v>0</v>
      </c>
      <c r="T48" s="152">
        <f t="shared" si="32"/>
        <v>227851</v>
      </c>
      <c r="U48" s="152">
        <f t="shared" si="32"/>
        <v>0</v>
      </c>
      <c r="V48" s="152">
        <f t="shared" si="32"/>
        <v>227851</v>
      </c>
      <c r="W48" s="152">
        <f t="shared" si="32"/>
        <v>20744</v>
      </c>
      <c r="X48" s="152">
        <f t="shared" si="32"/>
        <v>248595</v>
      </c>
      <c r="Y48" s="152">
        <f t="shared" si="32"/>
        <v>0</v>
      </c>
      <c r="Z48" s="152">
        <f t="shared" si="32"/>
        <v>248595</v>
      </c>
      <c r="AA48" s="152">
        <f t="shared" si="32"/>
        <v>2800</v>
      </c>
      <c r="AB48" s="152">
        <f t="shared" si="32"/>
        <v>251395</v>
      </c>
      <c r="AC48" s="152">
        <f t="shared" si="32"/>
        <v>251252.02</v>
      </c>
      <c r="AD48" s="387">
        <f t="shared" si="3"/>
        <v>99.94312536048847</v>
      </c>
    </row>
    <row r="49" spans="1:30" s="337" customFormat="1" ht="48">
      <c r="A49" s="333">
        <v>801</v>
      </c>
      <c r="B49" s="333">
        <v>80104</v>
      </c>
      <c r="C49" s="333">
        <v>2310</v>
      </c>
      <c r="D49" s="334" t="s">
        <v>364</v>
      </c>
      <c r="E49" s="338" t="s">
        <v>496</v>
      </c>
      <c r="F49" s="335"/>
      <c r="G49" s="335"/>
      <c r="H49" s="335">
        <v>0</v>
      </c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>
        <v>0</v>
      </c>
      <c r="Y49" s="335"/>
      <c r="Z49" s="336">
        <f>SUM(X49:Y49)</f>
        <v>0</v>
      </c>
      <c r="AA49" s="335">
        <v>2800</v>
      </c>
      <c r="AB49" s="336">
        <f>SUM(Z49:AA49)</f>
        <v>2800</v>
      </c>
      <c r="AC49" s="335">
        <v>2657.02</v>
      </c>
      <c r="AD49" s="383">
        <f t="shared" si="3"/>
        <v>94.89357142857143</v>
      </c>
    </row>
    <row r="50" spans="1:30" s="175" customFormat="1" ht="24">
      <c r="A50" s="189">
        <v>854</v>
      </c>
      <c r="B50" s="189">
        <v>85495</v>
      </c>
      <c r="C50" s="189">
        <v>2320</v>
      </c>
      <c r="D50" s="191" t="s">
        <v>230</v>
      </c>
      <c r="E50" s="385" t="s">
        <v>321</v>
      </c>
      <c r="F50" s="336">
        <v>199150</v>
      </c>
      <c r="G50" s="336"/>
      <c r="H50" s="336">
        <f>SUM(F50:G50)</f>
        <v>199150</v>
      </c>
      <c r="I50" s="336"/>
      <c r="J50" s="336">
        <f>SUM(H50:I50)</f>
        <v>199150</v>
      </c>
      <c r="K50" s="336"/>
      <c r="L50" s="336">
        <f>SUM(J50:K50)</f>
        <v>199150</v>
      </c>
      <c r="M50" s="336"/>
      <c r="N50" s="336">
        <f>SUM(L50:M50)</f>
        <v>199150</v>
      </c>
      <c r="O50" s="336"/>
      <c r="P50" s="336">
        <f>SUM(N50:O50)</f>
        <v>199150</v>
      </c>
      <c r="Q50" s="336"/>
      <c r="R50" s="336">
        <f>SUM(P50:Q50)</f>
        <v>199150</v>
      </c>
      <c r="S50" s="336"/>
      <c r="T50" s="336">
        <f>SUM(R50:S50)</f>
        <v>199150</v>
      </c>
      <c r="U50" s="336"/>
      <c r="V50" s="336">
        <f>SUM(T50:U50)</f>
        <v>199150</v>
      </c>
      <c r="W50" s="336">
        <v>17070</v>
      </c>
      <c r="X50" s="336">
        <f>SUM(V50:W50)</f>
        <v>216220</v>
      </c>
      <c r="Y50" s="336"/>
      <c r="Z50" s="336">
        <f>SUM(X50:Y50)</f>
        <v>216220</v>
      </c>
      <c r="AA50" s="336"/>
      <c r="AB50" s="336">
        <f>SUM(Z50:AA50)</f>
        <v>216220</v>
      </c>
      <c r="AC50" s="336">
        <v>216220</v>
      </c>
      <c r="AD50" s="383">
        <f t="shared" si="3"/>
        <v>100</v>
      </c>
    </row>
    <row r="51" spans="1:30" s="175" customFormat="1" ht="19.5" customHeight="1">
      <c r="A51" s="189">
        <v>854</v>
      </c>
      <c r="B51" s="189">
        <v>85495</v>
      </c>
      <c r="C51" s="189">
        <v>2320</v>
      </c>
      <c r="D51" s="191" t="s">
        <v>231</v>
      </c>
      <c r="E51" s="191" t="s">
        <v>232</v>
      </c>
      <c r="F51" s="242">
        <v>28701</v>
      </c>
      <c r="G51" s="242"/>
      <c r="H51" s="336">
        <f>SUM(F51:G51)</f>
        <v>28701</v>
      </c>
      <c r="I51" s="242"/>
      <c r="J51" s="336">
        <f>SUM(H51:I51)</f>
        <v>28701</v>
      </c>
      <c r="K51" s="242"/>
      <c r="L51" s="336">
        <f>SUM(J51:K51)</f>
        <v>28701</v>
      </c>
      <c r="M51" s="242"/>
      <c r="N51" s="336">
        <f>SUM(L51:M51)</f>
        <v>28701</v>
      </c>
      <c r="O51" s="242"/>
      <c r="P51" s="336">
        <f>SUM(N51:O51)</f>
        <v>28701</v>
      </c>
      <c r="Q51" s="242"/>
      <c r="R51" s="336">
        <f>SUM(P51:Q51)</f>
        <v>28701</v>
      </c>
      <c r="S51" s="242"/>
      <c r="T51" s="336">
        <f>SUM(R51:S51)</f>
        <v>28701</v>
      </c>
      <c r="U51" s="242"/>
      <c r="V51" s="336">
        <f>SUM(T51:U51)</f>
        <v>28701</v>
      </c>
      <c r="W51" s="242">
        <v>3674</v>
      </c>
      <c r="X51" s="336">
        <f>SUM(V51:W51)</f>
        <v>32375</v>
      </c>
      <c r="Y51" s="242"/>
      <c r="Z51" s="336">
        <f>SUM(X51:Y51)</f>
        <v>32375</v>
      </c>
      <c r="AA51" s="242"/>
      <c r="AB51" s="336">
        <f>SUM(Z51:AA51)</f>
        <v>32375</v>
      </c>
      <c r="AC51" s="242">
        <v>32375</v>
      </c>
      <c r="AD51" s="383">
        <f t="shared" si="3"/>
        <v>100</v>
      </c>
    </row>
    <row r="52" spans="1:30" s="140" customFormat="1" ht="29.25" customHeight="1">
      <c r="A52" s="418" t="s">
        <v>291</v>
      </c>
      <c r="B52" s="419"/>
      <c r="C52" s="419"/>
      <c r="D52" s="419"/>
      <c r="E52" s="139"/>
      <c r="F52" s="45">
        <f>SUM(F53)</f>
        <v>10800</v>
      </c>
      <c r="G52" s="45">
        <f>SUM(G53)</f>
        <v>0</v>
      </c>
      <c r="H52" s="45">
        <f aca="true" t="shared" si="33" ref="H52:AA52">SUM(H53:H54)</f>
        <v>10800</v>
      </c>
      <c r="I52" s="45">
        <f t="shared" si="33"/>
        <v>0</v>
      </c>
      <c r="J52" s="45">
        <f t="shared" si="33"/>
        <v>10800</v>
      </c>
      <c r="K52" s="45">
        <f t="shared" si="33"/>
        <v>0</v>
      </c>
      <c r="L52" s="45">
        <f t="shared" si="33"/>
        <v>10800</v>
      </c>
      <c r="M52" s="45">
        <f t="shared" si="33"/>
        <v>13425</v>
      </c>
      <c r="N52" s="45">
        <f t="shared" si="33"/>
        <v>24225</v>
      </c>
      <c r="O52" s="45">
        <f t="shared" si="33"/>
        <v>0</v>
      </c>
      <c r="P52" s="45">
        <f t="shared" si="33"/>
        <v>24225</v>
      </c>
      <c r="Q52" s="45">
        <f t="shared" si="33"/>
        <v>0</v>
      </c>
      <c r="R52" s="45">
        <f t="shared" si="33"/>
        <v>24225</v>
      </c>
      <c r="S52" s="45">
        <f t="shared" si="33"/>
        <v>0</v>
      </c>
      <c r="T52" s="45">
        <f t="shared" si="33"/>
        <v>24225</v>
      </c>
      <c r="U52" s="45">
        <f t="shared" si="33"/>
        <v>0</v>
      </c>
      <c r="V52" s="45">
        <f t="shared" si="33"/>
        <v>24225</v>
      </c>
      <c r="W52" s="45">
        <f t="shared" si="33"/>
        <v>0</v>
      </c>
      <c r="X52" s="45">
        <f t="shared" si="33"/>
        <v>24225</v>
      </c>
      <c r="Y52" s="45">
        <f t="shared" si="33"/>
        <v>0</v>
      </c>
      <c r="Z52" s="45">
        <f t="shared" si="33"/>
        <v>24225</v>
      </c>
      <c r="AA52" s="45">
        <f t="shared" si="33"/>
        <v>0</v>
      </c>
      <c r="AB52" s="45">
        <f>SUM(AB53:AB54)</f>
        <v>24225</v>
      </c>
      <c r="AC52" s="45">
        <f>SUM(AC53:AC54)</f>
        <v>24225</v>
      </c>
      <c r="AD52" s="387">
        <f t="shared" si="3"/>
        <v>100</v>
      </c>
    </row>
    <row r="53" spans="1:30" s="138" customFormat="1" ht="24" customHeight="1">
      <c r="A53" s="193">
        <v>853</v>
      </c>
      <c r="B53" s="193">
        <v>85311</v>
      </c>
      <c r="C53" s="193">
        <v>2710</v>
      </c>
      <c r="D53" s="122" t="s">
        <v>231</v>
      </c>
      <c r="E53" s="139" t="s">
        <v>290</v>
      </c>
      <c r="F53" s="386">
        <v>10800</v>
      </c>
      <c r="G53" s="386"/>
      <c r="H53" s="386">
        <f>SUM(F53:G53)</f>
        <v>10800</v>
      </c>
      <c r="I53" s="386"/>
      <c r="J53" s="386">
        <f>SUM(H53:I53)</f>
        <v>10800</v>
      </c>
      <c r="K53" s="386"/>
      <c r="L53" s="386">
        <f>SUM(J53:K53)</f>
        <v>10800</v>
      </c>
      <c r="M53" s="386"/>
      <c r="N53" s="386">
        <f>SUM(L53:M53)</f>
        <v>10800</v>
      </c>
      <c r="O53" s="386"/>
      <c r="P53" s="386">
        <f>SUM(N53:O53)</f>
        <v>10800</v>
      </c>
      <c r="Q53" s="386"/>
      <c r="R53" s="386">
        <f>SUM(P53:Q53)</f>
        <v>10800</v>
      </c>
      <c r="S53" s="386"/>
      <c r="T53" s="386">
        <f>SUM(R53:S53)</f>
        <v>10800</v>
      </c>
      <c r="U53" s="386"/>
      <c r="V53" s="386">
        <f>SUM(T53:U53)</f>
        <v>10800</v>
      </c>
      <c r="W53" s="386"/>
      <c r="X53" s="386">
        <f>SUM(V53:W53)</f>
        <v>10800</v>
      </c>
      <c r="Y53" s="386"/>
      <c r="Z53" s="386">
        <f>SUM(X53:Y53)</f>
        <v>10800</v>
      </c>
      <c r="AA53" s="386"/>
      <c r="AB53" s="386">
        <f>SUM(Z53:AA53)</f>
        <v>10800</v>
      </c>
      <c r="AC53" s="386">
        <v>10800</v>
      </c>
      <c r="AD53" s="381">
        <f t="shared" si="3"/>
        <v>100</v>
      </c>
    </row>
    <row r="54" spans="1:30" s="138" customFormat="1" ht="36">
      <c r="A54" s="193">
        <v>851</v>
      </c>
      <c r="B54" s="193">
        <v>85154</v>
      </c>
      <c r="C54" s="193">
        <v>2710</v>
      </c>
      <c r="D54" s="122" t="s">
        <v>364</v>
      </c>
      <c r="E54" s="122" t="s">
        <v>365</v>
      </c>
      <c r="F54" s="386"/>
      <c r="G54" s="386"/>
      <c r="H54" s="386">
        <v>0</v>
      </c>
      <c r="I54" s="386"/>
      <c r="J54" s="386"/>
      <c r="K54" s="386"/>
      <c r="L54" s="386">
        <v>0</v>
      </c>
      <c r="M54" s="386">
        <v>13425</v>
      </c>
      <c r="N54" s="386">
        <f>SUM(L54:M54)</f>
        <v>13425</v>
      </c>
      <c r="O54" s="386"/>
      <c r="P54" s="386">
        <f>SUM(N54:O54)</f>
        <v>13425</v>
      </c>
      <c r="Q54" s="386"/>
      <c r="R54" s="386">
        <f>SUM(P54:Q54)</f>
        <v>13425</v>
      </c>
      <c r="S54" s="386"/>
      <c r="T54" s="386">
        <f>SUM(R54:S54)</f>
        <v>13425</v>
      </c>
      <c r="U54" s="386"/>
      <c r="V54" s="386">
        <f>SUM(T54:U54)</f>
        <v>13425</v>
      </c>
      <c r="W54" s="386"/>
      <c r="X54" s="386">
        <f>SUM(V54:W54)</f>
        <v>13425</v>
      </c>
      <c r="Y54" s="386"/>
      <c r="Z54" s="386">
        <f>SUM(X54:Y54)</f>
        <v>13425</v>
      </c>
      <c r="AA54" s="386"/>
      <c r="AB54" s="386">
        <f>SUM(Z54:AA54)</f>
        <v>13425</v>
      </c>
      <c r="AC54" s="386">
        <v>13425</v>
      </c>
      <c r="AD54" s="381">
        <f t="shared" si="3"/>
        <v>100</v>
      </c>
    </row>
    <row r="55" spans="1:30" s="130" customFormat="1" ht="27.75" customHeight="1">
      <c r="A55" s="428" t="s">
        <v>67</v>
      </c>
      <c r="B55" s="429"/>
      <c r="C55" s="429"/>
      <c r="D55" s="429"/>
      <c r="E55" s="430"/>
      <c r="F55" s="48">
        <f aca="true" t="shared" si="34" ref="F55:X55">SUM(F48,F24,F17,F11,F8,F52)</f>
        <v>7187350</v>
      </c>
      <c r="G55" s="48">
        <f t="shared" si="34"/>
        <v>-407000</v>
      </c>
      <c r="H55" s="48">
        <f t="shared" si="34"/>
        <v>6780350</v>
      </c>
      <c r="I55" s="48">
        <f t="shared" si="34"/>
        <v>511010</v>
      </c>
      <c r="J55" s="48">
        <f t="shared" si="34"/>
        <v>7291360</v>
      </c>
      <c r="K55" s="48">
        <f t="shared" si="34"/>
        <v>52900</v>
      </c>
      <c r="L55" s="48">
        <f t="shared" si="34"/>
        <v>7344260</v>
      </c>
      <c r="M55" s="48">
        <f t="shared" si="34"/>
        <v>13425</v>
      </c>
      <c r="N55" s="48">
        <f t="shared" si="34"/>
        <v>7357685</v>
      </c>
      <c r="O55" s="48">
        <f t="shared" si="34"/>
        <v>0</v>
      </c>
      <c r="P55" s="48">
        <f t="shared" si="34"/>
        <v>7357685</v>
      </c>
      <c r="Q55" s="48">
        <f t="shared" si="34"/>
        <v>38250</v>
      </c>
      <c r="R55" s="48">
        <f t="shared" si="34"/>
        <v>7395935</v>
      </c>
      <c r="S55" s="48">
        <f t="shared" si="34"/>
        <v>51742</v>
      </c>
      <c r="T55" s="48">
        <f t="shared" si="34"/>
        <v>7447677</v>
      </c>
      <c r="U55" s="48">
        <f t="shared" si="34"/>
        <v>5633</v>
      </c>
      <c r="V55" s="48">
        <f t="shared" si="34"/>
        <v>7453310</v>
      </c>
      <c r="W55" s="48">
        <f t="shared" si="34"/>
        <v>20744</v>
      </c>
      <c r="X55" s="48">
        <f t="shared" si="34"/>
        <v>7474054</v>
      </c>
      <c r="Y55" s="48">
        <f>SUM(Y48,Y24,Y17,Y11,Y8,Y52)</f>
        <v>216000</v>
      </c>
      <c r="Z55" s="48">
        <f>SUM(Z48,Z24,Z17,Z11,Z8,Z52)</f>
        <v>7690054</v>
      </c>
      <c r="AA55" s="48">
        <f>SUM(AA48,AA24,AA17,AA11,AA8,AA52)</f>
        <v>2800</v>
      </c>
      <c r="AB55" s="48">
        <f>SUM(AB48,AB24,AB17,AB11,AB8,AB52)</f>
        <v>7692854</v>
      </c>
      <c r="AC55" s="48">
        <f>SUM(AC48,AC24,AC17,AC11,AC8,AC52)</f>
        <v>7645589.51</v>
      </c>
      <c r="AD55" s="380">
        <f t="shared" si="3"/>
        <v>99.38560526431412</v>
      </c>
    </row>
    <row r="56" spans="1:30" s="130" customFormat="1" ht="27.75" customHeight="1">
      <c r="A56" s="104"/>
      <c r="B56" s="104"/>
      <c r="C56" s="104"/>
      <c r="D56" s="104"/>
      <c r="E56" s="10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49"/>
    </row>
    <row r="57" spans="1:30" s="130" customFormat="1" ht="27.75" customHeight="1">
      <c r="A57" s="104"/>
      <c r="B57" s="104"/>
      <c r="C57" s="104"/>
      <c r="D57" s="104"/>
      <c r="E57" s="10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49"/>
    </row>
    <row r="58" spans="1:30" s="130" customFormat="1" ht="27.75" customHeight="1">
      <c r="A58" s="104"/>
      <c r="B58" s="104"/>
      <c r="C58" s="104"/>
      <c r="D58" s="104"/>
      <c r="E58" s="10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49"/>
    </row>
    <row r="59" spans="1:30" s="130" customFormat="1" ht="27.75" customHeight="1">
      <c r="A59" s="104"/>
      <c r="B59" s="104"/>
      <c r="C59" s="104"/>
      <c r="D59" s="104"/>
      <c r="E59" s="10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49"/>
    </row>
    <row r="60" spans="1:30" s="130" customFormat="1" ht="27.75" customHeight="1">
      <c r="A60" s="104"/>
      <c r="B60" s="104"/>
      <c r="C60" s="104"/>
      <c r="D60" s="104"/>
      <c r="E60" s="10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49"/>
    </row>
    <row r="61" spans="1:30" s="130" customFormat="1" ht="27.75" customHeight="1">
      <c r="A61" s="104"/>
      <c r="B61" s="104"/>
      <c r="C61" s="104"/>
      <c r="D61" s="104"/>
      <c r="E61" s="10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49"/>
    </row>
    <row r="62" spans="1:30" s="130" customFormat="1" ht="27.75" customHeight="1">
      <c r="A62" s="104"/>
      <c r="B62" s="104"/>
      <c r="C62" s="104"/>
      <c r="D62" s="104"/>
      <c r="E62" s="10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49"/>
    </row>
    <row r="65" spans="1:30" ht="31.5" customHeight="1">
      <c r="A65" s="422" t="s">
        <v>254</v>
      </c>
      <c r="B65" s="423"/>
      <c r="C65" s="423"/>
      <c r="D65" s="423"/>
      <c r="E65" s="423"/>
      <c r="F65" s="424"/>
      <c r="G65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415"/>
      <c r="AD65" s="416"/>
    </row>
    <row r="66" spans="1:30" ht="27" customHeight="1">
      <c r="A66" s="6" t="s">
        <v>0</v>
      </c>
      <c r="B66" s="6" t="s">
        <v>1</v>
      </c>
      <c r="C66" s="6" t="s">
        <v>2</v>
      </c>
      <c r="D66" s="6" t="s">
        <v>213</v>
      </c>
      <c r="E66" s="6" t="s">
        <v>214</v>
      </c>
      <c r="F66" s="119" t="s">
        <v>215</v>
      </c>
      <c r="G66" s="119" t="s">
        <v>215</v>
      </c>
      <c r="H66" s="398" t="s">
        <v>119</v>
      </c>
      <c r="I66" s="398" t="s">
        <v>215</v>
      </c>
      <c r="J66" s="398" t="s">
        <v>215</v>
      </c>
      <c r="K66" s="398" t="s">
        <v>215</v>
      </c>
      <c r="L66" s="398" t="s">
        <v>119</v>
      </c>
      <c r="M66" s="398" t="s">
        <v>302</v>
      </c>
      <c r="N66" s="398" t="s">
        <v>119</v>
      </c>
      <c r="O66" s="398" t="s">
        <v>302</v>
      </c>
      <c r="P66" s="398" t="s">
        <v>320</v>
      </c>
      <c r="Q66" s="398" t="s">
        <v>302</v>
      </c>
      <c r="R66" s="398" t="s">
        <v>120</v>
      </c>
      <c r="S66" s="398" t="s">
        <v>302</v>
      </c>
      <c r="T66" s="398" t="s">
        <v>320</v>
      </c>
      <c r="U66" s="398" t="s">
        <v>302</v>
      </c>
      <c r="V66" s="398" t="s">
        <v>120</v>
      </c>
      <c r="W66" s="398" t="s">
        <v>302</v>
      </c>
      <c r="X66" s="398" t="s">
        <v>320</v>
      </c>
      <c r="Y66" s="398" t="s">
        <v>302</v>
      </c>
      <c r="Z66" s="398" t="s">
        <v>120</v>
      </c>
      <c r="AA66" s="398" t="s">
        <v>302</v>
      </c>
      <c r="AB66" s="398" t="s">
        <v>320</v>
      </c>
      <c r="AC66" s="398" t="s">
        <v>519</v>
      </c>
      <c r="AD66" s="397" t="s">
        <v>507</v>
      </c>
    </row>
    <row r="67" spans="1:30" s="196" customFormat="1" ht="60">
      <c r="A67" s="214">
        <v>600</v>
      </c>
      <c r="B67" s="214">
        <v>60013</v>
      </c>
      <c r="C67" s="214">
        <v>6300</v>
      </c>
      <c r="D67" s="186" t="s">
        <v>377</v>
      </c>
      <c r="E67" s="191" t="s">
        <v>378</v>
      </c>
      <c r="F67" s="241"/>
      <c r="G67" s="241"/>
      <c r="H67" s="242">
        <v>0</v>
      </c>
      <c r="I67" s="242"/>
      <c r="J67" s="242"/>
      <c r="K67" s="242"/>
      <c r="L67" s="242"/>
      <c r="M67" s="242"/>
      <c r="N67" s="242">
        <v>0</v>
      </c>
      <c r="O67" s="242">
        <v>19600</v>
      </c>
      <c r="P67" s="242">
        <f>SUM(N67:O67)</f>
        <v>19600</v>
      </c>
      <c r="Q67" s="242"/>
      <c r="R67" s="242">
        <f>SUM(P67:Q67)</f>
        <v>19600</v>
      </c>
      <c r="S67" s="242"/>
      <c r="T67" s="242">
        <f>SUM(R67:S67)</f>
        <v>19600</v>
      </c>
      <c r="U67" s="242"/>
      <c r="V67" s="242">
        <f>SUM(T67:U67)</f>
        <v>19600</v>
      </c>
      <c r="W67" s="242"/>
      <c r="X67" s="242">
        <f>SUM(V67:W67)</f>
        <v>19600</v>
      </c>
      <c r="Y67" s="242"/>
      <c r="Z67" s="242">
        <f>SUM(X67:Y67)</f>
        <v>19600</v>
      </c>
      <c r="AA67" s="242"/>
      <c r="AB67" s="242">
        <f>SUM(Z67:AA67)</f>
        <v>19600</v>
      </c>
      <c r="AC67" s="242">
        <v>19600</v>
      </c>
      <c r="AD67" s="390">
        <f>AC67/AB67*100</f>
        <v>100</v>
      </c>
    </row>
    <row r="68" spans="1:30" ht="36">
      <c r="A68" s="193">
        <v>754</v>
      </c>
      <c r="B68" s="193">
        <v>75411</v>
      </c>
      <c r="C68" s="193">
        <v>6620</v>
      </c>
      <c r="D68" s="122" t="s">
        <v>231</v>
      </c>
      <c r="E68" s="122" t="s">
        <v>390</v>
      </c>
      <c r="F68" s="154"/>
      <c r="G68" s="154"/>
      <c r="H68" s="188">
        <v>0</v>
      </c>
      <c r="I68" s="399"/>
      <c r="J68" s="399"/>
      <c r="K68" s="399"/>
      <c r="L68" s="188">
        <v>0</v>
      </c>
      <c r="M68" s="188">
        <v>150000</v>
      </c>
      <c r="N68" s="188">
        <f>SUM(L68:M68)</f>
        <v>150000</v>
      </c>
      <c r="O68" s="188"/>
      <c r="P68" s="188">
        <f>SUM(N68:O68)</f>
        <v>150000</v>
      </c>
      <c r="Q68" s="188"/>
      <c r="R68" s="188">
        <f>SUM(P68:Q68)</f>
        <v>150000</v>
      </c>
      <c r="S68" s="188"/>
      <c r="T68" s="188">
        <f>SUM(R68:S68)</f>
        <v>150000</v>
      </c>
      <c r="U68" s="188"/>
      <c r="V68" s="188">
        <f>SUM(T68:U68)</f>
        <v>150000</v>
      </c>
      <c r="W68" s="188"/>
      <c r="X68" s="188">
        <f>SUM(V68:W68)</f>
        <v>150000</v>
      </c>
      <c r="Y68" s="188"/>
      <c r="Z68" s="188">
        <f>SUM(X68:Y68)</f>
        <v>150000</v>
      </c>
      <c r="AA68" s="188"/>
      <c r="AB68" s="188">
        <f>SUM(Z68:AA68)</f>
        <v>150000</v>
      </c>
      <c r="AC68" s="188">
        <v>150000</v>
      </c>
      <c r="AD68" s="390">
        <f>AC68/AB68*100</f>
        <v>100</v>
      </c>
    </row>
    <row r="69" spans="1:30" ht="23.25" customHeight="1">
      <c r="A69" s="425" t="s">
        <v>67</v>
      </c>
      <c r="B69" s="426"/>
      <c r="C69" s="426"/>
      <c r="D69" s="426"/>
      <c r="E69" s="427"/>
      <c r="F69" s="11">
        <f aca="true" t="shared" si="35" ref="F69:M69">SUM(F68:F68)</f>
        <v>0</v>
      </c>
      <c r="G69" s="11">
        <f t="shared" si="35"/>
        <v>0</v>
      </c>
      <c r="H69" s="11">
        <f t="shared" si="35"/>
        <v>0</v>
      </c>
      <c r="I69" s="11">
        <f t="shared" si="35"/>
        <v>0</v>
      </c>
      <c r="J69" s="11">
        <f t="shared" si="35"/>
        <v>0</v>
      </c>
      <c r="K69" s="11">
        <f t="shared" si="35"/>
        <v>0</v>
      </c>
      <c r="L69" s="233">
        <f t="shared" si="35"/>
        <v>0</v>
      </c>
      <c r="M69" s="233">
        <f t="shared" si="35"/>
        <v>150000</v>
      </c>
      <c r="N69" s="233">
        <f aca="true" t="shared" si="36" ref="N69:T69">SUM(N67:N68)</f>
        <v>150000</v>
      </c>
      <c r="O69" s="233">
        <f t="shared" si="36"/>
        <v>19600</v>
      </c>
      <c r="P69" s="233">
        <f t="shared" si="36"/>
        <v>169600</v>
      </c>
      <c r="Q69" s="233">
        <f t="shared" si="36"/>
        <v>0</v>
      </c>
      <c r="R69" s="233">
        <f t="shared" si="36"/>
        <v>169600</v>
      </c>
      <c r="S69" s="233">
        <f t="shared" si="36"/>
        <v>0</v>
      </c>
      <c r="T69" s="233">
        <f t="shared" si="36"/>
        <v>169600</v>
      </c>
      <c r="U69" s="233">
        <f aca="true" t="shared" si="37" ref="U69:Z69">SUM(U67:U68)</f>
        <v>0</v>
      </c>
      <c r="V69" s="233">
        <f t="shared" si="37"/>
        <v>169600</v>
      </c>
      <c r="W69" s="233">
        <f t="shared" si="37"/>
        <v>0</v>
      </c>
      <c r="X69" s="233">
        <f t="shared" si="37"/>
        <v>169600</v>
      </c>
      <c r="Y69" s="233">
        <f t="shared" si="37"/>
        <v>0</v>
      </c>
      <c r="Z69" s="233">
        <f t="shared" si="37"/>
        <v>169600</v>
      </c>
      <c r="AA69" s="233">
        <f>SUM(AA67:AA68)</f>
        <v>0</v>
      </c>
      <c r="AB69" s="233">
        <f>SUM(AB67:AB68)</f>
        <v>169600</v>
      </c>
      <c r="AC69" s="233">
        <f>SUM(AC67:AC68)</f>
        <v>169600</v>
      </c>
      <c r="AD69" s="237">
        <f>AC69/AB69*100</f>
        <v>100</v>
      </c>
    </row>
    <row r="70" spans="1:30" s="130" customFormat="1" ht="24" customHeight="1">
      <c r="A70" s="421"/>
      <c r="B70" s="421"/>
      <c r="C70" s="421"/>
      <c r="D70" s="235" t="s">
        <v>366</v>
      </c>
      <c r="E70" s="234"/>
      <c r="F70" s="234"/>
      <c r="G70" s="234"/>
      <c r="H70" s="236">
        <f aca="true" t="shared" si="38" ref="H70:AA70">SUM(H55,H69)</f>
        <v>6780350</v>
      </c>
      <c r="I70" s="236">
        <f t="shared" si="38"/>
        <v>511010</v>
      </c>
      <c r="J70" s="236">
        <f t="shared" si="38"/>
        <v>7291360</v>
      </c>
      <c r="K70" s="236">
        <f t="shared" si="38"/>
        <v>52900</v>
      </c>
      <c r="L70" s="236">
        <f t="shared" si="38"/>
        <v>7344260</v>
      </c>
      <c r="M70" s="236">
        <f t="shared" si="38"/>
        <v>163425</v>
      </c>
      <c r="N70" s="236">
        <f t="shared" si="38"/>
        <v>7507685</v>
      </c>
      <c r="O70" s="236">
        <f t="shared" si="38"/>
        <v>19600</v>
      </c>
      <c r="P70" s="236">
        <f t="shared" si="38"/>
        <v>7527285</v>
      </c>
      <c r="Q70" s="236">
        <f t="shared" si="38"/>
        <v>38250</v>
      </c>
      <c r="R70" s="236">
        <f t="shared" si="38"/>
        <v>7565535</v>
      </c>
      <c r="S70" s="236">
        <f t="shared" si="38"/>
        <v>51742</v>
      </c>
      <c r="T70" s="236">
        <f t="shared" si="38"/>
        <v>7617277</v>
      </c>
      <c r="U70" s="236">
        <f t="shared" si="38"/>
        <v>5633</v>
      </c>
      <c r="V70" s="236">
        <f t="shared" si="38"/>
        <v>7622910</v>
      </c>
      <c r="W70" s="236">
        <f t="shared" si="38"/>
        <v>20744</v>
      </c>
      <c r="X70" s="236">
        <f t="shared" si="38"/>
        <v>7643654</v>
      </c>
      <c r="Y70" s="236">
        <f t="shared" si="38"/>
        <v>216000</v>
      </c>
      <c r="Z70" s="236">
        <f t="shared" si="38"/>
        <v>7859654</v>
      </c>
      <c r="AA70" s="236">
        <f t="shared" si="38"/>
        <v>2800</v>
      </c>
      <c r="AB70" s="236">
        <f>SUM(AB55,AB69)</f>
        <v>7862454</v>
      </c>
      <c r="AC70" s="236">
        <f>SUM(AC55,AC69)</f>
        <v>7815189.51</v>
      </c>
      <c r="AD70" s="237">
        <f>AC70/AB70*100</f>
        <v>99.39885829538716</v>
      </c>
    </row>
  </sheetData>
  <sheetProtection/>
  <mergeCells count="13">
    <mergeCell ref="A48:D48"/>
    <mergeCell ref="A24:D24"/>
    <mergeCell ref="A17:D17"/>
    <mergeCell ref="AC65:AD65"/>
    <mergeCell ref="A5:AD5"/>
    <mergeCell ref="A52:D52"/>
    <mergeCell ref="A11:D11"/>
    <mergeCell ref="A70:C70"/>
    <mergeCell ref="A8:D8"/>
    <mergeCell ref="A65:F65"/>
    <mergeCell ref="A69:E69"/>
    <mergeCell ref="A55:E55"/>
    <mergeCell ref="A6:F6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K8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5.75390625" style="9" customWidth="1"/>
    <col min="4" max="4" width="32.25390625" style="9" customWidth="1"/>
    <col min="5" max="5" width="13.375" style="0" customWidth="1"/>
    <col min="6" max="7" width="14.125" style="0" customWidth="1"/>
    <col min="8" max="8" width="6.375" style="0" customWidth="1"/>
  </cols>
  <sheetData>
    <row r="1" spans="5:7" ht="12.75">
      <c r="E1" s="68"/>
      <c r="F1" s="68"/>
      <c r="G1" s="68" t="s">
        <v>546</v>
      </c>
    </row>
    <row r="2" spans="4:7" ht="12.75">
      <c r="D2" s="9" t="s">
        <v>472</v>
      </c>
      <c r="E2" s="68"/>
      <c r="F2" s="68"/>
      <c r="G2" s="68" t="s">
        <v>509</v>
      </c>
    </row>
    <row r="3" spans="4:7" ht="12.75">
      <c r="D3" s="9" t="s">
        <v>180</v>
      </c>
      <c r="E3" s="68"/>
      <c r="F3" s="68"/>
      <c r="G3" s="68" t="s">
        <v>503</v>
      </c>
    </row>
    <row r="4" spans="5:7" ht="12.75">
      <c r="E4" s="68"/>
      <c r="F4" s="68"/>
      <c r="G4" s="68" t="s">
        <v>510</v>
      </c>
    </row>
    <row r="5" spans="1:8" ht="33.75" customHeight="1">
      <c r="A5" s="434" t="s">
        <v>515</v>
      </c>
      <c r="B5" s="434"/>
      <c r="C5" s="434"/>
      <c r="D5" s="434"/>
      <c r="E5" s="434"/>
      <c r="F5" s="434"/>
      <c r="G5" s="434"/>
      <c r="H5" s="434"/>
    </row>
    <row r="6" spans="1:8" ht="17.25" customHeight="1">
      <c r="A6" s="435" t="s">
        <v>0</v>
      </c>
      <c r="B6" s="437" t="s">
        <v>1</v>
      </c>
      <c r="C6" s="437" t="s">
        <v>2</v>
      </c>
      <c r="D6" s="437" t="s">
        <v>3</v>
      </c>
      <c r="E6" s="433" t="s">
        <v>119</v>
      </c>
      <c r="F6" s="433" t="s">
        <v>320</v>
      </c>
      <c r="G6" s="408" t="s">
        <v>505</v>
      </c>
      <c r="H6" s="408"/>
    </row>
    <row r="7" spans="1:8" s="9" customFormat="1" ht="17.25" customHeight="1">
      <c r="A7" s="436"/>
      <c r="B7" s="437"/>
      <c r="C7" s="437"/>
      <c r="D7" s="437"/>
      <c r="E7" s="433"/>
      <c r="F7" s="433"/>
      <c r="G7" s="360" t="s">
        <v>506</v>
      </c>
      <c r="H7" s="342" t="s">
        <v>507</v>
      </c>
    </row>
    <row r="8" spans="1:8" s="9" customFormat="1" ht="24.75" customHeight="1">
      <c r="A8" s="37" t="s">
        <v>4</v>
      </c>
      <c r="B8" s="14"/>
      <c r="C8" s="15"/>
      <c r="D8" s="35" t="s">
        <v>5</v>
      </c>
      <c r="E8" s="113">
        <f>SUM(E9)</f>
        <v>0</v>
      </c>
      <c r="F8" s="113">
        <f>SUM(F9)</f>
        <v>550419</v>
      </c>
      <c r="G8" s="113">
        <f>SUM(G9)</f>
        <v>550417.64</v>
      </c>
      <c r="H8" s="202">
        <f>G8/F8*100</f>
        <v>99.99975291550619</v>
      </c>
    </row>
    <row r="9" spans="1:8" s="161" customFormat="1" ht="24.75" customHeight="1">
      <c r="A9" s="222"/>
      <c r="B9" s="164" t="s">
        <v>234</v>
      </c>
      <c r="C9" s="172"/>
      <c r="D9" s="216" t="s">
        <v>6</v>
      </c>
      <c r="E9" s="208">
        <f>SUM(E10:E17)</f>
        <v>0</v>
      </c>
      <c r="F9" s="208">
        <f>SUM(F10:F17)</f>
        <v>550419</v>
      </c>
      <c r="G9" s="208">
        <f>SUM(G10:G17)</f>
        <v>550417.64</v>
      </c>
      <c r="H9" s="89">
        <f aca="true" t="shared" si="0" ref="H9:H66">G9/F9*100</f>
        <v>99.99975291550619</v>
      </c>
    </row>
    <row r="10" spans="1:8" s="161" customFormat="1" ht="24.75" customHeight="1">
      <c r="A10" s="222"/>
      <c r="B10" s="164"/>
      <c r="C10" s="172">
        <v>4010</v>
      </c>
      <c r="D10" s="80" t="s">
        <v>80</v>
      </c>
      <c r="E10" s="208">
        <v>0</v>
      </c>
      <c r="F10" s="208">
        <v>6756</v>
      </c>
      <c r="G10" s="208">
        <v>6756</v>
      </c>
      <c r="H10" s="89">
        <f t="shared" si="0"/>
        <v>100</v>
      </c>
    </row>
    <row r="11" spans="1:8" s="161" customFormat="1" ht="24.75" customHeight="1">
      <c r="A11" s="222"/>
      <c r="B11" s="164"/>
      <c r="C11" s="172">
        <v>4110</v>
      </c>
      <c r="D11" s="80" t="s">
        <v>82</v>
      </c>
      <c r="E11" s="208">
        <v>0</v>
      </c>
      <c r="F11" s="208">
        <v>1026</v>
      </c>
      <c r="G11" s="208">
        <v>1026</v>
      </c>
      <c r="H11" s="89">
        <f t="shared" si="0"/>
        <v>100</v>
      </c>
    </row>
    <row r="12" spans="1:8" s="161" customFormat="1" ht="24.75" customHeight="1">
      <c r="A12" s="222"/>
      <c r="B12" s="164"/>
      <c r="C12" s="172">
        <v>4120</v>
      </c>
      <c r="D12" s="80" t="s">
        <v>83</v>
      </c>
      <c r="E12" s="208">
        <v>0</v>
      </c>
      <c r="F12" s="208">
        <v>164</v>
      </c>
      <c r="G12" s="208">
        <v>164</v>
      </c>
      <c r="H12" s="89">
        <f t="shared" si="0"/>
        <v>100</v>
      </c>
    </row>
    <row r="13" spans="1:8" s="161" customFormat="1" ht="24.75" customHeight="1">
      <c r="A13" s="222"/>
      <c r="B13" s="164"/>
      <c r="C13" s="172">
        <v>4210</v>
      </c>
      <c r="D13" s="216" t="s">
        <v>87</v>
      </c>
      <c r="E13" s="208">
        <v>0</v>
      </c>
      <c r="F13" s="208">
        <v>388</v>
      </c>
      <c r="G13" s="208">
        <v>388</v>
      </c>
      <c r="H13" s="89">
        <f t="shared" si="0"/>
        <v>100</v>
      </c>
    </row>
    <row r="14" spans="1:8" s="161" customFormat="1" ht="24.75" customHeight="1">
      <c r="A14" s="222"/>
      <c r="B14" s="164"/>
      <c r="C14" s="172">
        <v>4300</v>
      </c>
      <c r="D14" s="230" t="s">
        <v>76</v>
      </c>
      <c r="E14" s="208">
        <v>0</v>
      </c>
      <c r="F14" s="208">
        <v>1890</v>
      </c>
      <c r="G14" s="208">
        <v>1890</v>
      </c>
      <c r="H14" s="89">
        <f t="shared" si="0"/>
        <v>100</v>
      </c>
    </row>
    <row r="15" spans="1:8" s="161" customFormat="1" ht="24.75" customHeight="1">
      <c r="A15" s="222"/>
      <c r="B15" s="222"/>
      <c r="C15" s="172">
        <v>4430</v>
      </c>
      <c r="D15" s="230" t="s">
        <v>88</v>
      </c>
      <c r="E15" s="208">
        <v>0</v>
      </c>
      <c r="F15" s="208">
        <v>539627</v>
      </c>
      <c r="G15" s="208">
        <v>539625.64</v>
      </c>
      <c r="H15" s="89">
        <f t="shared" si="0"/>
        <v>99.99974797406357</v>
      </c>
    </row>
    <row r="16" spans="1:8" s="161" customFormat="1" ht="24.75" customHeight="1">
      <c r="A16" s="222"/>
      <c r="B16" s="222"/>
      <c r="C16" s="172">
        <v>4740</v>
      </c>
      <c r="D16" s="230" t="s">
        <v>195</v>
      </c>
      <c r="E16" s="208">
        <v>0</v>
      </c>
      <c r="F16" s="208">
        <v>50</v>
      </c>
      <c r="G16" s="208">
        <v>50</v>
      </c>
      <c r="H16" s="89">
        <f t="shared" si="0"/>
        <v>100</v>
      </c>
    </row>
    <row r="17" spans="1:8" s="161" customFormat="1" ht="24.75" customHeight="1">
      <c r="A17" s="222"/>
      <c r="B17" s="222"/>
      <c r="C17" s="172">
        <v>4750</v>
      </c>
      <c r="D17" s="230" t="s">
        <v>248</v>
      </c>
      <c r="E17" s="208">
        <v>0</v>
      </c>
      <c r="F17" s="208">
        <v>518</v>
      </c>
      <c r="G17" s="208">
        <v>518</v>
      </c>
      <c r="H17" s="89">
        <f t="shared" si="0"/>
        <v>100</v>
      </c>
    </row>
    <row r="18" spans="1:8" s="28" customFormat="1" ht="21" customHeight="1">
      <c r="A18" s="37" t="s">
        <v>14</v>
      </c>
      <c r="B18" s="6"/>
      <c r="C18" s="26"/>
      <c r="D18" s="35" t="s">
        <v>15</v>
      </c>
      <c r="E18" s="48">
        <f>SUM(E19)</f>
        <v>156600</v>
      </c>
      <c r="F18" s="48">
        <f>SUM(F19)</f>
        <v>156600</v>
      </c>
      <c r="G18" s="48">
        <f>SUM(G19)</f>
        <v>156599.16</v>
      </c>
      <c r="H18" s="202">
        <f t="shared" si="0"/>
        <v>99.99946360153257</v>
      </c>
    </row>
    <row r="19" spans="1:8" s="28" customFormat="1" ht="21" customHeight="1">
      <c r="A19" s="76"/>
      <c r="B19" s="76">
        <v>75011</v>
      </c>
      <c r="C19" s="83"/>
      <c r="D19" s="80" t="s">
        <v>16</v>
      </c>
      <c r="E19" s="89">
        <f>SUM(E20:E24)</f>
        <v>156600</v>
      </c>
      <c r="F19" s="89">
        <f>SUM(F20:F24)</f>
        <v>156600</v>
      </c>
      <c r="G19" s="89">
        <f>SUM(G20:G24)</f>
        <v>156599.16</v>
      </c>
      <c r="H19" s="89">
        <f t="shared" si="0"/>
        <v>99.99946360153257</v>
      </c>
    </row>
    <row r="20" spans="1:8" s="28" customFormat="1" ht="21" customHeight="1">
      <c r="A20" s="76"/>
      <c r="B20" s="59"/>
      <c r="C20" s="77">
        <v>4010</v>
      </c>
      <c r="D20" s="80" t="s">
        <v>80</v>
      </c>
      <c r="E20" s="89">
        <v>112525</v>
      </c>
      <c r="F20" s="89">
        <v>113987</v>
      </c>
      <c r="G20" s="89">
        <v>113987</v>
      </c>
      <c r="H20" s="89">
        <f t="shared" si="0"/>
        <v>100</v>
      </c>
    </row>
    <row r="21" spans="1:8" s="28" customFormat="1" ht="21" customHeight="1">
      <c r="A21" s="76"/>
      <c r="B21" s="59"/>
      <c r="C21" s="77">
        <v>4040</v>
      </c>
      <c r="D21" s="80" t="s">
        <v>81</v>
      </c>
      <c r="E21" s="89">
        <v>19000</v>
      </c>
      <c r="F21" s="89">
        <v>17300</v>
      </c>
      <c r="G21" s="89">
        <v>17299.79</v>
      </c>
      <c r="H21" s="89">
        <f t="shared" si="0"/>
        <v>99.99878612716763</v>
      </c>
    </row>
    <row r="22" spans="1:8" s="28" customFormat="1" ht="21" customHeight="1">
      <c r="A22" s="76"/>
      <c r="B22" s="59"/>
      <c r="C22" s="77">
        <v>4110</v>
      </c>
      <c r="D22" s="80" t="s">
        <v>82</v>
      </c>
      <c r="E22" s="89">
        <v>13626</v>
      </c>
      <c r="F22" s="89">
        <v>13626</v>
      </c>
      <c r="G22" s="89">
        <v>13626</v>
      </c>
      <c r="H22" s="89">
        <f t="shared" si="0"/>
        <v>100</v>
      </c>
    </row>
    <row r="23" spans="1:8" s="28" customFormat="1" ht="21" customHeight="1">
      <c r="A23" s="76"/>
      <c r="B23" s="59"/>
      <c r="C23" s="77">
        <v>4120</v>
      </c>
      <c r="D23" s="80" t="s">
        <v>83</v>
      </c>
      <c r="E23" s="89">
        <v>2186</v>
      </c>
      <c r="F23" s="89">
        <v>2186</v>
      </c>
      <c r="G23" s="89">
        <v>2186</v>
      </c>
      <c r="H23" s="89">
        <f t="shared" si="0"/>
        <v>100</v>
      </c>
    </row>
    <row r="24" spans="1:8" s="28" customFormat="1" ht="22.5">
      <c r="A24" s="76"/>
      <c r="B24" s="59"/>
      <c r="C24" s="78">
        <v>4440</v>
      </c>
      <c r="D24" s="80" t="s">
        <v>84</v>
      </c>
      <c r="E24" s="89">
        <v>9263</v>
      </c>
      <c r="F24" s="89">
        <v>9501</v>
      </c>
      <c r="G24" s="89">
        <v>9500.37</v>
      </c>
      <c r="H24" s="89">
        <f t="shared" si="0"/>
        <v>99.99336911904011</v>
      </c>
    </row>
    <row r="25" spans="1:8" s="28" customFormat="1" ht="36">
      <c r="A25" s="37">
        <v>751</v>
      </c>
      <c r="B25" s="6"/>
      <c r="C25" s="26"/>
      <c r="D25" s="35" t="s">
        <v>19</v>
      </c>
      <c r="E25" s="48">
        <f>E26</f>
        <v>3910</v>
      </c>
      <c r="F25" s="48">
        <f>F26+F34</f>
        <v>46082</v>
      </c>
      <c r="G25" s="48">
        <f>G26+G34</f>
        <v>45914.899999999994</v>
      </c>
      <c r="H25" s="202">
        <f t="shared" si="0"/>
        <v>99.63738553014191</v>
      </c>
    </row>
    <row r="26" spans="1:8" s="28" customFormat="1" ht="22.5">
      <c r="A26" s="59"/>
      <c r="B26" s="76">
        <v>75101</v>
      </c>
      <c r="C26" s="83"/>
      <c r="D26" s="80" t="s">
        <v>20</v>
      </c>
      <c r="E26" s="89">
        <f>SUM(E27:E33)</f>
        <v>3910</v>
      </c>
      <c r="F26" s="89">
        <f>SUM(F27:F33)</f>
        <v>3910</v>
      </c>
      <c r="G26" s="89">
        <f>SUM(G27:G33)</f>
        <v>3910</v>
      </c>
      <c r="H26" s="89">
        <f t="shared" si="0"/>
        <v>100</v>
      </c>
    </row>
    <row r="27" spans="1:8" s="28" customFormat="1" ht="24.75" customHeight="1">
      <c r="A27" s="59"/>
      <c r="B27" s="76"/>
      <c r="C27" s="83">
        <v>4010</v>
      </c>
      <c r="D27" s="80" t="s">
        <v>80</v>
      </c>
      <c r="E27" s="89">
        <v>0</v>
      </c>
      <c r="F27" s="89">
        <v>2771</v>
      </c>
      <c r="G27" s="89">
        <v>2771</v>
      </c>
      <c r="H27" s="89">
        <f t="shared" si="0"/>
        <v>100</v>
      </c>
    </row>
    <row r="28" spans="1:8" s="28" customFormat="1" ht="24.75" customHeight="1">
      <c r="A28" s="59"/>
      <c r="B28" s="76"/>
      <c r="C28" s="83">
        <v>4110</v>
      </c>
      <c r="D28" s="80" t="s">
        <v>82</v>
      </c>
      <c r="E28" s="89">
        <v>0</v>
      </c>
      <c r="F28" s="89">
        <v>420</v>
      </c>
      <c r="G28" s="89">
        <v>420</v>
      </c>
      <c r="H28" s="89">
        <f t="shared" si="0"/>
        <v>100</v>
      </c>
    </row>
    <row r="29" spans="1:8" s="28" customFormat="1" ht="24" customHeight="1">
      <c r="A29" s="59"/>
      <c r="B29" s="76"/>
      <c r="C29" s="83">
        <v>4120</v>
      </c>
      <c r="D29" s="80" t="s">
        <v>83</v>
      </c>
      <c r="E29" s="89">
        <v>0</v>
      </c>
      <c r="F29" s="89">
        <v>67</v>
      </c>
      <c r="G29" s="89">
        <v>67</v>
      </c>
      <c r="H29" s="89">
        <f t="shared" si="0"/>
        <v>100</v>
      </c>
    </row>
    <row r="30" spans="1:8" s="28" customFormat="1" ht="21" customHeight="1">
      <c r="A30" s="59"/>
      <c r="B30" s="76"/>
      <c r="C30" s="77">
        <v>4210</v>
      </c>
      <c r="D30" s="80" t="s">
        <v>87</v>
      </c>
      <c r="E30" s="89">
        <v>1410</v>
      </c>
      <c r="F30" s="89">
        <v>292</v>
      </c>
      <c r="G30" s="89">
        <v>292</v>
      </c>
      <c r="H30" s="89">
        <f t="shared" si="0"/>
        <v>100</v>
      </c>
    </row>
    <row r="31" spans="1:8" s="28" customFormat="1" ht="22.5">
      <c r="A31" s="59"/>
      <c r="B31" s="76"/>
      <c r="C31" s="77">
        <v>4700</v>
      </c>
      <c r="D31" s="43" t="s">
        <v>241</v>
      </c>
      <c r="E31" s="89">
        <v>500</v>
      </c>
      <c r="F31" s="89">
        <v>360</v>
      </c>
      <c r="G31" s="89">
        <v>360</v>
      </c>
      <c r="H31" s="89">
        <f t="shared" si="0"/>
        <v>100</v>
      </c>
    </row>
    <row r="32" spans="1:8" s="28" customFormat="1" ht="33.75">
      <c r="A32" s="59"/>
      <c r="B32" s="76"/>
      <c r="C32" s="77">
        <v>4740</v>
      </c>
      <c r="D32" s="43" t="s">
        <v>195</v>
      </c>
      <c r="E32" s="89">
        <v>1000</v>
      </c>
      <c r="F32" s="89">
        <v>0</v>
      </c>
      <c r="G32" s="89">
        <v>0</v>
      </c>
      <c r="H32" s="89">
        <v>0</v>
      </c>
    </row>
    <row r="33" spans="1:8" s="28" customFormat="1" ht="22.5">
      <c r="A33" s="59"/>
      <c r="B33" s="76"/>
      <c r="C33" s="77">
        <v>4750</v>
      </c>
      <c r="D33" s="43" t="s">
        <v>248</v>
      </c>
      <c r="E33" s="89">
        <v>1000</v>
      </c>
      <c r="F33" s="89">
        <v>0</v>
      </c>
      <c r="G33" s="89">
        <v>0</v>
      </c>
      <c r="H33" s="89">
        <v>0</v>
      </c>
    </row>
    <row r="34" spans="1:8" s="28" customFormat="1" ht="23.25" customHeight="1">
      <c r="A34" s="59"/>
      <c r="B34" s="76">
        <v>75113</v>
      </c>
      <c r="C34" s="77"/>
      <c r="D34" s="70" t="s">
        <v>359</v>
      </c>
      <c r="E34" s="89">
        <f>SUM(E35:E43)</f>
        <v>0</v>
      </c>
      <c r="F34" s="89">
        <f>SUM(F35:F43)</f>
        <v>42172</v>
      </c>
      <c r="G34" s="89">
        <f>SUM(G35:G43)</f>
        <v>42004.899999999994</v>
      </c>
      <c r="H34" s="89">
        <f t="shared" si="0"/>
        <v>99.60376553163235</v>
      </c>
    </row>
    <row r="35" spans="1:8" s="28" customFormat="1" ht="23.25" customHeight="1">
      <c r="A35" s="59"/>
      <c r="B35" s="76"/>
      <c r="C35" s="77">
        <v>3030</v>
      </c>
      <c r="D35" s="70" t="s">
        <v>85</v>
      </c>
      <c r="E35" s="89">
        <v>0</v>
      </c>
      <c r="F35" s="89">
        <v>21240</v>
      </c>
      <c r="G35" s="89">
        <v>21240</v>
      </c>
      <c r="H35" s="89">
        <f t="shared" si="0"/>
        <v>100</v>
      </c>
    </row>
    <row r="36" spans="1:8" s="28" customFormat="1" ht="23.25" customHeight="1">
      <c r="A36" s="59"/>
      <c r="B36" s="76"/>
      <c r="C36" s="77">
        <v>4110</v>
      </c>
      <c r="D36" s="16" t="s">
        <v>82</v>
      </c>
      <c r="E36" s="89">
        <v>0</v>
      </c>
      <c r="F36" s="89">
        <v>579</v>
      </c>
      <c r="G36" s="89">
        <v>575.75</v>
      </c>
      <c r="H36" s="89">
        <f t="shared" si="0"/>
        <v>99.43868739205527</v>
      </c>
    </row>
    <row r="37" spans="1:8" s="28" customFormat="1" ht="23.25" customHeight="1">
      <c r="A37" s="59"/>
      <c r="B37" s="76"/>
      <c r="C37" s="77">
        <v>4120</v>
      </c>
      <c r="D37" s="16" t="s">
        <v>83</v>
      </c>
      <c r="E37" s="89">
        <v>0</v>
      </c>
      <c r="F37" s="89">
        <v>95</v>
      </c>
      <c r="G37" s="89">
        <v>92.86</v>
      </c>
      <c r="H37" s="89">
        <f t="shared" si="0"/>
        <v>97.74736842105263</v>
      </c>
    </row>
    <row r="38" spans="1:8" s="28" customFormat="1" ht="23.25" customHeight="1">
      <c r="A38" s="59"/>
      <c r="B38" s="76"/>
      <c r="C38" s="77">
        <v>4170</v>
      </c>
      <c r="D38" s="70" t="s">
        <v>170</v>
      </c>
      <c r="E38" s="89">
        <v>0</v>
      </c>
      <c r="F38" s="89">
        <v>7230</v>
      </c>
      <c r="G38" s="89">
        <v>7230</v>
      </c>
      <c r="H38" s="89">
        <f t="shared" si="0"/>
        <v>100</v>
      </c>
    </row>
    <row r="39" spans="1:8" s="28" customFormat="1" ht="22.5" customHeight="1">
      <c r="A39" s="59"/>
      <c r="B39" s="76"/>
      <c r="C39" s="77">
        <v>4210</v>
      </c>
      <c r="D39" s="80" t="s">
        <v>87</v>
      </c>
      <c r="E39" s="89">
        <v>0</v>
      </c>
      <c r="F39" s="89">
        <v>6688</v>
      </c>
      <c r="G39" s="89">
        <v>6527.54</v>
      </c>
      <c r="H39" s="89">
        <f t="shared" si="0"/>
        <v>97.60077751196172</v>
      </c>
    </row>
    <row r="40" spans="1:8" s="28" customFormat="1" ht="22.5" customHeight="1">
      <c r="A40" s="59"/>
      <c r="B40" s="76"/>
      <c r="C40" s="77">
        <v>4300</v>
      </c>
      <c r="D40" s="43" t="s">
        <v>76</v>
      </c>
      <c r="E40" s="89">
        <v>0</v>
      </c>
      <c r="F40" s="89">
        <v>2037</v>
      </c>
      <c r="G40" s="89">
        <v>2036.06</v>
      </c>
      <c r="H40" s="89">
        <f t="shared" si="0"/>
        <v>99.95385370643103</v>
      </c>
    </row>
    <row r="41" spans="1:8" s="28" customFormat="1" ht="22.5" customHeight="1">
      <c r="A41" s="59"/>
      <c r="B41" s="76"/>
      <c r="C41" s="77">
        <v>4410</v>
      </c>
      <c r="D41" s="43" t="s">
        <v>86</v>
      </c>
      <c r="E41" s="89">
        <v>0</v>
      </c>
      <c r="F41" s="89">
        <v>1105</v>
      </c>
      <c r="G41" s="89">
        <v>1104.99</v>
      </c>
      <c r="H41" s="89">
        <f t="shared" si="0"/>
        <v>99.99909502262445</v>
      </c>
    </row>
    <row r="42" spans="1:8" s="28" customFormat="1" ht="22.5" customHeight="1">
      <c r="A42" s="59"/>
      <c r="B42" s="76"/>
      <c r="C42" s="77">
        <v>4740</v>
      </c>
      <c r="D42" s="43" t="s">
        <v>195</v>
      </c>
      <c r="E42" s="89">
        <v>0</v>
      </c>
      <c r="F42" s="89">
        <v>280</v>
      </c>
      <c r="G42" s="89">
        <v>280</v>
      </c>
      <c r="H42" s="89">
        <f t="shared" si="0"/>
        <v>100</v>
      </c>
    </row>
    <row r="43" spans="1:8" s="28" customFormat="1" ht="22.5" customHeight="1">
      <c r="A43" s="59"/>
      <c r="B43" s="76"/>
      <c r="C43" s="77">
        <v>4750</v>
      </c>
      <c r="D43" s="43" t="s">
        <v>248</v>
      </c>
      <c r="E43" s="89">
        <v>0</v>
      </c>
      <c r="F43" s="89">
        <v>2918</v>
      </c>
      <c r="G43" s="89">
        <v>2917.7</v>
      </c>
      <c r="H43" s="89">
        <f t="shared" si="0"/>
        <v>99.98971898560657</v>
      </c>
    </row>
    <row r="44" spans="1:8" s="28" customFormat="1" ht="22.5" customHeight="1">
      <c r="A44" s="39" t="s">
        <v>95</v>
      </c>
      <c r="B44" s="40"/>
      <c r="C44" s="41"/>
      <c r="D44" s="42" t="s">
        <v>96</v>
      </c>
      <c r="E44" s="288">
        <f>SUM(E45,E74,E88,E92,E119,E126,E131,E142)</f>
        <v>28296058</v>
      </c>
      <c r="F44" s="288">
        <f>F45</f>
        <v>44050</v>
      </c>
      <c r="G44" s="288">
        <f>G45</f>
        <v>44050</v>
      </c>
      <c r="H44" s="202">
        <f t="shared" si="0"/>
        <v>100</v>
      </c>
    </row>
    <row r="45" spans="1:8" s="28" customFormat="1" ht="22.5" customHeight="1">
      <c r="A45" s="71"/>
      <c r="B45" s="85" t="s">
        <v>97</v>
      </c>
      <c r="C45" s="88"/>
      <c r="D45" s="43" t="s">
        <v>52</v>
      </c>
      <c r="E45" s="84">
        <f>SUM(E46:E73)</f>
        <v>28296058</v>
      </c>
      <c r="F45" s="84">
        <f>F46</f>
        <v>44050</v>
      </c>
      <c r="G45" s="84">
        <f>G46</f>
        <v>44050</v>
      </c>
      <c r="H45" s="89">
        <f t="shared" si="0"/>
        <v>100</v>
      </c>
    </row>
    <row r="46" spans="1:8" s="28" customFormat="1" ht="22.5" customHeight="1">
      <c r="A46" s="59"/>
      <c r="B46" s="76"/>
      <c r="C46" s="71">
        <v>4300</v>
      </c>
      <c r="D46" s="43" t="s">
        <v>76</v>
      </c>
      <c r="E46" s="84">
        <v>110748</v>
      </c>
      <c r="F46" s="84">
        <v>44050</v>
      </c>
      <c r="G46" s="84">
        <v>44050</v>
      </c>
      <c r="H46" s="89">
        <f t="shared" si="0"/>
        <v>100</v>
      </c>
    </row>
    <row r="47" spans="1:193" s="28" customFormat="1" ht="21" customHeight="1">
      <c r="A47" s="37">
        <v>852</v>
      </c>
      <c r="B47" s="6"/>
      <c r="C47" s="26"/>
      <c r="D47" s="35" t="s">
        <v>164</v>
      </c>
      <c r="E47" s="48">
        <f>SUM(E48,E61,E63,)</f>
        <v>7006200</v>
      </c>
      <c r="F47" s="48">
        <f>SUM(F48,F61,F63,)</f>
        <v>6317095</v>
      </c>
      <c r="G47" s="48">
        <f>SUM(G48,G61,G63,)</f>
        <v>6312712.789999999</v>
      </c>
      <c r="H47" s="202">
        <f t="shared" si="0"/>
        <v>99.93062934782522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</row>
    <row r="48" spans="1:193" s="28" customFormat="1" ht="45">
      <c r="A48" s="92"/>
      <c r="B48" s="59">
        <v>85212</v>
      </c>
      <c r="C48" s="82"/>
      <c r="D48" s="80" t="s">
        <v>343</v>
      </c>
      <c r="E48" s="89">
        <f>SUM(E49:E60)</f>
        <v>6479100</v>
      </c>
      <c r="F48" s="89">
        <f>SUM(F49:F60)</f>
        <v>6038925</v>
      </c>
      <c r="G48" s="89">
        <f>SUM(G49:G60)</f>
        <v>6036767.59</v>
      </c>
      <c r="H48" s="89">
        <f t="shared" si="0"/>
        <v>99.96427493303858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</row>
    <row r="49" spans="1:193" s="28" customFormat="1" ht="21" customHeight="1">
      <c r="A49" s="92"/>
      <c r="B49" s="59"/>
      <c r="C49" s="82">
        <v>3110</v>
      </c>
      <c r="D49" s="80" t="s">
        <v>98</v>
      </c>
      <c r="E49" s="74">
        <f>6284727-51000</f>
        <v>6233727</v>
      </c>
      <c r="F49" s="74">
        <v>5810098</v>
      </c>
      <c r="G49" s="74">
        <v>5810051.51</v>
      </c>
      <c r="H49" s="89">
        <f t="shared" si="0"/>
        <v>99.9991998413796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</row>
    <row r="50" spans="1:193" s="28" customFormat="1" ht="21" customHeight="1">
      <c r="A50" s="92"/>
      <c r="B50" s="59"/>
      <c r="C50" s="59">
        <v>4010</v>
      </c>
      <c r="D50" s="16" t="s">
        <v>80</v>
      </c>
      <c r="E50" s="74">
        <v>153581</v>
      </c>
      <c r="F50" s="74">
        <v>136927</v>
      </c>
      <c r="G50" s="74">
        <v>136927</v>
      </c>
      <c r="H50" s="89">
        <f t="shared" si="0"/>
        <v>100</v>
      </c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</row>
    <row r="51" spans="1:193" s="28" customFormat="1" ht="21" customHeight="1">
      <c r="A51" s="92"/>
      <c r="B51" s="59"/>
      <c r="C51" s="59">
        <v>4040</v>
      </c>
      <c r="D51" s="16" t="s">
        <v>81</v>
      </c>
      <c r="E51" s="74">
        <v>12000</v>
      </c>
      <c r="F51" s="74">
        <v>10594</v>
      </c>
      <c r="G51" s="74">
        <v>10593.1</v>
      </c>
      <c r="H51" s="89">
        <f t="shared" si="0"/>
        <v>99.99150462525958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</row>
    <row r="52" spans="1:193" s="28" customFormat="1" ht="21" customHeight="1">
      <c r="A52" s="92"/>
      <c r="B52" s="59"/>
      <c r="C52" s="59">
        <v>4110</v>
      </c>
      <c r="D52" s="16" t="s">
        <v>82</v>
      </c>
      <c r="E52" s="74">
        <f>20612+51000</f>
        <v>71612</v>
      </c>
      <c r="F52" s="74">
        <v>69112</v>
      </c>
      <c r="G52" s="74">
        <v>67003.41</v>
      </c>
      <c r="H52" s="89">
        <f t="shared" si="0"/>
        <v>96.94902477138558</v>
      </c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</row>
    <row r="53" spans="1:193" s="28" customFormat="1" ht="21" customHeight="1">
      <c r="A53" s="92"/>
      <c r="B53" s="59"/>
      <c r="C53" s="59">
        <v>4120</v>
      </c>
      <c r="D53" s="16" t="s">
        <v>83</v>
      </c>
      <c r="E53" s="74">
        <v>3305</v>
      </c>
      <c r="F53" s="74">
        <v>2805</v>
      </c>
      <c r="G53" s="74">
        <v>2805</v>
      </c>
      <c r="H53" s="89">
        <f t="shared" si="0"/>
        <v>100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</row>
    <row r="54" spans="1:193" s="28" customFormat="1" ht="21" customHeight="1">
      <c r="A54" s="92"/>
      <c r="B54" s="59"/>
      <c r="C54" s="59">
        <v>4210</v>
      </c>
      <c r="D54" s="16" t="s">
        <v>87</v>
      </c>
      <c r="E54" s="74">
        <v>0</v>
      </c>
      <c r="F54" s="74">
        <v>1375</v>
      </c>
      <c r="G54" s="74">
        <v>1375</v>
      </c>
      <c r="H54" s="89">
        <f t="shared" si="0"/>
        <v>100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</row>
    <row r="55" spans="1:193" s="28" customFormat="1" ht="21" customHeight="1">
      <c r="A55" s="92"/>
      <c r="B55" s="59"/>
      <c r="C55" s="59">
        <v>4410</v>
      </c>
      <c r="D55" s="43" t="s">
        <v>86</v>
      </c>
      <c r="E55" s="74">
        <v>0</v>
      </c>
      <c r="F55" s="74">
        <v>2000</v>
      </c>
      <c r="G55" s="74">
        <v>2000</v>
      </c>
      <c r="H55" s="89">
        <f t="shared" si="0"/>
        <v>100</v>
      </c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</row>
    <row r="56" spans="1:193" s="28" customFormat="1" ht="21" customHeight="1">
      <c r="A56" s="92"/>
      <c r="B56" s="59"/>
      <c r="C56" s="59">
        <v>4430</v>
      </c>
      <c r="D56" s="43" t="s">
        <v>88</v>
      </c>
      <c r="E56" s="74">
        <v>0</v>
      </c>
      <c r="F56" s="74">
        <v>986</v>
      </c>
      <c r="G56" s="74">
        <v>986</v>
      </c>
      <c r="H56" s="89">
        <f t="shared" si="0"/>
        <v>100</v>
      </c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</row>
    <row r="57" spans="1:193" s="28" customFormat="1" ht="22.5">
      <c r="A57" s="92"/>
      <c r="B57" s="59"/>
      <c r="C57" s="59">
        <v>4440</v>
      </c>
      <c r="D57" s="16" t="s">
        <v>84</v>
      </c>
      <c r="E57" s="74">
        <v>4875</v>
      </c>
      <c r="F57" s="74">
        <v>5001</v>
      </c>
      <c r="G57" s="74">
        <v>5000.19</v>
      </c>
      <c r="H57" s="89">
        <f t="shared" si="0"/>
        <v>99.98380323935211</v>
      </c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</row>
    <row r="58" spans="1:193" s="28" customFormat="1" ht="21" customHeight="1">
      <c r="A58" s="92"/>
      <c r="B58" s="59"/>
      <c r="C58" s="83">
        <v>4580</v>
      </c>
      <c r="D58" s="80" t="s">
        <v>11</v>
      </c>
      <c r="E58" s="74">
        <v>0</v>
      </c>
      <c r="F58" s="74">
        <v>27</v>
      </c>
      <c r="G58" s="74">
        <v>26.38</v>
      </c>
      <c r="H58" s="89">
        <f t="shared" si="0"/>
        <v>97.70370370370371</v>
      </c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</row>
    <row r="59" spans="1:193" s="28" customFormat="1" ht="33.75">
      <c r="A59" s="92"/>
      <c r="B59" s="59"/>
      <c r="C59" s="83">
        <v>4740</v>
      </c>
      <c r="D59" s="43" t="s">
        <v>195</v>
      </c>
      <c r="E59" s="74">
        <v>0</v>
      </c>
      <c r="F59" s="74">
        <v>0</v>
      </c>
      <c r="G59" s="74">
        <v>0</v>
      </c>
      <c r="H59" s="89">
        <v>0</v>
      </c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</row>
    <row r="60" spans="1:193" s="28" customFormat="1" ht="28.5" customHeight="1">
      <c r="A60" s="92"/>
      <c r="B60" s="59"/>
      <c r="C60" s="83">
        <v>4750</v>
      </c>
      <c r="D60" s="43" t="s">
        <v>248</v>
      </c>
      <c r="E60" s="74">
        <v>0</v>
      </c>
      <c r="F60" s="74">
        <v>0</v>
      </c>
      <c r="G60" s="74">
        <v>0</v>
      </c>
      <c r="H60" s="89">
        <v>0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</row>
    <row r="61" spans="1:193" s="28" customFormat="1" ht="67.5">
      <c r="A61" s="76"/>
      <c r="B61" s="59">
        <v>85213</v>
      </c>
      <c r="C61" s="83"/>
      <c r="D61" s="80" t="s">
        <v>473</v>
      </c>
      <c r="E61" s="89">
        <f>SUM(E62)</f>
        <v>59100</v>
      </c>
      <c r="F61" s="89">
        <f>SUM(F62)</f>
        <v>32505</v>
      </c>
      <c r="G61" s="89">
        <f>SUM(G62)</f>
        <v>30280.56</v>
      </c>
      <c r="H61" s="89">
        <f t="shared" si="0"/>
        <v>93.1566220581449</v>
      </c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</row>
    <row r="62" spans="1:193" s="28" customFormat="1" ht="21" customHeight="1">
      <c r="A62" s="76"/>
      <c r="B62" s="59"/>
      <c r="C62" s="83">
        <v>4130</v>
      </c>
      <c r="D62" s="80" t="s">
        <v>100</v>
      </c>
      <c r="E62" s="89">
        <v>59100</v>
      </c>
      <c r="F62" s="89">
        <v>32505</v>
      </c>
      <c r="G62" s="89">
        <v>30280.56</v>
      </c>
      <c r="H62" s="89">
        <f t="shared" si="0"/>
        <v>93.1566220581449</v>
      </c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</row>
    <row r="63" spans="1:193" s="316" customFormat="1" ht="22.5">
      <c r="A63" s="71"/>
      <c r="B63" s="71">
        <v>85214</v>
      </c>
      <c r="C63" s="72"/>
      <c r="D63" s="70" t="s">
        <v>178</v>
      </c>
      <c r="E63" s="90">
        <f>SUM(E64:E65)</f>
        <v>468000</v>
      </c>
      <c r="F63" s="90">
        <f>SUM(F64:F65)</f>
        <v>245665</v>
      </c>
      <c r="G63" s="90">
        <f>SUM(G64:G65)</f>
        <v>245664.63999999998</v>
      </c>
      <c r="H63" s="89">
        <f t="shared" si="0"/>
        <v>99.99985345897868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</row>
    <row r="64" spans="1:193" s="316" customFormat="1" ht="21" customHeight="1">
      <c r="A64" s="71"/>
      <c r="B64" s="88"/>
      <c r="C64" s="72">
        <v>3110</v>
      </c>
      <c r="D64" s="70" t="s">
        <v>98</v>
      </c>
      <c r="E64" s="90">
        <v>466900</v>
      </c>
      <c r="F64" s="90">
        <v>245038</v>
      </c>
      <c r="G64" s="90">
        <v>245037.58</v>
      </c>
      <c r="H64" s="89">
        <f t="shared" si="0"/>
        <v>99.99982859801337</v>
      </c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</row>
    <row r="65" spans="1:193" s="316" customFormat="1" ht="21" customHeight="1">
      <c r="A65" s="71"/>
      <c r="B65" s="88"/>
      <c r="C65" s="88">
        <v>4110</v>
      </c>
      <c r="D65" s="16" t="s">
        <v>82</v>
      </c>
      <c r="E65" s="90">
        <v>1100</v>
      </c>
      <c r="F65" s="90">
        <v>627</v>
      </c>
      <c r="G65" s="90">
        <v>627.06</v>
      </c>
      <c r="H65" s="89">
        <f t="shared" si="0"/>
        <v>100.00956937799042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</row>
    <row r="66" spans="1:193" ht="21" customHeight="1">
      <c r="A66" s="12"/>
      <c r="B66" s="12"/>
      <c r="C66" s="12"/>
      <c r="D66" s="20" t="s">
        <v>67</v>
      </c>
      <c r="E66" s="48">
        <f>SUM(E47,E25,E18,)</f>
        <v>7166710</v>
      </c>
      <c r="F66" s="48">
        <f>SUM(F47,F44,F25,F18,F8)</f>
        <v>7114246</v>
      </c>
      <c r="G66" s="48">
        <f>SUM(G47,G44,G25,G18,G8)</f>
        <v>7109694.489999999</v>
      </c>
      <c r="H66" s="202">
        <f t="shared" si="0"/>
        <v>99.93602259466428</v>
      </c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7"/>
      <c r="EJ66" s="317"/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7"/>
      <c r="EV66" s="317"/>
      <c r="EW66" s="317"/>
      <c r="EX66" s="317"/>
      <c r="EY66" s="317"/>
      <c r="EZ66" s="317"/>
      <c r="FA66" s="317"/>
      <c r="FB66" s="317"/>
      <c r="FC66" s="317"/>
      <c r="FD66" s="317"/>
      <c r="FE66" s="317"/>
      <c r="FF66" s="317"/>
      <c r="FG66" s="317"/>
      <c r="FH66" s="317"/>
      <c r="FI66" s="317"/>
      <c r="FJ66" s="317"/>
      <c r="FK66" s="317"/>
      <c r="FL66" s="317"/>
      <c r="FM66" s="317"/>
      <c r="FN66" s="317"/>
      <c r="FO66" s="317"/>
      <c r="FP66" s="317"/>
      <c r="FQ66" s="317"/>
      <c r="FR66" s="317"/>
      <c r="FS66" s="317"/>
      <c r="FT66" s="317"/>
      <c r="FU66" s="317"/>
      <c r="FV66" s="317"/>
      <c r="FW66" s="317"/>
      <c r="FX66" s="317"/>
      <c r="FY66" s="317"/>
      <c r="FZ66" s="317"/>
      <c r="GA66" s="317"/>
      <c r="GB66" s="317"/>
      <c r="GC66" s="317"/>
      <c r="GD66" s="317"/>
      <c r="GE66" s="317"/>
      <c r="GF66" s="317"/>
      <c r="GG66" s="317"/>
      <c r="GH66" s="317"/>
      <c r="GI66" s="317"/>
      <c r="GJ66" s="317"/>
      <c r="GK66" s="317"/>
    </row>
    <row r="68" spans="5:7" ht="12.75">
      <c r="E68" s="28"/>
      <c r="F68" s="28"/>
      <c r="G68" s="28"/>
    </row>
    <row r="69" spans="5:7" ht="12.75">
      <c r="E69" s="109"/>
      <c r="F69" s="109"/>
      <c r="G69" s="109"/>
    </row>
    <row r="70" spans="5:7" ht="12.75">
      <c r="E70" s="28"/>
      <c r="F70" s="28"/>
      <c r="G70" s="28"/>
    </row>
    <row r="71" spans="5:7" ht="12.75">
      <c r="E71" s="109"/>
      <c r="F71" s="109"/>
      <c r="G71" s="109"/>
    </row>
    <row r="72" spans="5:7" ht="12.75">
      <c r="E72" s="28"/>
      <c r="F72" s="28"/>
      <c r="G72" s="28"/>
    </row>
    <row r="73" spans="5:7" ht="12.75">
      <c r="E73" s="109"/>
      <c r="F73" s="109"/>
      <c r="G73" s="109"/>
    </row>
    <row r="74" spans="5:7" ht="12.75">
      <c r="E74" s="28"/>
      <c r="F74" s="28"/>
      <c r="G74" s="28"/>
    </row>
    <row r="75" spans="5:7" ht="12.75">
      <c r="E75" s="109"/>
      <c r="F75" s="109"/>
      <c r="G75" s="109"/>
    </row>
    <row r="76" spans="5:7" ht="12.75">
      <c r="E76" s="109"/>
      <c r="F76" s="109"/>
      <c r="G76" s="109"/>
    </row>
    <row r="77" spans="5:7" ht="12.75">
      <c r="E77" s="28"/>
      <c r="F77" s="28"/>
      <c r="G77" s="28"/>
    </row>
    <row r="78" spans="5:7" ht="12.75">
      <c r="E78" s="28"/>
      <c r="F78" s="28"/>
      <c r="G78" s="28"/>
    </row>
    <row r="79" spans="5:7" ht="12.75">
      <c r="E79" s="109"/>
      <c r="F79" s="109"/>
      <c r="G79" s="109"/>
    </row>
    <row r="80" spans="5:7" ht="12.75">
      <c r="E80" s="28"/>
      <c r="F80" s="28"/>
      <c r="G80" s="28"/>
    </row>
    <row r="81" spans="5:7" ht="12.75">
      <c r="E81" s="28"/>
      <c r="F81" s="28"/>
      <c r="G81" s="28"/>
    </row>
    <row r="82" spans="5:7" ht="12.75">
      <c r="E82" s="28"/>
      <c r="F82" s="28"/>
      <c r="G82" s="28"/>
    </row>
    <row r="83" spans="5:7" ht="12.75">
      <c r="E83" s="28"/>
      <c r="F83" s="28"/>
      <c r="G83" s="28"/>
    </row>
    <row r="84" spans="5:7" ht="12.75">
      <c r="E84" s="28"/>
      <c r="F84" s="28"/>
      <c r="G84" s="28"/>
    </row>
  </sheetData>
  <sheetProtection/>
  <mergeCells count="8">
    <mergeCell ref="F6:F7"/>
    <mergeCell ref="G6:H6"/>
    <mergeCell ref="A5:H5"/>
    <mergeCell ref="A6:A7"/>
    <mergeCell ref="B6:B7"/>
    <mergeCell ref="C6:C7"/>
    <mergeCell ref="D6:D7"/>
    <mergeCell ref="E6:E7"/>
  </mergeCells>
  <printOptions/>
  <pageMargins left="0.31496062992125984" right="0.3937007874015748" top="0.7480314960629921" bottom="0.7480314960629921" header="0.31496062992125984" footer="0.31496062992125984"/>
  <pageSetup horizontalDpi="150" verticalDpi="15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F114" sqref="F114"/>
    </sheetView>
  </sheetViews>
  <sheetFormatPr defaultColWidth="9.00390625" defaultRowHeight="12.75"/>
  <cols>
    <col min="1" max="1" width="4.75390625" style="9" customWidth="1"/>
    <col min="2" max="2" width="7.25390625" style="9" bestFit="1" customWidth="1"/>
    <col min="3" max="3" width="5.00390625" style="9" bestFit="1" customWidth="1"/>
    <col min="4" max="4" width="34.25390625" style="9" customWidth="1"/>
    <col min="5" max="5" width="14.875" style="0" customWidth="1"/>
    <col min="6" max="6" width="12.625" style="0" customWidth="1"/>
    <col min="7" max="7" width="12.75390625" style="0" customWidth="1"/>
    <col min="8" max="8" width="6.875" style="373" customWidth="1"/>
  </cols>
  <sheetData>
    <row r="1" spans="5:7" ht="12.75">
      <c r="E1" s="68"/>
      <c r="F1" s="68" t="s">
        <v>198</v>
      </c>
      <c r="G1" s="68"/>
    </row>
    <row r="2" spans="5:7" ht="12.75">
      <c r="E2" s="68"/>
      <c r="F2" s="68" t="s">
        <v>509</v>
      </c>
      <c r="G2" s="68"/>
    </row>
    <row r="3" spans="5:7" ht="12.75">
      <c r="E3" s="68"/>
      <c r="F3" s="68" t="s">
        <v>503</v>
      </c>
      <c r="G3" s="68"/>
    </row>
    <row r="4" spans="5:7" ht="12.75">
      <c r="E4" s="68"/>
      <c r="F4" s="68" t="s">
        <v>510</v>
      </c>
      <c r="G4" s="68"/>
    </row>
    <row r="5" spans="1:4" ht="17.25" customHeight="1">
      <c r="A5" s="438" t="s">
        <v>249</v>
      </c>
      <c r="B5" s="438"/>
      <c r="C5" s="438"/>
      <c r="D5" s="438"/>
    </row>
    <row r="6" spans="1:8" ht="17.25" customHeight="1">
      <c r="A6" s="404" t="s">
        <v>0</v>
      </c>
      <c r="B6" s="404" t="s">
        <v>1</v>
      </c>
      <c r="C6" s="404" t="s">
        <v>2</v>
      </c>
      <c r="D6" s="404" t="s">
        <v>3</v>
      </c>
      <c r="E6" s="433" t="s">
        <v>119</v>
      </c>
      <c r="F6" s="433" t="s">
        <v>320</v>
      </c>
      <c r="G6" s="415" t="s">
        <v>505</v>
      </c>
      <c r="H6" s="416"/>
    </row>
    <row r="7" spans="1:8" s="9" customFormat="1" ht="24" customHeight="1">
      <c r="A7" s="404"/>
      <c r="B7" s="404"/>
      <c r="C7" s="404"/>
      <c r="D7" s="404"/>
      <c r="E7" s="433"/>
      <c r="F7" s="433"/>
      <c r="G7" s="96" t="s">
        <v>506</v>
      </c>
      <c r="H7" s="202" t="s">
        <v>507</v>
      </c>
    </row>
    <row r="8" spans="1:8" s="8" customFormat="1" ht="21" customHeight="1">
      <c r="A8" s="34" t="s">
        <v>71</v>
      </c>
      <c r="B8" s="6"/>
      <c r="C8" s="26"/>
      <c r="D8" s="24" t="s">
        <v>72</v>
      </c>
      <c r="E8" s="45">
        <f>E12</f>
        <v>6995920</v>
      </c>
      <c r="F8" s="372">
        <f>F12+F9</f>
        <v>6334443</v>
      </c>
      <c r="G8" s="372">
        <f>G12+G9</f>
        <v>3956775.4599999995</v>
      </c>
      <c r="H8" s="202">
        <f>G8/F8*100</f>
        <v>62.46445756951321</v>
      </c>
    </row>
    <row r="9" spans="1:8" s="161" customFormat="1" ht="21" customHeight="1">
      <c r="A9" s="163"/>
      <c r="B9" s="171">
        <v>60013</v>
      </c>
      <c r="C9" s="176"/>
      <c r="D9" s="173" t="s">
        <v>373</v>
      </c>
      <c r="E9" s="192">
        <f aca="true" t="shared" si="0" ref="E9:G10">SUM(E10)</f>
        <v>0</v>
      </c>
      <c r="F9" s="192">
        <f t="shared" si="0"/>
        <v>19600</v>
      </c>
      <c r="G9" s="192">
        <f t="shared" si="0"/>
        <v>19600</v>
      </c>
      <c r="H9" s="89">
        <f aca="true" t="shared" si="1" ref="H9:H72">G9/F9*100</f>
        <v>100</v>
      </c>
    </row>
    <row r="10" spans="1:8" s="161" customFormat="1" ht="56.25">
      <c r="A10" s="163"/>
      <c r="B10" s="171"/>
      <c r="C10" s="176">
        <v>6300</v>
      </c>
      <c r="D10" s="230" t="s">
        <v>374</v>
      </c>
      <c r="E10" s="192">
        <f t="shared" si="0"/>
        <v>0</v>
      </c>
      <c r="F10" s="192">
        <f t="shared" si="0"/>
        <v>19600</v>
      </c>
      <c r="G10" s="192">
        <f t="shared" si="0"/>
        <v>19600</v>
      </c>
      <c r="H10" s="89">
        <f t="shared" si="1"/>
        <v>100</v>
      </c>
    </row>
    <row r="11" spans="1:8" s="180" customFormat="1" ht="56.25">
      <c r="A11" s="177"/>
      <c r="B11" s="178"/>
      <c r="C11" s="179"/>
      <c r="D11" s="169" t="s">
        <v>375</v>
      </c>
      <c r="E11" s="198">
        <v>0</v>
      </c>
      <c r="F11" s="198">
        <v>19600</v>
      </c>
      <c r="G11" s="198">
        <v>19600</v>
      </c>
      <c r="H11" s="195">
        <f t="shared" si="1"/>
        <v>100</v>
      </c>
    </row>
    <row r="12" spans="1:8" s="28" customFormat="1" ht="21" customHeight="1">
      <c r="A12" s="75"/>
      <c r="B12" s="76" t="s">
        <v>73</v>
      </c>
      <c r="C12" s="83"/>
      <c r="D12" s="16" t="s">
        <v>74</v>
      </c>
      <c r="E12" s="66">
        <f>SUM(E13,E30)</f>
        <v>6995920</v>
      </c>
      <c r="F12" s="66">
        <f>SUM(F13,F30)</f>
        <v>6314843</v>
      </c>
      <c r="G12" s="66">
        <f>SUM(G13,G30)</f>
        <v>3937175.4599999995</v>
      </c>
      <c r="H12" s="89">
        <f t="shared" si="1"/>
        <v>62.34795481059465</v>
      </c>
    </row>
    <row r="13" spans="1:8" s="28" customFormat="1" ht="24.75" customHeight="1">
      <c r="A13" s="81"/>
      <c r="B13" s="59"/>
      <c r="C13" s="83">
        <v>6050</v>
      </c>
      <c r="D13" s="16" t="s">
        <v>70</v>
      </c>
      <c r="E13" s="66">
        <f>SUM(E14:E29)</f>
        <v>6980920</v>
      </c>
      <c r="F13" s="66">
        <f>SUM(F14:F29)</f>
        <v>6300691</v>
      </c>
      <c r="G13" s="66">
        <f>SUM(G14:G29)</f>
        <v>3923023.4599999995</v>
      </c>
      <c r="H13" s="89">
        <f t="shared" si="1"/>
        <v>62.26338444465852</v>
      </c>
    </row>
    <row r="14" spans="1:8" s="31" customFormat="1" ht="21" customHeight="1">
      <c r="A14" s="52"/>
      <c r="B14" s="53"/>
      <c r="C14" s="54"/>
      <c r="D14" s="57" t="s">
        <v>256</v>
      </c>
      <c r="E14" s="91">
        <v>14120</v>
      </c>
      <c r="F14" s="195">
        <v>14120</v>
      </c>
      <c r="G14" s="195">
        <v>14120</v>
      </c>
      <c r="H14" s="195">
        <f t="shared" si="1"/>
        <v>100</v>
      </c>
    </row>
    <row r="15" spans="1:8" s="31" customFormat="1" ht="24.75" customHeight="1">
      <c r="A15" s="52"/>
      <c r="B15" s="53"/>
      <c r="C15" s="54"/>
      <c r="D15" s="57" t="s">
        <v>532</v>
      </c>
      <c r="E15" s="91">
        <v>3800</v>
      </c>
      <c r="F15" s="195">
        <v>7022</v>
      </c>
      <c r="G15" s="195">
        <v>7016</v>
      </c>
      <c r="H15" s="195">
        <f t="shared" si="1"/>
        <v>99.91455425804614</v>
      </c>
    </row>
    <row r="16" spans="1:8" s="31" customFormat="1" ht="24.75" customHeight="1">
      <c r="A16" s="52"/>
      <c r="B16" s="53"/>
      <c r="C16" s="54"/>
      <c r="D16" s="57" t="s">
        <v>533</v>
      </c>
      <c r="E16" s="91">
        <v>18000</v>
      </c>
      <c r="F16" s="195">
        <v>18000</v>
      </c>
      <c r="G16" s="195">
        <v>18000</v>
      </c>
      <c r="H16" s="195">
        <f t="shared" si="1"/>
        <v>100</v>
      </c>
    </row>
    <row r="17" spans="1:8" s="31" customFormat="1" ht="21" customHeight="1">
      <c r="A17" s="52"/>
      <c r="B17" s="53"/>
      <c r="C17" s="54"/>
      <c r="D17" s="57" t="s">
        <v>272</v>
      </c>
      <c r="E17" s="91">
        <v>810000</v>
      </c>
      <c r="F17" s="195">
        <v>824000</v>
      </c>
      <c r="G17" s="195">
        <v>823856.74</v>
      </c>
      <c r="H17" s="195">
        <f t="shared" si="1"/>
        <v>99.98261407766991</v>
      </c>
    </row>
    <row r="18" spans="1:8" s="31" customFormat="1" ht="23.25" customHeight="1">
      <c r="A18" s="52"/>
      <c r="B18" s="53"/>
      <c r="C18" s="54"/>
      <c r="D18" s="57" t="s">
        <v>301</v>
      </c>
      <c r="E18" s="91">
        <v>1500000</v>
      </c>
      <c r="F18" s="195">
        <v>1520300</v>
      </c>
      <c r="G18" s="195">
        <v>1520292.7</v>
      </c>
      <c r="H18" s="195">
        <f t="shared" si="1"/>
        <v>99.99951983161218</v>
      </c>
    </row>
    <row r="19" spans="1:8" s="31" customFormat="1" ht="21" customHeight="1">
      <c r="A19" s="52"/>
      <c r="B19" s="53"/>
      <c r="C19" s="54"/>
      <c r="D19" s="57" t="s">
        <v>273</v>
      </c>
      <c r="E19" s="91">
        <v>340000</v>
      </c>
      <c r="F19" s="195">
        <v>0</v>
      </c>
      <c r="G19" s="195">
        <v>0</v>
      </c>
      <c r="H19" s="195">
        <v>0</v>
      </c>
    </row>
    <row r="20" spans="1:8" s="31" customFormat="1" ht="112.5">
      <c r="A20" s="52"/>
      <c r="B20" s="53"/>
      <c r="C20" s="54"/>
      <c r="D20" s="57" t="s">
        <v>314</v>
      </c>
      <c r="E20" s="91">
        <v>205000</v>
      </c>
      <c r="F20" s="91">
        <v>205000</v>
      </c>
      <c r="G20" s="195">
        <v>58757.17</v>
      </c>
      <c r="H20" s="195">
        <f t="shared" si="1"/>
        <v>28.662034146341465</v>
      </c>
    </row>
    <row r="21" spans="1:8" s="31" customFormat="1" ht="33.75">
      <c r="A21" s="52"/>
      <c r="B21" s="53"/>
      <c r="C21" s="54"/>
      <c r="D21" s="57" t="s">
        <v>307</v>
      </c>
      <c r="E21" s="91">
        <v>340000</v>
      </c>
      <c r="F21" s="195">
        <v>340000</v>
      </c>
      <c r="G21" s="195">
        <v>0</v>
      </c>
      <c r="H21" s="195">
        <f t="shared" si="1"/>
        <v>0</v>
      </c>
    </row>
    <row r="22" spans="1:8" s="31" customFormat="1" ht="45">
      <c r="A22" s="52"/>
      <c r="B22" s="53"/>
      <c r="C22" s="54"/>
      <c r="D22" s="57" t="s">
        <v>315</v>
      </c>
      <c r="E22" s="91">
        <v>500000</v>
      </c>
      <c r="F22" s="195">
        <v>770000</v>
      </c>
      <c r="G22" s="195">
        <v>12498.9</v>
      </c>
      <c r="H22" s="195">
        <f t="shared" si="1"/>
        <v>1.6232337662337664</v>
      </c>
    </row>
    <row r="23" spans="1:8" s="31" customFormat="1" ht="56.25">
      <c r="A23" s="52"/>
      <c r="B23" s="53"/>
      <c r="C23" s="54"/>
      <c r="D23" s="57" t="s">
        <v>356</v>
      </c>
      <c r="E23" s="91">
        <v>250000</v>
      </c>
      <c r="F23" s="195">
        <v>500000</v>
      </c>
      <c r="G23" s="195">
        <v>19126.88</v>
      </c>
      <c r="H23" s="195">
        <f t="shared" si="1"/>
        <v>3.8253760000000003</v>
      </c>
    </row>
    <row r="24" spans="1:8" s="31" customFormat="1" ht="21" customHeight="1">
      <c r="A24" s="52"/>
      <c r="B24" s="53"/>
      <c r="C24" s="54"/>
      <c r="D24" s="57" t="s">
        <v>305</v>
      </c>
      <c r="E24" s="91">
        <v>250000</v>
      </c>
      <c r="F24" s="195">
        <v>204500</v>
      </c>
      <c r="G24" s="195">
        <v>204415.34</v>
      </c>
      <c r="H24" s="195">
        <f t="shared" si="1"/>
        <v>99.95860146699266</v>
      </c>
    </row>
    <row r="25" spans="1:8" s="31" customFormat="1" ht="45">
      <c r="A25" s="52"/>
      <c r="B25" s="53"/>
      <c r="C25" s="54"/>
      <c r="D25" s="57" t="s">
        <v>531</v>
      </c>
      <c r="E25" s="91">
        <v>800000</v>
      </c>
      <c r="F25" s="195">
        <v>81749</v>
      </c>
      <c r="G25" s="195">
        <v>25241.8</v>
      </c>
      <c r="H25" s="195">
        <f t="shared" si="1"/>
        <v>30.8771972745844</v>
      </c>
    </row>
    <row r="26" spans="1:8" s="31" customFormat="1" ht="56.25">
      <c r="A26" s="52"/>
      <c r="B26" s="53"/>
      <c r="C26" s="54"/>
      <c r="D26" s="57" t="s">
        <v>530</v>
      </c>
      <c r="E26" s="91">
        <v>700000</v>
      </c>
      <c r="F26" s="195">
        <v>627500</v>
      </c>
      <c r="G26" s="195">
        <v>627133.52</v>
      </c>
      <c r="H26" s="195">
        <f t="shared" si="1"/>
        <v>99.94159681274901</v>
      </c>
    </row>
    <row r="27" spans="1:8" s="31" customFormat="1" ht="24.75" customHeight="1">
      <c r="A27" s="52"/>
      <c r="B27" s="53"/>
      <c r="C27" s="54"/>
      <c r="D27" s="57" t="s">
        <v>529</v>
      </c>
      <c r="E27" s="91">
        <v>700000</v>
      </c>
      <c r="F27" s="195">
        <v>595500</v>
      </c>
      <c r="G27" s="195">
        <v>0</v>
      </c>
      <c r="H27" s="195">
        <f t="shared" si="1"/>
        <v>0</v>
      </c>
    </row>
    <row r="28" spans="1:8" s="31" customFormat="1" ht="45">
      <c r="A28" s="52"/>
      <c r="B28" s="53"/>
      <c r="C28" s="54"/>
      <c r="D28" s="57" t="s">
        <v>528</v>
      </c>
      <c r="E28" s="91">
        <v>500000</v>
      </c>
      <c r="F28" s="195">
        <v>469000</v>
      </c>
      <c r="G28" s="195">
        <v>468825.62</v>
      </c>
      <c r="H28" s="195">
        <f t="shared" si="1"/>
        <v>99.96281876332623</v>
      </c>
    </row>
    <row r="29" spans="1:8" s="31" customFormat="1" ht="24.75" customHeight="1">
      <c r="A29" s="52"/>
      <c r="B29" s="53"/>
      <c r="C29" s="54"/>
      <c r="D29" s="57" t="s">
        <v>306</v>
      </c>
      <c r="E29" s="91">
        <v>50000</v>
      </c>
      <c r="F29" s="195">
        <v>124000</v>
      </c>
      <c r="G29" s="195">
        <v>123738.79</v>
      </c>
      <c r="H29" s="195">
        <f t="shared" si="1"/>
        <v>99.78934677419355</v>
      </c>
    </row>
    <row r="30" spans="1:8" s="28" customFormat="1" ht="24.75" customHeight="1">
      <c r="A30" s="81"/>
      <c r="B30" s="59"/>
      <c r="C30" s="83">
        <v>6060</v>
      </c>
      <c r="D30" s="16" t="s">
        <v>90</v>
      </c>
      <c r="E30" s="89">
        <f>SUM(E31)</f>
        <v>15000</v>
      </c>
      <c r="F30" s="89">
        <f>SUM(F31)</f>
        <v>14152</v>
      </c>
      <c r="G30" s="89">
        <f>SUM(G31)</f>
        <v>14152</v>
      </c>
      <c r="H30" s="89">
        <f t="shared" si="1"/>
        <v>100</v>
      </c>
    </row>
    <row r="31" spans="1:8" s="31" customFormat="1" ht="24.75" customHeight="1">
      <c r="A31" s="52"/>
      <c r="B31" s="53"/>
      <c r="C31" s="54"/>
      <c r="D31" s="57" t="s">
        <v>257</v>
      </c>
      <c r="E31" s="91">
        <v>15000</v>
      </c>
      <c r="F31" s="195">
        <v>14152</v>
      </c>
      <c r="G31" s="195">
        <v>14152</v>
      </c>
      <c r="H31" s="195">
        <f t="shared" si="1"/>
        <v>100</v>
      </c>
    </row>
    <row r="32" spans="1:8" s="13" customFormat="1" ht="21" customHeight="1">
      <c r="A32" s="34" t="s">
        <v>8</v>
      </c>
      <c r="B32" s="6"/>
      <c r="C32" s="26"/>
      <c r="D32" s="24" t="s">
        <v>9</v>
      </c>
      <c r="E32" s="21">
        <f>SUM(E40,E33)</f>
        <v>725000</v>
      </c>
      <c r="F32" s="21">
        <f>SUM(F40,F33,F37)</f>
        <v>1005000</v>
      </c>
      <c r="G32" s="21">
        <f>SUM(G40,G33,G37)</f>
        <v>769476.14</v>
      </c>
      <c r="H32" s="202">
        <f t="shared" si="1"/>
        <v>76.56479004975124</v>
      </c>
    </row>
    <row r="33" spans="1:8" s="161" customFormat="1" ht="21" customHeight="1">
      <c r="A33" s="163"/>
      <c r="B33" s="171">
        <v>70005</v>
      </c>
      <c r="C33" s="176"/>
      <c r="D33" s="43" t="s">
        <v>129</v>
      </c>
      <c r="E33" s="174">
        <f>SUM(E34)</f>
        <v>125000</v>
      </c>
      <c r="F33" s="174">
        <f>SUM(F34)</f>
        <v>125000</v>
      </c>
      <c r="G33" s="174">
        <f>SUM(G34)</f>
        <v>101671.83</v>
      </c>
      <c r="H33" s="89">
        <f t="shared" si="1"/>
        <v>81.337464</v>
      </c>
    </row>
    <row r="34" spans="1:8" s="161" customFormat="1" ht="24.75" customHeight="1">
      <c r="A34" s="163"/>
      <c r="B34" s="171"/>
      <c r="C34" s="176">
        <v>6050</v>
      </c>
      <c r="D34" s="16" t="s">
        <v>70</v>
      </c>
      <c r="E34" s="174">
        <f>SUM(E35:E36)</f>
        <v>125000</v>
      </c>
      <c r="F34" s="174">
        <f>SUM(F35:F36)</f>
        <v>125000</v>
      </c>
      <c r="G34" s="174">
        <f>SUM(G35:G36)</f>
        <v>101671.83</v>
      </c>
      <c r="H34" s="89">
        <f t="shared" si="1"/>
        <v>81.337464</v>
      </c>
    </row>
    <row r="35" spans="1:8" s="180" customFormat="1" ht="24.75" customHeight="1">
      <c r="A35" s="177"/>
      <c r="B35" s="178"/>
      <c r="C35" s="179"/>
      <c r="D35" s="169" t="s">
        <v>316</v>
      </c>
      <c r="E35" s="170">
        <v>65000</v>
      </c>
      <c r="F35" s="170">
        <v>65000</v>
      </c>
      <c r="G35" s="170">
        <v>61726.48</v>
      </c>
      <c r="H35" s="195">
        <f t="shared" si="1"/>
        <v>94.96381538461539</v>
      </c>
    </row>
    <row r="36" spans="1:8" s="180" customFormat="1" ht="24.75" customHeight="1">
      <c r="A36" s="177"/>
      <c r="B36" s="178"/>
      <c r="C36" s="179"/>
      <c r="D36" s="169" t="s">
        <v>296</v>
      </c>
      <c r="E36" s="170">
        <v>60000</v>
      </c>
      <c r="F36" s="170">
        <v>60000</v>
      </c>
      <c r="G36" s="170">
        <v>39945.35</v>
      </c>
      <c r="H36" s="195">
        <f t="shared" si="1"/>
        <v>66.57558333333333</v>
      </c>
    </row>
    <row r="37" spans="1:8" s="180" customFormat="1" ht="21" customHeight="1">
      <c r="A37" s="163"/>
      <c r="B37" s="171">
        <v>70021</v>
      </c>
      <c r="C37" s="176"/>
      <c r="D37" s="43" t="s">
        <v>158</v>
      </c>
      <c r="E37" s="170">
        <f aca="true" t="shared" si="2" ref="E37:G38">SUM(E38)</f>
        <v>0</v>
      </c>
      <c r="F37" s="192">
        <f t="shared" si="2"/>
        <v>280000</v>
      </c>
      <c r="G37" s="192">
        <f t="shared" si="2"/>
        <v>280000</v>
      </c>
      <c r="H37" s="89">
        <f t="shared" si="1"/>
        <v>100</v>
      </c>
    </row>
    <row r="38" spans="1:8" s="180" customFormat="1" ht="56.25">
      <c r="A38" s="177"/>
      <c r="B38" s="178"/>
      <c r="C38" s="176">
        <v>6010</v>
      </c>
      <c r="D38" s="16" t="s">
        <v>286</v>
      </c>
      <c r="E38" s="170">
        <f t="shared" si="2"/>
        <v>0</v>
      </c>
      <c r="F38" s="192">
        <f t="shared" si="2"/>
        <v>280000</v>
      </c>
      <c r="G38" s="192">
        <f t="shared" si="2"/>
        <v>280000</v>
      </c>
      <c r="H38" s="89">
        <f t="shared" si="1"/>
        <v>100</v>
      </c>
    </row>
    <row r="39" spans="1:8" s="180" customFormat="1" ht="21" customHeight="1">
      <c r="A39" s="177"/>
      <c r="B39" s="178"/>
      <c r="C39" s="179"/>
      <c r="D39" s="169" t="s">
        <v>350</v>
      </c>
      <c r="E39" s="170">
        <v>0</v>
      </c>
      <c r="F39" s="170">
        <v>280000</v>
      </c>
      <c r="G39" s="170">
        <v>280000</v>
      </c>
      <c r="H39" s="195">
        <f t="shared" si="1"/>
        <v>100</v>
      </c>
    </row>
    <row r="40" spans="1:8" s="28" customFormat="1" ht="21" customHeight="1">
      <c r="A40" s="75"/>
      <c r="B40" s="76">
        <v>70095</v>
      </c>
      <c r="C40" s="83"/>
      <c r="D40" s="16" t="s">
        <v>6</v>
      </c>
      <c r="E40" s="87">
        <f>SUM(E41,)</f>
        <v>600000</v>
      </c>
      <c r="F40" s="87">
        <f>SUM(F41,)</f>
        <v>600000</v>
      </c>
      <c r="G40" s="87">
        <f>SUM(G41,)</f>
        <v>387804.31</v>
      </c>
      <c r="H40" s="89">
        <f t="shared" si="1"/>
        <v>64.63405166666666</v>
      </c>
    </row>
    <row r="41" spans="1:8" s="28" customFormat="1" ht="24.75" customHeight="1">
      <c r="A41" s="75"/>
      <c r="B41" s="76"/>
      <c r="C41" s="77">
        <v>6050</v>
      </c>
      <c r="D41" s="16" t="s">
        <v>70</v>
      </c>
      <c r="E41" s="87">
        <f>SUM(E42:E43)</f>
        <v>600000</v>
      </c>
      <c r="F41" s="87">
        <f>SUM(F42:F43)</f>
        <v>600000</v>
      </c>
      <c r="G41" s="87">
        <f>SUM(G42:G43)</f>
        <v>387804.31</v>
      </c>
      <c r="H41" s="89">
        <f t="shared" si="1"/>
        <v>64.63405166666666</v>
      </c>
    </row>
    <row r="42" spans="1:8" s="180" customFormat="1" ht="21" customHeight="1">
      <c r="A42" s="177"/>
      <c r="B42" s="178"/>
      <c r="C42" s="194"/>
      <c r="D42" s="169" t="s">
        <v>274</v>
      </c>
      <c r="E42" s="195">
        <v>400000</v>
      </c>
      <c r="F42" s="195">
        <v>400000</v>
      </c>
      <c r="G42" s="195">
        <v>387804.31</v>
      </c>
      <c r="H42" s="195">
        <f t="shared" si="1"/>
        <v>96.95107750000001</v>
      </c>
    </row>
    <row r="43" spans="1:8" s="180" customFormat="1" ht="33.75">
      <c r="A43" s="177"/>
      <c r="B43" s="178"/>
      <c r="C43" s="194"/>
      <c r="D43" s="169" t="s">
        <v>308</v>
      </c>
      <c r="E43" s="195">
        <v>200000</v>
      </c>
      <c r="F43" s="195">
        <v>200000</v>
      </c>
      <c r="G43" s="195">
        <v>0</v>
      </c>
      <c r="H43" s="195">
        <f t="shared" si="1"/>
        <v>0</v>
      </c>
    </row>
    <row r="44" spans="1:8" s="46" customFormat="1" ht="21" customHeight="1">
      <c r="A44" s="34">
        <v>750</v>
      </c>
      <c r="B44" s="6"/>
      <c r="C44" s="15"/>
      <c r="D44" s="24" t="s">
        <v>79</v>
      </c>
      <c r="E44" s="48">
        <f aca="true" t="shared" si="3" ref="E44:G45">E45</f>
        <v>95000</v>
      </c>
      <c r="F44" s="48">
        <f t="shared" si="3"/>
        <v>27113</v>
      </c>
      <c r="G44" s="48">
        <f t="shared" si="3"/>
        <v>25559.94</v>
      </c>
      <c r="H44" s="202">
        <f t="shared" si="1"/>
        <v>94.27189908899788</v>
      </c>
    </row>
    <row r="45" spans="1:8" s="28" customFormat="1" ht="24.75" customHeight="1">
      <c r="A45" s="75"/>
      <c r="B45" s="85" t="s">
        <v>17</v>
      </c>
      <c r="C45" s="88"/>
      <c r="D45" s="43" t="s">
        <v>18</v>
      </c>
      <c r="E45" s="89">
        <f t="shared" si="3"/>
        <v>95000</v>
      </c>
      <c r="F45" s="89">
        <f>F46</f>
        <v>27113</v>
      </c>
      <c r="G45" s="89">
        <f>G46</f>
        <v>25559.94</v>
      </c>
      <c r="H45" s="89">
        <f t="shared" si="1"/>
        <v>94.27189908899788</v>
      </c>
    </row>
    <row r="46" spans="1:8" s="28" customFormat="1" ht="24.75" customHeight="1">
      <c r="A46" s="75"/>
      <c r="B46" s="59"/>
      <c r="C46" s="78">
        <v>6060</v>
      </c>
      <c r="D46" s="16" t="s">
        <v>90</v>
      </c>
      <c r="E46" s="89">
        <f>SUM(E47)</f>
        <v>95000</v>
      </c>
      <c r="F46" s="89">
        <f>SUM(F47)</f>
        <v>27113</v>
      </c>
      <c r="G46" s="89">
        <f>SUM(G47)</f>
        <v>25559.94</v>
      </c>
      <c r="H46" s="89">
        <f t="shared" si="1"/>
        <v>94.27189908899788</v>
      </c>
    </row>
    <row r="47" spans="1:8" s="31" customFormat="1" ht="24.75" customHeight="1">
      <c r="A47" s="55"/>
      <c r="B47" s="53"/>
      <c r="C47" s="56"/>
      <c r="D47" s="57" t="s">
        <v>299</v>
      </c>
      <c r="E47" s="91">
        <v>95000</v>
      </c>
      <c r="F47" s="195">
        <v>27113</v>
      </c>
      <c r="G47" s="195">
        <v>25559.94</v>
      </c>
      <c r="H47" s="195">
        <f t="shared" si="1"/>
        <v>94.27189908899788</v>
      </c>
    </row>
    <row r="48" spans="1:8" s="156" customFormat="1" ht="24.75" customHeight="1">
      <c r="A48" s="199">
        <v>754</v>
      </c>
      <c r="B48" s="200"/>
      <c r="C48" s="201"/>
      <c r="D48" s="42" t="s">
        <v>22</v>
      </c>
      <c r="E48" s="202">
        <f>SUM(E49,E52,E55,E58,)</f>
        <v>150000</v>
      </c>
      <c r="F48" s="202">
        <f>SUM(F58,F52,F49,F55)</f>
        <v>366170</v>
      </c>
      <c r="G48" s="202">
        <f>SUM(G58,G52,G49,G55)</f>
        <v>215805.88</v>
      </c>
      <c r="H48" s="202">
        <f t="shared" si="1"/>
        <v>58.935980555479695</v>
      </c>
    </row>
    <row r="49" spans="1:8" s="161" customFormat="1" ht="24.75" customHeight="1">
      <c r="A49" s="163"/>
      <c r="B49" s="231">
        <v>75411</v>
      </c>
      <c r="C49" s="232"/>
      <c r="D49" s="230" t="s">
        <v>362</v>
      </c>
      <c r="E49" s="203">
        <f aca="true" t="shared" si="4" ref="E49:G50">SUM(E50)</f>
        <v>0</v>
      </c>
      <c r="F49" s="203">
        <f t="shared" si="4"/>
        <v>150000</v>
      </c>
      <c r="G49" s="203">
        <f t="shared" si="4"/>
        <v>150000</v>
      </c>
      <c r="H49" s="228">
        <f t="shared" si="1"/>
        <v>100</v>
      </c>
    </row>
    <row r="50" spans="1:8" s="161" customFormat="1" ht="56.25">
      <c r="A50" s="163"/>
      <c r="B50" s="231"/>
      <c r="C50" s="232">
        <v>6620</v>
      </c>
      <c r="D50" s="230" t="s">
        <v>363</v>
      </c>
      <c r="E50" s="203">
        <f t="shared" si="4"/>
        <v>0</v>
      </c>
      <c r="F50" s="203">
        <f t="shared" si="4"/>
        <v>150000</v>
      </c>
      <c r="G50" s="203">
        <f t="shared" si="4"/>
        <v>150000</v>
      </c>
      <c r="H50" s="89">
        <f t="shared" si="1"/>
        <v>100</v>
      </c>
    </row>
    <row r="51" spans="1:8" s="180" customFormat="1" ht="67.5">
      <c r="A51" s="177"/>
      <c r="B51" s="178"/>
      <c r="C51" s="194"/>
      <c r="D51" s="224" t="s">
        <v>527</v>
      </c>
      <c r="E51" s="195">
        <v>0</v>
      </c>
      <c r="F51" s="195">
        <v>150000</v>
      </c>
      <c r="G51" s="195">
        <v>150000</v>
      </c>
      <c r="H51" s="91">
        <f t="shared" si="1"/>
        <v>100</v>
      </c>
    </row>
    <row r="52" spans="1:8" s="161" customFormat="1" ht="21" customHeight="1">
      <c r="A52" s="163"/>
      <c r="B52" s="171">
        <v>75412</v>
      </c>
      <c r="C52" s="222"/>
      <c r="D52" s="43" t="s">
        <v>91</v>
      </c>
      <c r="E52" s="203">
        <f aca="true" t="shared" si="5" ref="E52:G53">SUM(E53)</f>
        <v>0</v>
      </c>
      <c r="F52" s="203">
        <f t="shared" si="5"/>
        <v>170</v>
      </c>
      <c r="G52" s="203">
        <f t="shared" si="5"/>
        <v>169.88</v>
      </c>
      <c r="H52" s="89">
        <f t="shared" si="1"/>
        <v>99.92941176470588</v>
      </c>
    </row>
    <row r="53" spans="1:8" s="161" customFormat="1" ht="24.75" customHeight="1">
      <c r="A53" s="163"/>
      <c r="B53" s="171"/>
      <c r="C53" s="222">
        <v>6050</v>
      </c>
      <c r="D53" s="16" t="s">
        <v>70</v>
      </c>
      <c r="E53" s="203">
        <f t="shared" si="5"/>
        <v>0</v>
      </c>
      <c r="F53" s="203">
        <f t="shared" si="5"/>
        <v>170</v>
      </c>
      <c r="G53" s="203">
        <f t="shared" si="5"/>
        <v>169.88</v>
      </c>
      <c r="H53" s="89">
        <f t="shared" si="1"/>
        <v>99.92941176470588</v>
      </c>
    </row>
    <row r="54" spans="1:8" s="180" customFormat="1" ht="33.75">
      <c r="A54" s="177"/>
      <c r="B54" s="178"/>
      <c r="C54" s="223"/>
      <c r="D54" s="224" t="s">
        <v>351</v>
      </c>
      <c r="E54" s="195">
        <v>0</v>
      </c>
      <c r="F54" s="195">
        <v>170</v>
      </c>
      <c r="G54" s="195">
        <v>169.88</v>
      </c>
      <c r="H54" s="195">
        <f t="shared" si="1"/>
        <v>99.92941176470588</v>
      </c>
    </row>
    <row r="55" spans="1:8" s="161" customFormat="1" ht="21" customHeight="1">
      <c r="A55" s="163"/>
      <c r="B55" s="318">
        <v>75421</v>
      </c>
      <c r="C55" s="222"/>
      <c r="D55" s="230" t="s">
        <v>486</v>
      </c>
      <c r="E55" s="203">
        <f aca="true" t="shared" si="6" ref="E55:G56">SUM(E56)</f>
        <v>0</v>
      </c>
      <c r="F55" s="203">
        <f t="shared" si="6"/>
        <v>66000</v>
      </c>
      <c r="G55" s="203">
        <f t="shared" si="6"/>
        <v>65636</v>
      </c>
      <c r="H55" s="89">
        <f t="shared" si="1"/>
        <v>99.44848484848485</v>
      </c>
    </row>
    <row r="56" spans="1:8" s="161" customFormat="1" ht="24.75" customHeight="1">
      <c r="A56" s="163"/>
      <c r="B56" s="318"/>
      <c r="C56" s="222">
        <v>6060</v>
      </c>
      <c r="D56" s="16" t="s">
        <v>90</v>
      </c>
      <c r="E56" s="203">
        <f t="shared" si="6"/>
        <v>0</v>
      </c>
      <c r="F56" s="203">
        <f t="shared" si="6"/>
        <v>66000</v>
      </c>
      <c r="G56" s="203">
        <f t="shared" si="6"/>
        <v>65636</v>
      </c>
      <c r="H56" s="89">
        <f t="shared" si="1"/>
        <v>99.44848484848485</v>
      </c>
    </row>
    <row r="57" spans="1:8" s="180" customFormat="1" ht="21" customHeight="1">
      <c r="A57" s="177"/>
      <c r="B57" s="257"/>
      <c r="C57" s="223"/>
      <c r="D57" s="224" t="s">
        <v>475</v>
      </c>
      <c r="E57" s="195">
        <v>0</v>
      </c>
      <c r="F57" s="195">
        <v>66000</v>
      </c>
      <c r="G57" s="195">
        <v>65636</v>
      </c>
      <c r="H57" s="195">
        <f t="shared" si="1"/>
        <v>99.44848484848485</v>
      </c>
    </row>
    <row r="58" spans="1:8" s="161" customFormat="1" ht="21" customHeight="1">
      <c r="A58" s="163"/>
      <c r="B58" s="85" t="s">
        <v>92</v>
      </c>
      <c r="C58" s="88"/>
      <c r="D58" s="43" t="s">
        <v>6</v>
      </c>
      <c r="E58" s="203">
        <f aca="true" t="shared" si="7" ref="E58:G59">SUM(E59)</f>
        <v>150000</v>
      </c>
      <c r="F58" s="203">
        <f t="shared" si="7"/>
        <v>150000</v>
      </c>
      <c r="G58" s="203">
        <f t="shared" si="7"/>
        <v>0</v>
      </c>
      <c r="H58" s="89">
        <f t="shared" si="1"/>
        <v>0</v>
      </c>
    </row>
    <row r="59" spans="1:8" s="161" customFormat="1" ht="24.75" customHeight="1">
      <c r="A59" s="163"/>
      <c r="B59" s="171"/>
      <c r="C59" s="172">
        <v>6050</v>
      </c>
      <c r="D59" s="16" t="s">
        <v>70</v>
      </c>
      <c r="E59" s="203">
        <f t="shared" si="7"/>
        <v>150000</v>
      </c>
      <c r="F59" s="203">
        <f t="shared" si="7"/>
        <v>150000</v>
      </c>
      <c r="G59" s="203">
        <f t="shared" si="7"/>
        <v>0</v>
      </c>
      <c r="H59" s="89">
        <f t="shared" si="1"/>
        <v>0</v>
      </c>
    </row>
    <row r="60" spans="1:8" s="31" customFormat="1" ht="45">
      <c r="A60" s="55"/>
      <c r="B60" s="53"/>
      <c r="C60" s="56"/>
      <c r="D60" s="57" t="s">
        <v>317</v>
      </c>
      <c r="E60" s="91">
        <v>150000</v>
      </c>
      <c r="F60" s="195">
        <v>150000</v>
      </c>
      <c r="G60" s="195">
        <v>0</v>
      </c>
      <c r="H60" s="195">
        <f t="shared" si="1"/>
        <v>0</v>
      </c>
    </row>
    <row r="61" spans="1:8" s="46" customFormat="1" ht="21" customHeight="1">
      <c r="A61" s="34">
        <v>758</v>
      </c>
      <c r="B61" s="6"/>
      <c r="C61" s="15"/>
      <c r="D61" s="24" t="s">
        <v>47</v>
      </c>
      <c r="E61" s="48">
        <f>SUM(E62)</f>
        <v>870000</v>
      </c>
      <c r="F61" s="48">
        <f>SUM(F62)</f>
        <v>0</v>
      </c>
      <c r="G61" s="48">
        <f>SUM(G62)</f>
        <v>0</v>
      </c>
      <c r="H61" s="237">
        <v>0</v>
      </c>
    </row>
    <row r="62" spans="1:8" s="28" customFormat="1" ht="21" customHeight="1">
      <c r="A62" s="75"/>
      <c r="B62" s="59">
        <v>75818</v>
      </c>
      <c r="C62" s="78"/>
      <c r="D62" s="16" t="s">
        <v>93</v>
      </c>
      <c r="E62" s="89">
        <f>SUM(E63,)</f>
        <v>870000</v>
      </c>
      <c r="F62" s="89">
        <f>SUM(F63,)</f>
        <v>0</v>
      </c>
      <c r="G62" s="89">
        <f>SUM(G63,)</f>
        <v>0</v>
      </c>
      <c r="H62" s="89">
        <v>0</v>
      </c>
    </row>
    <row r="63" spans="1:8" s="28" customFormat="1" ht="24.75" customHeight="1">
      <c r="A63" s="75"/>
      <c r="B63" s="59"/>
      <c r="C63" s="78">
        <v>6800</v>
      </c>
      <c r="D63" s="16" t="s">
        <v>246</v>
      </c>
      <c r="E63" s="89">
        <f>SUM(E64:E67)</f>
        <v>870000</v>
      </c>
      <c r="F63" s="89">
        <f>SUM(F64:F67)</f>
        <v>0</v>
      </c>
      <c r="G63" s="89">
        <f>SUM(G64:G67)</f>
        <v>0</v>
      </c>
      <c r="H63" s="89">
        <v>0</v>
      </c>
    </row>
    <row r="64" spans="1:8" s="31" customFormat="1" ht="45">
      <c r="A64" s="55"/>
      <c r="B64" s="53"/>
      <c r="C64" s="56"/>
      <c r="D64" s="57" t="s">
        <v>526</v>
      </c>
      <c r="E64" s="91">
        <v>150000</v>
      </c>
      <c r="F64" s="195">
        <v>0</v>
      </c>
      <c r="G64" s="195">
        <v>0</v>
      </c>
      <c r="H64" s="195">
        <v>0</v>
      </c>
    </row>
    <row r="65" spans="1:8" s="31" customFormat="1" ht="90">
      <c r="A65" s="55"/>
      <c r="B65" s="53"/>
      <c r="C65" s="56"/>
      <c r="D65" s="57" t="s">
        <v>525</v>
      </c>
      <c r="E65" s="91">
        <v>400000</v>
      </c>
      <c r="F65" s="195">
        <v>0</v>
      </c>
      <c r="G65" s="195">
        <v>0</v>
      </c>
      <c r="H65" s="195">
        <v>0</v>
      </c>
    </row>
    <row r="66" spans="1:8" s="31" customFormat="1" ht="33.75">
      <c r="A66" s="55"/>
      <c r="B66" s="53"/>
      <c r="C66" s="56"/>
      <c r="D66" s="57" t="s">
        <v>309</v>
      </c>
      <c r="E66" s="91">
        <v>20000</v>
      </c>
      <c r="F66" s="195">
        <v>0</v>
      </c>
      <c r="G66" s="195">
        <v>0</v>
      </c>
      <c r="H66" s="195">
        <v>0</v>
      </c>
    </row>
    <row r="67" spans="1:8" s="31" customFormat="1" ht="67.5">
      <c r="A67" s="55"/>
      <c r="B67" s="53"/>
      <c r="C67" s="56"/>
      <c r="D67" s="57" t="s">
        <v>524</v>
      </c>
      <c r="E67" s="91">
        <v>300000</v>
      </c>
      <c r="F67" s="195">
        <v>0</v>
      </c>
      <c r="G67" s="195">
        <v>0</v>
      </c>
      <c r="H67" s="195">
        <v>0</v>
      </c>
    </row>
    <row r="68" spans="1:8" s="46" customFormat="1" ht="21" customHeight="1">
      <c r="A68" s="34">
        <v>801</v>
      </c>
      <c r="B68" s="6"/>
      <c r="C68" s="15"/>
      <c r="D68" s="24" t="s">
        <v>96</v>
      </c>
      <c r="E68" s="21">
        <f>SUM(,E71,E69)</f>
        <v>4220000</v>
      </c>
      <c r="F68" s="21">
        <f>SUM(,F71,F69)</f>
        <v>2162700</v>
      </c>
      <c r="G68" s="21">
        <f>SUM(,G71,G69)</f>
        <v>2094954.4899999998</v>
      </c>
      <c r="H68" s="202">
        <f t="shared" si="1"/>
        <v>96.8675493595968</v>
      </c>
    </row>
    <row r="69" spans="1:8" s="161" customFormat="1" ht="21" customHeight="1">
      <c r="A69" s="163"/>
      <c r="B69" s="171">
        <v>80101</v>
      </c>
      <c r="C69" s="172"/>
      <c r="D69" s="173" t="s">
        <v>52</v>
      </c>
      <c r="E69" s="174">
        <f>SUM(E70)</f>
        <v>900000</v>
      </c>
      <c r="F69" s="174">
        <f>SUM(F70)</f>
        <v>900000</v>
      </c>
      <c r="G69" s="174">
        <f>SUM(G70)</f>
        <v>887182.07</v>
      </c>
      <c r="H69" s="89">
        <f t="shared" si="1"/>
        <v>98.57578555555556</v>
      </c>
    </row>
    <row r="70" spans="1:8" s="161" customFormat="1" ht="67.5">
      <c r="A70" s="163"/>
      <c r="B70" s="171"/>
      <c r="C70" s="169"/>
      <c r="D70" s="169" t="s">
        <v>318</v>
      </c>
      <c r="E70" s="170">
        <v>900000</v>
      </c>
      <c r="F70" s="170">
        <v>900000</v>
      </c>
      <c r="G70" s="170">
        <v>887182.07</v>
      </c>
      <c r="H70" s="195">
        <f t="shared" si="1"/>
        <v>98.57578555555556</v>
      </c>
    </row>
    <row r="71" spans="1:8" s="28" customFormat="1" ht="21" customHeight="1">
      <c r="A71" s="75"/>
      <c r="B71" s="59">
        <v>80110</v>
      </c>
      <c r="C71" s="78"/>
      <c r="D71" s="16" t="s">
        <v>53</v>
      </c>
      <c r="E71" s="87">
        <f>SUM(E72)</f>
        <v>3320000</v>
      </c>
      <c r="F71" s="87">
        <f>SUM(F72)</f>
        <v>1262700</v>
      </c>
      <c r="G71" s="87">
        <f>SUM(G72)</f>
        <v>1207772.42</v>
      </c>
      <c r="H71" s="89">
        <f t="shared" si="1"/>
        <v>95.64998970460124</v>
      </c>
    </row>
    <row r="72" spans="1:8" s="28" customFormat="1" ht="24.75" customHeight="1">
      <c r="A72" s="75"/>
      <c r="B72" s="59"/>
      <c r="C72" s="78">
        <v>6050</v>
      </c>
      <c r="D72" s="16" t="s">
        <v>70</v>
      </c>
      <c r="E72" s="87">
        <f>SUM(E73:E74)</f>
        <v>3320000</v>
      </c>
      <c r="F72" s="87">
        <f>SUM(F73:F74)</f>
        <v>1262700</v>
      </c>
      <c r="G72" s="87">
        <f>SUM(G73:G74)</f>
        <v>1207772.42</v>
      </c>
      <c r="H72" s="89">
        <f t="shared" si="1"/>
        <v>95.64998970460124</v>
      </c>
    </row>
    <row r="73" spans="1:8" s="31" customFormat="1" ht="24.75" customHeight="1">
      <c r="A73" s="55"/>
      <c r="B73" s="53"/>
      <c r="C73" s="56"/>
      <c r="D73" s="57" t="s">
        <v>297</v>
      </c>
      <c r="E73" s="58">
        <v>2520000</v>
      </c>
      <c r="F73" s="170">
        <v>700000</v>
      </c>
      <c r="G73" s="170">
        <v>683303.7</v>
      </c>
      <c r="H73" s="195">
        <f aca="true" t="shared" si="8" ref="H73:H114">G73/F73*100</f>
        <v>97.61481428571427</v>
      </c>
    </row>
    <row r="74" spans="1:8" s="31" customFormat="1" ht="67.5">
      <c r="A74" s="55"/>
      <c r="B74" s="53"/>
      <c r="C74" s="56"/>
      <c r="D74" s="57" t="s">
        <v>357</v>
      </c>
      <c r="E74" s="58">
        <v>800000</v>
      </c>
      <c r="F74" s="170">
        <v>562700</v>
      </c>
      <c r="G74" s="170">
        <v>524468.72</v>
      </c>
      <c r="H74" s="195">
        <f t="shared" si="8"/>
        <v>93.20574373556069</v>
      </c>
    </row>
    <row r="75" spans="1:8" s="46" customFormat="1" ht="21" customHeight="1">
      <c r="A75" s="34">
        <v>854</v>
      </c>
      <c r="B75" s="6"/>
      <c r="C75" s="15"/>
      <c r="D75" s="24" t="s">
        <v>59</v>
      </c>
      <c r="E75" s="48">
        <f>SUM(E76,)</f>
        <v>66000</v>
      </c>
      <c r="F75" s="48">
        <f>SUM(F76,)</f>
        <v>88002</v>
      </c>
      <c r="G75" s="48">
        <f>SUM(G76,)</f>
        <v>87411.9</v>
      </c>
      <c r="H75" s="202">
        <f t="shared" si="8"/>
        <v>99.3294470580214</v>
      </c>
    </row>
    <row r="76" spans="1:8" s="28" customFormat="1" ht="33.75">
      <c r="A76" s="75"/>
      <c r="B76" s="59">
        <v>85412</v>
      </c>
      <c r="C76" s="78"/>
      <c r="D76" s="43" t="s">
        <v>136</v>
      </c>
      <c r="E76" s="89">
        <f>SUM(E77)</f>
        <v>66000</v>
      </c>
      <c r="F76" s="89">
        <f>SUM(F77)</f>
        <v>88002</v>
      </c>
      <c r="G76" s="89">
        <f>SUM(G77)</f>
        <v>87411.9</v>
      </c>
      <c r="H76" s="89">
        <f t="shared" si="8"/>
        <v>99.3294470580214</v>
      </c>
    </row>
    <row r="77" spans="1:8" s="28" customFormat="1" ht="24.75" customHeight="1">
      <c r="A77" s="75"/>
      <c r="B77" s="59"/>
      <c r="C77" s="78">
        <v>6050</v>
      </c>
      <c r="D77" s="16" t="s">
        <v>70</v>
      </c>
      <c r="E77" s="89">
        <f>SUM(E78:E79)</f>
        <v>66000</v>
      </c>
      <c r="F77" s="89">
        <f>SUM(F78:F79)</f>
        <v>88002</v>
      </c>
      <c r="G77" s="89">
        <f>SUM(G78:G79)</f>
        <v>87411.9</v>
      </c>
      <c r="H77" s="89">
        <f t="shared" si="8"/>
        <v>99.3294470580214</v>
      </c>
    </row>
    <row r="78" spans="1:8" s="31" customFormat="1" ht="21" customHeight="1">
      <c r="A78" s="55"/>
      <c r="B78" s="53"/>
      <c r="C78" s="56"/>
      <c r="D78" s="57" t="s">
        <v>275</v>
      </c>
      <c r="E78" s="91">
        <v>50000</v>
      </c>
      <c r="F78" s="195">
        <v>72100</v>
      </c>
      <c r="G78" s="195">
        <v>71510.42</v>
      </c>
      <c r="H78" s="195">
        <f t="shared" si="8"/>
        <v>99.1822746185853</v>
      </c>
    </row>
    <row r="79" spans="1:8" s="31" customFormat="1" ht="24.75" customHeight="1">
      <c r="A79" s="55"/>
      <c r="B79" s="53"/>
      <c r="C79" s="194"/>
      <c r="D79" s="169" t="s">
        <v>292</v>
      </c>
      <c r="E79" s="195">
        <v>16000</v>
      </c>
      <c r="F79" s="195">
        <v>15902</v>
      </c>
      <c r="G79" s="195">
        <v>15901.48</v>
      </c>
      <c r="H79" s="195">
        <f t="shared" si="8"/>
        <v>99.99672997107282</v>
      </c>
    </row>
    <row r="80" spans="1:8" s="46" customFormat="1" ht="24">
      <c r="A80" s="34" t="s">
        <v>106</v>
      </c>
      <c r="B80" s="6"/>
      <c r="C80" s="26"/>
      <c r="D80" s="24" t="s">
        <v>60</v>
      </c>
      <c r="E80" s="21">
        <f>SUM(E81,E95,E92)</f>
        <v>1453000</v>
      </c>
      <c r="F80" s="21">
        <f>SUM(F81,F95,F92)</f>
        <v>1984929</v>
      </c>
      <c r="G80" s="21">
        <f>SUM(G81,G95,G92)</f>
        <v>1862967.73</v>
      </c>
      <c r="H80" s="202">
        <f t="shared" si="8"/>
        <v>93.85563564238318</v>
      </c>
    </row>
    <row r="81" spans="1:8" s="28" customFormat="1" ht="21" customHeight="1">
      <c r="A81" s="75"/>
      <c r="B81" s="76" t="s">
        <v>107</v>
      </c>
      <c r="C81" s="83"/>
      <c r="D81" s="16" t="s">
        <v>61</v>
      </c>
      <c r="E81" s="87">
        <f>SUM(E84,E82)</f>
        <v>1150000</v>
      </c>
      <c r="F81" s="87">
        <f>SUM(F84,F82)</f>
        <v>1034819</v>
      </c>
      <c r="G81" s="87">
        <f>SUM(G84,G82)</f>
        <v>1009679.3499999999</v>
      </c>
      <c r="H81" s="89">
        <f t="shared" si="8"/>
        <v>97.57062346168749</v>
      </c>
    </row>
    <row r="82" spans="1:8" s="28" customFormat="1" ht="56.25">
      <c r="A82" s="75"/>
      <c r="B82" s="76"/>
      <c r="C82" s="83">
        <v>6010</v>
      </c>
      <c r="D82" s="16" t="s">
        <v>286</v>
      </c>
      <c r="E82" s="87">
        <f>SUM(E83)</f>
        <v>0</v>
      </c>
      <c r="F82" s="87">
        <f>SUM(F83)</f>
        <v>119</v>
      </c>
      <c r="G82" s="87">
        <f>SUM(G83)</f>
        <v>0</v>
      </c>
      <c r="H82" s="89">
        <f t="shared" si="8"/>
        <v>0</v>
      </c>
    </row>
    <row r="83" spans="1:8" s="180" customFormat="1" ht="21" customHeight="1">
      <c r="A83" s="177"/>
      <c r="B83" s="221"/>
      <c r="C83" s="179"/>
      <c r="D83" s="169" t="s">
        <v>349</v>
      </c>
      <c r="E83" s="170">
        <v>0</v>
      </c>
      <c r="F83" s="170">
        <v>119</v>
      </c>
      <c r="G83" s="170">
        <v>0</v>
      </c>
      <c r="H83" s="195">
        <f t="shared" si="8"/>
        <v>0</v>
      </c>
    </row>
    <row r="84" spans="1:8" s="28" customFormat="1" ht="24.75" customHeight="1">
      <c r="A84" s="75"/>
      <c r="B84" s="76"/>
      <c r="C84" s="77">
        <v>6050</v>
      </c>
      <c r="D84" s="16" t="s">
        <v>70</v>
      </c>
      <c r="E84" s="89">
        <f>SUM(E85:E91)</f>
        <v>1150000</v>
      </c>
      <c r="F84" s="89">
        <f>SUM(F85:F91)</f>
        <v>1034700</v>
      </c>
      <c r="G84" s="89">
        <f>SUM(G85:G91)</f>
        <v>1009679.3499999999</v>
      </c>
      <c r="H84" s="89">
        <f t="shared" si="8"/>
        <v>97.58184497922102</v>
      </c>
    </row>
    <row r="85" spans="1:8" s="31" customFormat="1" ht="21" customHeight="1">
      <c r="A85" s="55"/>
      <c r="B85" s="93"/>
      <c r="C85" s="97"/>
      <c r="D85" s="60" t="s">
        <v>276</v>
      </c>
      <c r="E85" s="91">
        <v>100000</v>
      </c>
      <c r="F85" s="195">
        <v>100000</v>
      </c>
      <c r="G85" s="195">
        <v>99498.22</v>
      </c>
      <c r="H85" s="89">
        <f t="shared" si="8"/>
        <v>99.49822</v>
      </c>
    </row>
    <row r="86" spans="1:8" s="31" customFormat="1" ht="33.75">
      <c r="A86" s="55"/>
      <c r="B86" s="93"/>
      <c r="C86" s="97"/>
      <c r="D86" s="60" t="s">
        <v>319</v>
      </c>
      <c r="E86" s="91">
        <v>40000</v>
      </c>
      <c r="F86" s="195">
        <v>28200</v>
      </c>
      <c r="G86" s="195">
        <v>28188.1</v>
      </c>
      <c r="H86" s="195">
        <f t="shared" si="8"/>
        <v>99.9578014184397</v>
      </c>
    </row>
    <row r="87" spans="1:8" s="31" customFormat="1" ht="24.75" customHeight="1">
      <c r="A87" s="55"/>
      <c r="B87" s="93"/>
      <c r="C87" s="97"/>
      <c r="D87" s="60" t="s">
        <v>277</v>
      </c>
      <c r="E87" s="91">
        <v>350000</v>
      </c>
      <c r="F87" s="195">
        <v>278500</v>
      </c>
      <c r="G87" s="195">
        <v>262113.06</v>
      </c>
      <c r="H87" s="195">
        <f t="shared" si="8"/>
        <v>94.116</v>
      </c>
    </row>
    <row r="88" spans="1:8" s="31" customFormat="1" ht="24.75" customHeight="1">
      <c r="A88" s="55"/>
      <c r="B88" s="93"/>
      <c r="C88" s="97"/>
      <c r="D88" s="60" t="s">
        <v>278</v>
      </c>
      <c r="E88" s="91">
        <v>120000</v>
      </c>
      <c r="F88" s="195">
        <v>88000</v>
      </c>
      <c r="G88" s="195">
        <v>87661.85</v>
      </c>
      <c r="H88" s="195">
        <f t="shared" si="8"/>
        <v>99.61573863636363</v>
      </c>
    </row>
    <row r="89" spans="1:8" s="31" customFormat="1" ht="56.25">
      <c r="A89" s="55"/>
      <c r="B89" s="93"/>
      <c r="C89" s="97"/>
      <c r="D89" s="60" t="s">
        <v>523</v>
      </c>
      <c r="E89" s="91">
        <v>80000</v>
      </c>
      <c r="F89" s="195">
        <v>90000</v>
      </c>
      <c r="G89" s="195">
        <v>82220.68</v>
      </c>
      <c r="H89" s="195">
        <f t="shared" si="8"/>
        <v>91.3563111111111</v>
      </c>
    </row>
    <row r="90" spans="1:8" s="31" customFormat="1" ht="21" customHeight="1">
      <c r="A90" s="55"/>
      <c r="B90" s="93"/>
      <c r="C90" s="97"/>
      <c r="D90" s="60" t="s">
        <v>279</v>
      </c>
      <c r="E90" s="91">
        <v>450000</v>
      </c>
      <c r="F90" s="195">
        <v>450000</v>
      </c>
      <c r="G90" s="195">
        <v>449997.44</v>
      </c>
      <c r="H90" s="195">
        <f t="shared" si="8"/>
        <v>99.99943111111111</v>
      </c>
    </row>
    <row r="91" spans="1:8" s="31" customFormat="1" ht="33.75">
      <c r="A91" s="55"/>
      <c r="B91" s="93"/>
      <c r="C91" s="97"/>
      <c r="D91" s="60" t="s">
        <v>310</v>
      </c>
      <c r="E91" s="91">
        <v>10000</v>
      </c>
      <c r="F91" s="195">
        <v>0</v>
      </c>
      <c r="G91" s="195">
        <v>0</v>
      </c>
      <c r="H91" s="195">
        <v>0</v>
      </c>
    </row>
    <row r="92" spans="1:8" s="28" customFormat="1" ht="21" customHeight="1">
      <c r="A92" s="75"/>
      <c r="B92" s="76">
        <v>90002</v>
      </c>
      <c r="C92" s="77"/>
      <c r="D92" s="80" t="s">
        <v>280</v>
      </c>
      <c r="E92" s="89">
        <f aca="true" t="shared" si="9" ref="E92:G93">SUM(E93)</f>
        <v>90000</v>
      </c>
      <c r="F92" s="89">
        <f t="shared" si="9"/>
        <v>90000</v>
      </c>
      <c r="G92" s="89">
        <f t="shared" si="9"/>
        <v>26840</v>
      </c>
      <c r="H92" s="89">
        <f t="shared" si="8"/>
        <v>29.822222222222223</v>
      </c>
    </row>
    <row r="93" spans="1:8" s="28" customFormat="1" ht="24.75" customHeight="1">
      <c r="A93" s="75"/>
      <c r="B93" s="76"/>
      <c r="C93" s="77">
        <v>6050</v>
      </c>
      <c r="D93" s="16" t="s">
        <v>70</v>
      </c>
      <c r="E93" s="89">
        <f t="shared" si="9"/>
        <v>90000</v>
      </c>
      <c r="F93" s="89">
        <f>SUM(F94)</f>
        <v>90000</v>
      </c>
      <c r="G93" s="89">
        <f>SUM(G94)</f>
        <v>26840</v>
      </c>
      <c r="H93" s="89">
        <f t="shared" si="8"/>
        <v>29.822222222222223</v>
      </c>
    </row>
    <row r="94" spans="1:8" s="31" customFormat="1" ht="24.75" customHeight="1">
      <c r="A94" s="55"/>
      <c r="B94" s="93"/>
      <c r="C94" s="97"/>
      <c r="D94" s="60" t="s">
        <v>281</v>
      </c>
      <c r="E94" s="91">
        <v>90000</v>
      </c>
      <c r="F94" s="195">
        <v>90000</v>
      </c>
      <c r="G94" s="195">
        <v>26840</v>
      </c>
      <c r="H94" s="195">
        <f t="shared" si="8"/>
        <v>29.822222222222223</v>
      </c>
    </row>
    <row r="95" spans="1:8" s="28" customFormat="1" ht="21" customHeight="1">
      <c r="A95" s="75"/>
      <c r="B95" s="76" t="s">
        <v>111</v>
      </c>
      <c r="C95" s="83"/>
      <c r="D95" s="16" t="s">
        <v>112</v>
      </c>
      <c r="E95" s="87">
        <f>SUM(E96:E96)</f>
        <v>213000</v>
      </c>
      <c r="F95" s="87">
        <f>SUM(F96:F96)</f>
        <v>860110</v>
      </c>
      <c r="G95" s="87">
        <f>SUM(G96:G96)</f>
        <v>826448.38</v>
      </c>
      <c r="H95" s="89">
        <f t="shared" si="8"/>
        <v>96.08635872155887</v>
      </c>
    </row>
    <row r="96" spans="1:8" s="28" customFormat="1" ht="24.75" customHeight="1">
      <c r="A96" s="75"/>
      <c r="B96" s="59"/>
      <c r="C96" s="77">
        <v>6050</v>
      </c>
      <c r="D96" s="16" t="s">
        <v>70</v>
      </c>
      <c r="E96" s="87">
        <f>SUM(E97:E103)</f>
        <v>213000</v>
      </c>
      <c r="F96" s="87">
        <f>SUM(F97:F103)</f>
        <v>860110</v>
      </c>
      <c r="G96" s="87">
        <f>SUM(G97:G103)</f>
        <v>826448.38</v>
      </c>
      <c r="H96" s="89">
        <f t="shared" si="8"/>
        <v>96.08635872155887</v>
      </c>
    </row>
    <row r="97" spans="1:8" s="31" customFormat="1" ht="21" customHeight="1">
      <c r="A97" s="55"/>
      <c r="B97" s="53"/>
      <c r="C97" s="97"/>
      <c r="D97" s="57" t="s">
        <v>360</v>
      </c>
      <c r="E97" s="58">
        <v>0</v>
      </c>
      <c r="F97" s="170">
        <v>110</v>
      </c>
      <c r="G97" s="170">
        <v>109.82</v>
      </c>
      <c r="H97" s="195">
        <f t="shared" si="8"/>
        <v>99.83636363636363</v>
      </c>
    </row>
    <row r="98" spans="1:8" s="31" customFormat="1" ht="21" customHeight="1">
      <c r="A98" s="55"/>
      <c r="B98" s="53"/>
      <c r="C98" s="97"/>
      <c r="D98" s="57" t="s">
        <v>282</v>
      </c>
      <c r="E98" s="91">
        <v>40000</v>
      </c>
      <c r="F98" s="195">
        <v>32100</v>
      </c>
      <c r="G98" s="195">
        <v>13000</v>
      </c>
      <c r="H98" s="195">
        <f t="shared" si="8"/>
        <v>40.49844236760124</v>
      </c>
    </row>
    <row r="99" spans="1:8" s="31" customFormat="1" ht="21" customHeight="1">
      <c r="A99" s="55"/>
      <c r="B99" s="53"/>
      <c r="C99" s="56"/>
      <c r="D99" s="57" t="s">
        <v>283</v>
      </c>
      <c r="E99" s="91">
        <v>50000</v>
      </c>
      <c r="F99" s="195">
        <v>54700</v>
      </c>
      <c r="G99" s="195">
        <v>53500</v>
      </c>
      <c r="H99" s="195">
        <f t="shared" si="8"/>
        <v>97.80621572212065</v>
      </c>
    </row>
    <row r="100" spans="1:8" s="31" customFormat="1" ht="21" customHeight="1">
      <c r="A100" s="55"/>
      <c r="B100" s="53"/>
      <c r="C100" s="56"/>
      <c r="D100" s="57" t="s">
        <v>284</v>
      </c>
      <c r="E100" s="91">
        <v>23000</v>
      </c>
      <c r="F100" s="195">
        <v>26200</v>
      </c>
      <c r="G100" s="195">
        <v>25000</v>
      </c>
      <c r="H100" s="195">
        <f t="shared" si="8"/>
        <v>95.41984732824427</v>
      </c>
    </row>
    <row r="101" spans="1:8" s="31" customFormat="1" ht="24.75" customHeight="1">
      <c r="A101" s="55"/>
      <c r="B101" s="53"/>
      <c r="C101" s="56"/>
      <c r="D101" s="57" t="s">
        <v>522</v>
      </c>
      <c r="E101" s="91">
        <v>80000</v>
      </c>
      <c r="F101" s="195">
        <v>56000</v>
      </c>
      <c r="G101" s="195">
        <v>55641.5</v>
      </c>
      <c r="H101" s="195">
        <f t="shared" si="8"/>
        <v>99.35982142857142</v>
      </c>
    </row>
    <row r="102" spans="1:8" s="31" customFormat="1" ht="24.75" customHeight="1">
      <c r="A102" s="55"/>
      <c r="B102" s="53"/>
      <c r="C102" s="56"/>
      <c r="D102" s="57" t="s">
        <v>311</v>
      </c>
      <c r="E102" s="91">
        <v>20000</v>
      </c>
      <c r="F102" s="195">
        <v>11000</v>
      </c>
      <c r="G102" s="195">
        <v>10951.06</v>
      </c>
      <c r="H102" s="195">
        <f t="shared" si="8"/>
        <v>99.55509090909091</v>
      </c>
    </row>
    <row r="103" spans="1:8" s="31" customFormat="1" ht="33.75">
      <c r="A103" s="55"/>
      <c r="B103" s="53"/>
      <c r="C103" s="56"/>
      <c r="D103" s="60" t="s">
        <v>474</v>
      </c>
      <c r="E103" s="91">
        <v>0</v>
      </c>
      <c r="F103" s="195">
        <v>680000</v>
      </c>
      <c r="G103" s="195">
        <v>668246</v>
      </c>
      <c r="H103" s="195">
        <f t="shared" si="8"/>
        <v>98.2714705882353</v>
      </c>
    </row>
    <row r="104" spans="1:8" s="31" customFormat="1" ht="21" customHeight="1">
      <c r="A104" s="34">
        <v>926</v>
      </c>
      <c r="B104" s="6"/>
      <c r="C104" s="26"/>
      <c r="D104" s="24" t="s">
        <v>65</v>
      </c>
      <c r="E104" s="21">
        <f>SUM(E110,E105)</f>
        <v>1250000</v>
      </c>
      <c r="F104" s="21">
        <f>SUM(F110,F105,)</f>
        <v>1600000</v>
      </c>
      <c r="G104" s="21">
        <f>SUM(G110,G105,)</f>
        <v>913871.73</v>
      </c>
      <c r="H104" s="202">
        <f t="shared" si="8"/>
        <v>57.116983125</v>
      </c>
    </row>
    <row r="105" spans="1:8" s="180" customFormat="1" ht="21" customHeight="1">
      <c r="A105" s="163"/>
      <c r="B105" s="171">
        <v>92601</v>
      </c>
      <c r="C105" s="176"/>
      <c r="D105" s="43" t="s">
        <v>240</v>
      </c>
      <c r="E105" s="204">
        <f>SUM(E106)</f>
        <v>800000</v>
      </c>
      <c r="F105" s="204">
        <f>SUM(F106)</f>
        <v>850000</v>
      </c>
      <c r="G105" s="204">
        <f>SUM(G106)</f>
        <v>493871.73</v>
      </c>
      <c r="H105" s="89">
        <f t="shared" si="8"/>
        <v>58.102556470588226</v>
      </c>
    </row>
    <row r="106" spans="1:8" s="180" customFormat="1" ht="24.75" customHeight="1">
      <c r="A106" s="163"/>
      <c r="B106" s="171"/>
      <c r="C106" s="176">
        <v>6050</v>
      </c>
      <c r="D106" s="16" t="s">
        <v>70</v>
      </c>
      <c r="E106" s="204">
        <f>SUM(E107:E108)</f>
        <v>800000</v>
      </c>
      <c r="F106" s="204">
        <f>SUM(F107:F109)</f>
        <v>850000</v>
      </c>
      <c r="G106" s="204">
        <f>SUM(G107:G109)</f>
        <v>493871.73</v>
      </c>
      <c r="H106" s="89">
        <f t="shared" si="8"/>
        <v>58.102556470588226</v>
      </c>
    </row>
    <row r="107" spans="1:8" s="180" customFormat="1" ht="24.75" customHeight="1">
      <c r="A107" s="177"/>
      <c r="B107" s="178"/>
      <c r="C107" s="179"/>
      <c r="D107" s="205" t="s">
        <v>304</v>
      </c>
      <c r="E107" s="206">
        <v>450000</v>
      </c>
      <c r="F107" s="206">
        <v>450000</v>
      </c>
      <c r="G107" s="206">
        <v>443895.66</v>
      </c>
      <c r="H107" s="195">
        <f t="shared" si="8"/>
        <v>98.64348</v>
      </c>
    </row>
    <row r="108" spans="1:8" s="180" customFormat="1" ht="21" customHeight="1">
      <c r="A108" s="177"/>
      <c r="B108" s="178"/>
      <c r="C108" s="179"/>
      <c r="D108" s="205" t="s">
        <v>312</v>
      </c>
      <c r="E108" s="206">
        <v>350000</v>
      </c>
      <c r="F108" s="206">
        <v>350000</v>
      </c>
      <c r="G108" s="206">
        <v>0</v>
      </c>
      <c r="H108" s="195">
        <f t="shared" si="8"/>
        <v>0</v>
      </c>
    </row>
    <row r="109" spans="1:8" s="180" customFormat="1" ht="24.75" customHeight="1">
      <c r="A109" s="177"/>
      <c r="B109" s="178"/>
      <c r="C109" s="179"/>
      <c r="D109" s="205" t="s">
        <v>369</v>
      </c>
      <c r="E109" s="206">
        <v>0</v>
      </c>
      <c r="F109" s="206">
        <v>50000</v>
      </c>
      <c r="G109" s="206">
        <v>49976.07</v>
      </c>
      <c r="H109" s="195">
        <f t="shared" si="8"/>
        <v>99.95214</v>
      </c>
    </row>
    <row r="110" spans="1:8" s="28" customFormat="1" ht="21" customHeight="1">
      <c r="A110" s="76"/>
      <c r="B110" s="76">
        <v>92604</v>
      </c>
      <c r="C110" s="76"/>
      <c r="D110" s="116" t="s">
        <v>173</v>
      </c>
      <c r="E110" s="117">
        <f>SUM(E111)</f>
        <v>450000</v>
      </c>
      <c r="F110" s="117">
        <f>SUM(F111)</f>
        <v>750000</v>
      </c>
      <c r="G110" s="117">
        <f>SUM(G111)</f>
        <v>420000</v>
      </c>
      <c r="H110" s="89">
        <f t="shared" si="8"/>
        <v>56.00000000000001</v>
      </c>
    </row>
    <row r="111" spans="1:8" s="28" customFormat="1" ht="56.25">
      <c r="A111" s="76"/>
      <c r="B111" s="76"/>
      <c r="C111" s="76">
        <v>6010</v>
      </c>
      <c r="D111" s="16" t="s">
        <v>286</v>
      </c>
      <c r="E111" s="117">
        <f>SUM(E112:E112)</f>
        <v>450000</v>
      </c>
      <c r="F111" s="117">
        <f>SUM(F112:F113)</f>
        <v>750000</v>
      </c>
      <c r="G111" s="117">
        <f>SUM(G112:G113)</f>
        <v>420000</v>
      </c>
      <c r="H111" s="89">
        <f t="shared" si="8"/>
        <v>56.00000000000001</v>
      </c>
    </row>
    <row r="112" spans="1:8" s="31" customFormat="1" ht="56.25">
      <c r="A112" s="93"/>
      <c r="B112" s="93"/>
      <c r="C112" s="93"/>
      <c r="D112" s="330" t="s">
        <v>521</v>
      </c>
      <c r="E112" s="331">
        <v>450000</v>
      </c>
      <c r="F112" s="331">
        <v>330000</v>
      </c>
      <c r="G112" s="331">
        <v>0</v>
      </c>
      <c r="H112" s="195">
        <f t="shared" si="8"/>
        <v>0</v>
      </c>
    </row>
    <row r="113" spans="1:8" s="31" customFormat="1" ht="21.75" customHeight="1">
      <c r="A113" s="93"/>
      <c r="B113" s="93"/>
      <c r="C113" s="93"/>
      <c r="D113" s="330" t="s">
        <v>488</v>
      </c>
      <c r="E113" s="331">
        <v>0</v>
      </c>
      <c r="F113" s="331">
        <v>420000</v>
      </c>
      <c r="G113" s="331">
        <v>420000</v>
      </c>
      <c r="H113" s="195">
        <f t="shared" si="8"/>
        <v>100</v>
      </c>
    </row>
    <row r="114" spans="1:8" s="9" customFormat="1" ht="21" customHeight="1">
      <c r="A114" s="12"/>
      <c r="B114" s="12"/>
      <c r="C114" s="12"/>
      <c r="D114" s="102" t="s">
        <v>67</v>
      </c>
      <c r="E114" s="64">
        <f>SUM(E104,E80,E75,E68,E44,E32,E8,E61,E48)</f>
        <v>15824920</v>
      </c>
      <c r="F114" s="64">
        <f>SUM(F104,F80,F75,F68,F44,F32,F8,F61,F48)</f>
        <v>13568357</v>
      </c>
      <c r="G114" s="64">
        <f>SUM(G104,G80,G75,G68,G44,G32,G8,G61,G48)</f>
        <v>9926823.27</v>
      </c>
      <c r="H114" s="202">
        <f t="shared" si="8"/>
        <v>73.16157195745954</v>
      </c>
    </row>
    <row r="117" spans="5:7" ht="12.75">
      <c r="E117" s="61"/>
      <c r="F117" s="61"/>
      <c r="G117" s="61"/>
    </row>
    <row r="118" spans="6:7" ht="12.75">
      <c r="F118" s="61"/>
      <c r="G118" s="61"/>
    </row>
    <row r="119" spans="6:7" ht="12.75">
      <c r="F119" s="61"/>
      <c r="G119" s="61"/>
    </row>
    <row r="120" spans="6:7" ht="12.75">
      <c r="F120" s="61"/>
      <c r="G120" s="61"/>
    </row>
    <row r="121" spans="6:7" ht="12.75">
      <c r="F121" s="327"/>
      <c r="G121" s="327"/>
    </row>
    <row r="122" spans="6:7" ht="12.75">
      <c r="F122" s="61"/>
      <c r="G122" s="61"/>
    </row>
    <row r="123" spans="6:7" ht="12.75">
      <c r="F123" s="61"/>
      <c r="G123" s="61"/>
    </row>
    <row r="124" spans="6:7" ht="12.75">
      <c r="F124" s="61"/>
      <c r="G124" s="61"/>
    </row>
    <row r="125" spans="6:7" ht="12.75">
      <c r="F125" s="61"/>
      <c r="G125" s="61"/>
    </row>
    <row r="126" spans="6:7" ht="12.75">
      <c r="F126" s="61"/>
      <c r="G126" s="61"/>
    </row>
    <row r="127" spans="5:7" ht="12.75">
      <c r="E127" t="s">
        <v>180</v>
      </c>
      <c r="F127" t="s">
        <v>180</v>
      </c>
      <c r="G127" t="s">
        <v>180</v>
      </c>
    </row>
    <row r="128" spans="5:7" ht="12.75">
      <c r="E128" t="s">
        <v>181</v>
      </c>
      <c r="F128" t="s">
        <v>181</v>
      </c>
      <c r="G128" t="s">
        <v>181</v>
      </c>
    </row>
  </sheetData>
  <sheetProtection/>
  <mergeCells count="8">
    <mergeCell ref="G6:H6"/>
    <mergeCell ref="E6:E7"/>
    <mergeCell ref="A5:D5"/>
    <mergeCell ref="A6:A7"/>
    <mergeCell ref="B6:B7"/>
    <mergeCell ref="C6:C7"/>
    <mergeCell ref="D6:D7"/>
    <mergeCell ref="F6:F7"/>
  </mergeCells>
  <printOptions horizontalCentered="1"/>
  <pageMargins left="0.31496062992125984" right="0.3937007874015748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27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4.375" style="9" bestFit="1" customWidth="1"/>
    <col min="4" max="4" width="29.00390625" style="9" customWidth="1"/>
    <col min="5" max="5" width="12.75390625" style="9" customWidth="1"/>
    <col min="6" max="6" width="11.25390625" style="9" customWidth="1"/>
    <col min="7" max="7" width="13.125" style="9" customWidth="1"/>
    <col min="8" max="8" width="6.125" style="349" customWidth="1"/>
  </cols>
  <sheetData>
    <row r="1" spans="5:7" ht="12.75">
      <c r="E1" s="68"/>
      <c r="F1" s="68" t="s">
        <v>547</v>
      </c>
      <c r="G1" s="68"/>
    </row>
    <row r="2" spans="5:7" ht="12.75">
      <c r="E2" s="68"/>
      <c r="F2" s="68" t="s">
        <v>509</v>
      </c>
      <c r="G2" s="68"/>
    </row>
    <row r="3" spans="5:7" ht="12.75">
      <c r="E3" s="68"/>
      <c r="F3" s="68" t="s">
        <v>503</v>
      </c>
      <c r="G3" s="68"/>
    </row>
    <row r="4" spans="5:7" ht="12.75">
      <c r="E4" s="68"/>
      <c r="F4" s="68" t="s">
        <v>510</v>
      </c>
      <c r="G4" s="68"/>
    </row>
    <row r="5" spans="1:8" ht="36" customHeight="1">
      <c r="A5" s="440" t="s">
        <v>520</v>
      </c>
      <c r="B5" s="440"/>
      <c r="C5" s="440"/>
      <c r="D5" s="440"/>
      <c r="E5" s="440"/>
      <c r="F5" s="440"/>
      <c r="G5" s="440"/>
      <c r="H5" s="440"/>
    </row>
    <row r="6" spans="1:8" ht="18" customHeight="1">
      <c r="A6" s="441" t="s">
        <v>0</v>
      </c>
      <c r="B6" s="441" t="s">
        <v>1</v>
      </c>
      <c r="C6" s="441" t="s">
        <v>2</v>
      </c>
      <c r="D6" s="441" t="s">
        <v>3</v>
      </c>
      <c r="E6" s="439" t="s">
        <v>119</v>
      </c>
      <c r="F6" s="439" t="s">
        <v>320</v>
      </c>
      <c r="G6" s="408" t="s">
        <v>505</v>
      </c>
      <c r="H6" s="408"/>
    </row>
    <row r="7" spans="1:8" s="9" customFormat="1" ht="17.25" customHeight="1">
      <c r="A7" s="441"/>
      <c r="B7" s="441"/>
      <c r="C7" s="441"/>
      <c r="D7" s="441"/>
      <c r="E7" s="439"/>
      <c r="F7" s="439"/>
      <c r="G7" s="25" t="s">
        <v>506</v>
      </c>
      <c r="H7" s="342" t="s">
        <v>507</v>
      </c>
    </row>
    <row r="8" spans="1:8" s="9" customFormat="1" ht="21" customHeight="1">
      <c r="A8" s="2">
        <v>801</v>
      </c>
      <c r="B8" s="2"/>
      <c r="C8" s="2"/>
      <c r="D8" s="114" t="s">
        <v>96</v>
      </c>
      <c r="E8" s="113">
        <f>SUM(E9,E14)</f>
        <v>4782</v>
      </c>
      <c r="F8" s="366">
        <f>SUM(F9,F14)</f>
        <v>7132</v>
      </c>
      <c r="G8" s="113">
        <f>SUM(G9,G14)</f>
        <v>7131.97</v>
      </c>
      <c r="H8" s="202">
        <f>G8/F8*100</f>
        <v>99.99957936062816</v>
      </c>
    </row>
    <row r="9" spans="1:8" s="28" customFormat="1" ht="21" customHeight="1">
      <c r="A9" s="65"/>
      <c r="B9" s="65">
        <v>80101</v>
      </c>
      <c r="C9" s="65"/>
      <c r="D9" s="62" t="s">
        <v>52</v>
      </c>
      <c r="E9" s="150">
        <f>SUM(E10:E13)</f>
        <v>4782</v>
      </c>
      <c r="F9" s="367">
        <f>SUM(F10:F13)</f>
        <v>6532</v>
      </c>
      <c r="G9" s="150">
        <f>SUM(G10:G13)</f>
        <v>6531.97</v>
      </c>
      <c r="H9" s="203">
        <f aca="true" t="shared" si="0" ref="H9:H27">G9/F9*100</f>
        <v>99.99954072259645</v>
      </c>
    </row>
    <row r="10" spans="1:8" s="28" customFormat="1" ht="22.5">
      <c r="A10" s="65"/>
      <c r="B10" s="65"/>
      <c r="C10" s="88">
        <v>4010</v>
      </c>
      <c r="D10" s="43" t="s">
        <v>80</v>
      </c>
      <c r="E10" s="150">
        <v>4050</v>
      </c>
      <c r="F10" s="367">
        <v>4050</v>
      </c>
      <c r="G10" s="150">
        <v>4050</v>
      </c>
      <c r="H10" s="203">
        <f t="shared" si="0"/>
        <v>100</v>
      </c>
    </row>
    <row r="11" spans="1:8" s="28" customFormat="1" ht="21" customHeight="1">
      <c r="A11" s="65"/>
      <c r="B11" s="65"/>
      <c r="C11" s="88">
        <v>4110</v>
      </c>
      <c r="D11" s="43" t="s">
        <v>82</v>
      </c>
      <c r="E11" s="150">
        <v>630</v>
      </c>
      <c r="F11" s="367">
        <v>630</v>
      </c>
      <c r="G11" s="150">
        <v>630</v>
      </c>
      <c r="H11" s="203">
        <f t="shared" si="0"/>
        <v>100</v>
      </c>
    </row>
    <row r="12" spans="1:8" s="28" customFormat="1" ht="21" customHeight="1">
      <c r="A12" s="65"/>
      <c r="B12" s="65"/>
      <c r="C12" s="88">
        <v>4120</v>
      </c>
      <c r="D12" s="43" t="s">
        <v>83</v>
      </c>
      <c r="E12" s="150">
        <v>102</v>
      </c>
      <c r="F12" s="367">
        <v>102</v>
      </c>
      <c r="G12" s="150">
        <v>102</v>
      </c>
      <c r="H12" s="203">
        <f t="shared" si="0"/>
        <v>100</v>
      </c>
    </row>
    <row r="13" spans="1:8" s="28" customFormat="1" ht="21" customHeight="1">
      <c r="A13" s="65"/>
      <c r="B13" s="65"/>
      <c r="C13" s="88">
        <v>4210</v>
      </c>
      <c r="D13" s="43" t="s">
        <v>69</v>
      </c>
      <c r="E13" s="150">
        <v>0</v>
      </c>
      <c r="F13" s="367">
        <v>1750</v>
      </c>
      <c r="G13" s="150">
        <v>1749.97</v>
      </c>
      <c r="H13" s="203">
        <f t="shared" si="0"/>
        <v>99.99828571428571</v>
      </c>
    </row>
    <row r="14" spans="1:8" s="28" customFormat="1" ht="21" customHeight="1">
      <c r="A14" s="65"/>
      <c r="B14" s="65">
        <v>80110</v>
      </c>
      <c r="C14" s="88"/>
      <c r="D14" s="43" t="s">
        <v>53</v>
      </c>
      <c r="E14" s="150">
        <f>SUM(E15)</f>
        <v>0</v>
      </c>
      <c r="F14" s="367">
        <f>SUM(F15)</f>
        <v>600</v>
      </c>
      <c r="G14" s="150">
        <f>SUM(G15)</f>
        <v>600</v>
      </c>
      <c r="H14" s="203">
        <f t="shared" si="0"/>
        <v>100</v>
      </c>
    </row>
    <row r="15" spans="1:8" s="28" customFormat="1" ht="21" customHeight="1">
      <c r="A15" s="65"/>
      <c r="B15" s="65"/>
      <c r="C15" s="88">
        <v>4210</v>
      </c>
      <c r="D15" s="43" t="s">
        <v>69</v>
      </c>
      <c r="E15" s="150">
        <v>0</v>
      </c>
      <c r="F15" s="367">
        <v>600</v>
      </c>
      <c r="G15" s="150">
        <v>600</v>
      </c>
      <c r="H15" s="203">
        <f t="shared" si="0"/>
        <v>100</v>
      </c>
    </row>
    <row r="16" spans="1:8" s="8" customFormat="1" ht="27.75" customHeight="1">
      <c r="A16" s="37" t="s">
        <v>62</v>
      </c>
      <c r="B16" s="6"/>
      <c r="C16" s="6"/>
      <c r="D16" s="24" t="s">
        <v>68</v>
      </c>
      <c r="E16" s="21">
        <f>E19+E17+E21</f>
        <v>60000</v>
      </c>
      <c r="F16" s="368">
        <f>F19+F17+F21</f>
        <v>67400</v>
      </c>
      <c r="G16" s="21">
        <f>G19+G17+G21</f>
        <v>67400</v>
      </c>
      <c r="H16" s="202">
        <f t="shared" si="0"/>
        <v>100</v>
      </c>
    </row>
    <row r="17" spans="1:8" s="8" customFormat="1" ht="22.5">
      <c r="A17" s="37"/>
      <c r="B17" s="85" t="s">
        <v>114</v>
      </c>
      <c r="C17" s="88"/>
      <c r="D17" s="43" t="s">
        <v>130</v>
      </c>
      <c r="E17" s="174">
        <f>SUM(E18)</f>
        <v>0</v>
      </c>
      <c r="F17" s="369">
        <f>SUM(F18)</f>
        <v>4000</v>
      </c>
      <c r="G17" s="174">
        <f>SUM(G18)</f>
        <v>4000</v>
      </c>
      <c r="H17" s="203">
        <f t="shared" si="0"/>
        <v>100</v>
      </c>
    </row>
    <row r="18" spans="1:8" s="8" customFormat="1" ht="22.5">
      <c r="A18" s="37"/>
      <c r="B18" s="85"/>
      <c r="C18" s="88">
        <v>2480</v>
      </c>
      <c r="D18" s="16" t="s">
        <v>115</v>
      </c>
      <c r="E18" s="174">
        <v>0</v>
      </c>
      <c r="F18" s="369">
        <v>4000</v>
      </c>
      <c r="G18" s="174">
        <v>4000</v>
      </c>
      <c r="H18" s="203">
        <f t="shared" si="0"/>
        <v>100</v>
      </c>
    </row>
    <row r="19" spans="1:8" s="28" customFormat="1" ht="21" customHeight="1">
      <c r="A19" s="76"/>
      <c r="B19" s="76" t="s">
        <v>63</v>
      </c>
      <c r="C19" s="59"/>
      <c r="D19" s="16" t="s">
        <v>64</v>
      </c>
      <c r="E19" s="87">
        <f>E20</f>
        <v>60000</v>
      </c>
      <c r="F19" s="370">
        <f>F20</f>
        <v>60000</v>
      </c>
      <c r="G19" s="87">
        <f>G20</f>
        <v>60000</v>
      </c>
      <c r="H19" s="203">
        <f t="shared" si="0"/>
        <v>100</v>
      </c>
    </row>
    <row r="20" spans="1:8" s="28" customFormat="1" ht="22.5">
      <c r="A20" s="76"/>
      <c r="B20" s="76"/>
      <c r="C20" s="59">
        <v>2480</v>
      </c>
      <c r="D20" s="16" t="s">
        <v>115</v>
      </c>
      <c r="E20" s="87">
        <v>60000</v>
      </c>
      <c r="F20" s="370">
        <v>60000</v>
      </c>
      <c r="G20" s="87">
        <v>60000</v>
      </c>
      <c r="H20" s="203">
        <f t="shared" si="0"/>
        <v>100</v>
      </c>
    </row>
    <row r="21" spans="1:8" s="28" customFormat="1" ht="21" customHeight="1">
      <c r="A21" s="76"/>
      <c r="B21" s="71" t="s">
        <v>116</v>
      </c>
      <c r="C21" s="88"/>
      <c r="D21" s="43" t="s">
        <v>117</v>
      </c>
      <c r="E21" s="87">
        <f>SUM(E22)</f>
        <v>0</v>
      </c>
      <c r="F21" s="370">
        <f>SUM(F22)</f>
        <v>3400</v>
      </c>
      <c r="G21" s="87">
        <f>SUM(G22)</f>
        <v>3400</v>
      </c>
      <c r="H21" s="203">
        <f t="shared" si="0"/>
        <v>100</v>
      </c>
    </row>
    <row r="22" spans="1:8" s="28" customFormat="1" ht="24" customHeight="1">
      <c r="A22" s="76"/>
      <c r="B22" s="76"/>
      <c r="C22" s="59">
        <v>2480</v>
      </c>
      <c r="D22" s="16" t="s">
        <v>115</v>
      </c>
      <c r="E22" s="87">
        <v>0</v>
      </c>
      <c r="F22" s="370">
        <v>3400</v>
      </c>
      <c r="G22" s="87">
        <v>3400</v>
      </c>
      <c r="H22" s="203">
        <f t="shared" si="0"/>
        <v>100</v>
      </c>
    </row>
    <row r="23" spans="1:8" s="156" customFormat="1" ht="24" customHeight="1">
      <c r="A23" s="211">
        <v>926</v>
      </c>
      <c r="B23" s="211"/>
      <c r="C23" s="200"/>
      <c r="D23" s="217" t="s">
        <v>65</v>
      </c>
      <c r="E23" s="213">
        <f>SUM(E24)</f>
        <v>0</v>
      </c>
      <c r="F23" s="371">
        <f>SUM(F24)</f>
        <v>2800</v>
      </c>
      <c r="G23" s="213">
        <f>SUM(G24)</f>
        <v>2800</v>
      </c>
      <c r="H23" s="202">
        <f t="shared" si="0"/>
        <v>100</v>
      </c>
    </row>
    <row r="24" spans="1:8" s="28" customFormat="1" ht="24" customHeight="1">
      <c r="A24" s="76"/>
      <c r="B24" s="76">
        <v>92605</v>
      </c>
      <c r="C24" s="59"/>
      <c r="D24" s="16" t="s">
        <v>66</v>
      </c>
      <c r="E24" s="87">
        <f>SUM(E25:E26)</f>
        <v>0</v>
      </c>
      <c r="F24" s="370">
        <f>SUM(F25:F26)</f>
        <v>2800</v>
      </c>
      <c r="G24" s="87">
        <f>SUM(G25:G26)</f>
        <v>2800</v>
      </c>
      <c r="H24" s="203">
        <f t="shared" si="0"/>
        <v>100</v>
      </c>
    </row>
    <row r="25" spans="1:8" s="28" customFormat="1" ht="24" customHeight="1">
      <c r="A25" s="76"/>
      <c r="B25" s="76"/>
      <c r="C25" s="59">
        <v>3020</v>
      </c>
      <c r="D25" s="43" t="s">
        <v>167</v>
      </c>
      <c r="E25" s="87">
        <v>0</v>
      </c>
      <c r="F25" s="370">
        <v>2100</v>
      </c>
      <c r="G25" s="87">
        <v>2100</v>
      </c>
      <c r="H25" s="203">
        <f t="shared" si="0"/>
        <v>100</v>
      </c>
    </row>
    <row r="26" spans="1:8" s="28" customFormat="1" ht="24" customHeight="1">
      <c r="A26" s="76"/>
      <c r="B26" s="76"/>
      <c r="C26" s="59">
        <v>4300</v>
      </c>
      <c r="D26" s="43" t="s">
        <v>76</v>
      </c>
      <c r="E26" s="87">
        <v>0</v>
      </c>
      <c r="F26" s="370">
        <v>700</v>
      </c>
      <c r="G26" s="87">
        <v>700</v>
      </c>
      <c r="H26" s="203">
        <f t="shared" si="0"/>
        <v>100</v>
      </c>
    </row>
    <row r="27" spans="1:8" s="8" customFormat="1" ht="21" customHeight="1">
      <c r="A27" s="23"/>
      <c r="B27" s="23"/>
      <c r="C27" s="23"/>
      <c r="D27" s="6" t="s">
        <v>67</v>
      </c>
      <c r="E27" s="21">
        <f>SUM(E8,E16,E23)</f>
        <v>64782</v>
      </c>
      <c r="F27" s="368">
        <f>SUM(F8,F16,F23)</f>
        <v>77332</v>
      </c>
      <c r="G27" s="21">
        <f>SUM(G8,G16,G23)</f>
        <v>77331.97</v>
      </c>
      <c r="H27" s="202">
        <f t="shared" si="0"/>
        <v>99.9999612062277</v>
      </c>
    </row>
    <row r="30" spans="5:7" ht="12.75">
      <c r="E30" s="30"/>
      <c r="F30" s="30"/>
      <c r="G30" s="30"/>
    </row>
    <row r="31" spans="5:7" ht="12.75">
      <c r="E31" s="30"/>
      <c r="F31" s="30"/>
      <c r="G31" s="30"/>
    </row>
    <row r="32" spans="5:7" ht="12.75">
      <c r="E32" s="44"/>
      <c r="F32" s="44"/>
      <c r="G32" s="44"/>
    </row>
    <row r="33" spans="5:7" ht="12.75">
      <c r="E33" s="30"/>
      <c r="F33" s="30"/>
      <c r="G33" s="30"/>
    </row>
    <row r="34" spans="5:7" ht="12.75">
      <c r="E34" s="30"/>
      <c r="F34" s="30"/>
      <c r="G34" s="30"/>
    </row>
  </sheetData>
  <sheetProtection/>
  <mergeCells count="8">
    <mergeCell ref="F6:F7"/>
    <mergeCell ref="G6:H6"/>
    <mergeCell ref="A5:H5"/>
    <mergeCell ref="A6:A7"/>
    <mergeCell ref="B6:B7"/>
    <mergeCell ref="C6:C7"/>
    <mergeCell ref="D6:D7"/>
    <mergeCell ref="E6:E7"/>
  </mergeCells>
  <printOptions horizontalCentered="1"/>
  <pageMargins left="0.551181102362204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461" customWidth="1"/>
    <col min="2" max="2" width="8.375" style="461" customWidth="1"/>
    <col min="3" max="3" width="5.125" style="461" customWidth="1"/>
    <col min="4" max="4" width="25.375" style="461" customWidth="1"/>
    <col min="5" max="5" width="12.25390625" style="458" customWidth="1"/>
    <col min="6" max="6" width="10.875" style="458" hidden="1" customWidth="1"/>
    <col min="7" max="7" width="11.375" style="458" customWidth="1"/>
    <col min="8" max="8" width="0.12890625" style="459" hidden="1" customWidth="1"/>
    <col min="9" max="9" width="8.625" style="459" hidden="1" customWidth="1"/>
    <col min="10" max="10" width="10.125" style="459" hidden="1" customWidth="1"/>
    <col min="11" max="11" width="10.25390625" style="459" hidden="1" customWidth="1"/>
    <col min="12" max="12" width="9.75390625" style="459" hidden="1" customWidth="1"/>
    <col min="13" max="13" width="9.125" style="459" hidden="1" customWidth="1"/>
    <col min="14" max="14" width="8.375" style="459" hidden="1" customWidth="1"/>
    <col min="15" max="15" width="9.125" style="459" hidden="1" customWidth="1"/>
    <col min="16" max="16" width="7.625" style="459" hidden="1" customWidth="1"/>
    <col min="17" max="17" width="6.875" style="459" hidden="1" customWidth="1"/>
    <col min="18" max="18" width="11.625" style="459" customWidth="1"/>
    <col min="19" max="19" width="7.75390625" style="460" customWidth="1"/>
    <col min="20" max="20" width="6.625" style="459" hidden="1" customWidth="1"/>
    <col min="21" max="21" width="0.6171875" style="460" hidden="1" customWidth="1"/>
    <col min="22" max="16384" width="9.125" style="461" customWidth="1"/>
  </cols>
  <sheetData>
    <row r="1" spans="1:7" ht="15" customHeight="1">
      <c r="A1" s="101"/>
      <c r="B1" s="101"/>
      <c r="C1" s="101"/>
      <c r="D1" s="101"/>
      <c r="E1" s="457"/>
      <c r="G1" s="458" t="s">
        <v>558</v>
      </c>
    </row>
    <row r="2" spans="1:7" ht="12" customHeight="1">
      <c r="A2" s="101"/>
      <c r="B2" s="101"/>
      <c r="C2" s="101"/>
      <c r="D2" s="462"/>
      <c r="E2" s="457"/>
      <c r="G2" s="458" t="s">
        <v>502</v>
      </c>
    </row>
    <row r="3" spans="1:7" ht="13.5" customHeight="1">
      <c r="A3" s="101"/>
      <c r="B3" s="101"/>
      <c r="C3" s="101"/>
      <c r="D3" s="101"/>
      <c r="E3" s="457"/>
      <c r="G3" s="458" t="s">
        <v>503</v>
      </c>
    </row>
    <row r="4" spans="1:7" ht="13.5" customHeight="1">
      <c r="A4" s="101"/>
      <c r="B4" s="101"/>
      <c r="C4" s="101"/>
      <c r="D4" s="101"/>
      <c r="E4" s="457"/>
      <c r="G4" s="458" t="s">
        <v>504</v>
      </c>
    </row>
    <row r="5" spans="1:5" ht="18" customHeight="1">
      <c r="A5" s="463" t="s">
        <v>559</v>
      </c>
      <c r="B5" s="464"/>
      <c r="C5" s="464"/>
      <c r="D5" s="464"/>
      <c r="E5" s="464"/>
    </row>
    <row r="6" spans="1:21" ht="16.5" customHeight="1">
      <c r="A6" s="465" t="s">
        <v>0</v>
      </c>
      <c r="B6" s="465" t="s">
        <v>1</v>
      </c>
      <c r="C6" s="465" t="s">
        <v>2</v>
      </c>
      <c r="D6" s="466" t="s">
        <v>3</v>
      </c>
      <c r="E6" s="467" t="s">
        <v>120</v>
      </c>
      <c r="F6" s="468" t="s">
        <v>302</v>
      </c>
      <c r="G6" s="468" t="s">
        <v>320</v>
      </c>
      <c r="H6" s="119" t="s">
        <v>560</v>
      </c>
      <c r="I6" s="119" t="s">
        <v>561</v>
      </c>
      <c r="J6" s="119" t="s">
        <v>562</v>
      </c>
      <c r="K6" s="119" t="s">
        <v>563</v>
      </c>
      <c r="L6" s="119" t="s">
        <v>564</v>
      </c>
      <c r="M6" s="119" t="s">
        <v>565</v>
      </c>
      <c r="N6" s="119" t="s">
        <v>566</v>
      </c>
      <c r="O6" s="119" t="s">
        <v>567</v>
      </c>
      <c r="P6" s="119" t="s">
        <v>568</v>
      </c>
      <c r="Q6" s="469"/>
      <c r="R6" s="470" t="s">
        <v>569</v>
      </c>
      <c r="S6" s="470"/>
      <c r="T6" s="471" t="s">
        <v>570</v>
      </c>
      <c r="U6" s="471"/>
    </row>
    <row r="7" spans="1:21" ht="16.5" customHeight="1">
      <c r="A7" s="465"/>
      <c r="B7" s="465"/>
      <c r="C7" s="465"/>
      <c r="D7" s="472"/>
      <c r="E7" s="467"/>
      <c r="F7" s="468"/>
      <c r="G7" s="468"/>
      <c r="H7" s="119" t="s">
        <v>571</v>
      </c>
      <c r="I7" s="119" t="s">
        <v>572</v>
      </c>
      <c r="J7" s="119" t="s">
        <v>573</v>
      </c>
      <c r="K7" s="119" t="s">
        <v>574</v>
      </c>
      <c r="L7" s="119" t="s">
        <v>575</v>
      </c>
      <c r="M7" s="119" t="s">
        <v>576</v>
      </c>
      <c r="N7" s="119" t="s">
        <v>577</v>
      </c>
      <c r="O7" s="119" t="s">
        <v>578</v>
      </c>
      <c r="P7" s="119" t="s">
        <v>579</v>
      </c>
      <c r="Q7" s="473"/>
      <c r="R7" s="119" t="s">
        <v>580</v>
      </c>
      <c r="S7" s="474" t="s">
        <v>581</v>
      </c>
      <c r="T7" s="469" t="s">
        <v>580</v>
      </c>
      <c r="U7" s="475" t="s">
        <v>581</v>
      </c>
    </row>
    <row r="8" spans="1:21" s="67" customFormat="1" ht="19.5" customHeight="1">
      <c r="A8" s="37" t="s">
        <v>71</v>
      </c>
      <c r="B8" s="6"/>
      <c r="C8" s="6"/>
      <c r="D8" s="24" t="s">
        <v>72</v>
      </c>
      <c r="E8" s="21">
        <f>SUM(E9)</f>
        <v>129925</v>
      </c>
      <c r="F8" s="21">
        <f>SUM(F9)</f>
        <v>-2683</v>
      </c>
      <c r="G8" s="21">
        <f>SUM(E8:F8)</f>
        <v>127242</v>
      </c>
      <c r="H8" s="118"/>
      <c r="I8" s="118"/>
      <c r="J8" s="118"/>
      <c r="K8" s="118"/>
      <c r="L8" s="118"/>
      <c r="M8" s="118"/>
      <c r="N8" s="118"/>
      <c r="O8" s="118"/>
      <c r="P8" s="118"/>
      <c r="Q8" s="188"/>
      <c r="R8" s="213">
        <f>SUM(R9)</f>
        <v>126822.83</v>
      </c>
      <c r="S8" s="476">
        <f>R8/G8</f>
        <v>0.996705726096729</v>
      </c>
      <c r="T8" s="118">
        <f>G8-R8</f>
        <v>419.16999999999825</v>
      </c>
      <c r="U8" s="477">
        <f>T8/G8</f>
        <v>0.003294273903270919</v>
      </c>
    </row>
    <row r="9" spans="1:21" s="101" customFormat="1" ht="18" customHeight="1">
      <c r="A9" s="92"/>
      <c r="B9" s="76" t="s">
        <v>73</v>
      </c>
      <c r="C9" s="59"/>
      <c r="D9" s="16" t="s">
        <v>74</v>
      </c>
      <c r="E9" s="87">
        <f>SUM(E10,E23,E34,E38)</f>
        <v>129925</v>
      </c>
      <c r="F9" s="87">
        <f>SUM(F10,F23,F34,F38)</f>
        <v>-2683</v>
      </c>
      <c r="G9" s="87">
        <f>SUM(E9:F9)</f>
        <v>127242</v>
      </c>
      <c r="H9" s="87"/>
      <c r="I9" s="87"/>
      <c r="J9" s="87"/>
      <c r="K9" s="87"/>
      <c r="L9" s="87"/>
      <c r="M9" s="87"/>
      <c r="N9" s="87"/>
      <c r="O9" s="87"/>
      <c r="P9" s="87"/>
      <c r="Q9" s="174"/>
      <c r="R9" s="87">
        <f>SUM(R10,R23,R34,R38)</f>
        <v>126822.83</v>
      </c>
      <c r="S9" s="478">
        <f>R9/G9</f>
        <v>0.996705726096729</v>
      </c>
      <c r="T9" s="87">
        <f>G9-R9</f>
        <v>419.16999999999825</v>
      </c>
      <c r="U9" s="478">
        <f>T9/G9</f>
        <v>0.003294273903270919</v>
      </c>
    </row>
    <row r="10" spans="1:21" s="101" customFormat="1" ht="22.5" customHeight="1">
      <c r="A10" s="76"/>
      <c r="B10" s="59"/>
      <c r="C10" s="76">
        <v>4210</v>
      </c>
      <c r="D10" s="16" t="s">
        <v>69</v>
      </c>
      <c r="E10" s="87">
        <f>SUM(E11,E12,E13,E14,E15,E16,E17,E18,E19,E20,E21,E22)</f>
        <v>57205</v>
      </c>
      <c r="F10" s="87">
        <f>SUM(F11,F12,F13,F14,F15,F16,F17,F18,F19,F20,F21,F22)</f>
        <v>-10417</v>
      </c>
      <c r="G10" s="87">
        <f>SUM(E10:F10)</f>
        <v>46788</v>
      </c>
      <c r="H10" s="87"/>
      <c r="I10" s="87"/>
      <c r="J10" s="87"/>
      <c r="K10" s="87"/>
      <c r="L10" s="87"/>
      <c r="M10" s="87"/>
      <c r="N10" s="87"/>
      <c r="O10" s="87"/>
      <c r="P10" s="87"/>
      <c r="Q10" s="174"/>
      <c r="R10" s="87">
        <f>SUM(R11,R12,R13,R14,R15,R16,R17,R18,R19,R20,R21,R22)</f>
        <v>46531.060000000005</v>
      </c>
      <c r="S10" s="478">
        <f>R10/G10</f>
        <v>0.9945084209626401</v>
      </c>
      <c r="T10" s="87">
        <f>G10-R10</f>
        <v>256.93999999999505</v>
      </c>
      <c r="U10" s="478">
        <f>T10/G10</f>
        <v>0.005491579037359901</v>
      </c>
    </row>
    <row r="11" spans="1:21" s="484" customFormat="1" ht="19.5" customHeight="1">
      <c r="A11" s="479"/>
      <c r="B11" s="479"/>
      <c r="C11" s="93"/>
      <c r="D11" s="480" t="s">
        <v>582</v>
      </c>
      <c r="E11" s="58">
        <v>5480</v>
      </c>
      <c r="F11" s="58">
        <f>SUM(H11:Q11)</f>
        <v>-5480</v>
      </c>
      <c r="G11" s="58">
        <f>SUM(E11:F11)</f>
        <v>0</v>
      </c>
      <c r="H11" s="58"/>
      <c r="I11" s="58"/>
      <c r="J11" s="58"/>
      <c r="K11" s="58"/>
      <c r="L11" s="58">
        <v>-4980</v>
      </c>
      <c r="M11" s="481">
        <v>-500</v>
      </c>
      <c r="N11" s="58"/>
      <c r="O11" s="58"/>
      <c r="P11" s="58"/>
      <c r="Q11" s="170"/>
      <c r="R11" s="482">
        <v>0</v>
      </c>
      <c r="S11" s="483">
        <v>0</v>
      </c>
      <c r="T11" s="58">
        <f>G11-R11</f>
        <v>0</v>
      </c>
      <c r="U11" s="483"/>
    </row>
    <row r="12" spans="1:21" s="484" customFormat="1" ht="19.5" customHeight="1">
      <c r="A12" s="479"/>
      <c r="B12" s="479"/>
      <c r="C12" s="93"/>
      <c r="D12" s="480" t="s">
        <v>583</v>
      </c>
      <c r="E12" s="58">
        <v>1000</v>
      </c>
      <c r="F12" s="58">
        <f>SUM(H12:Q12)</f>
        <v>0</v>
      </c>
      <c r="G12" s="58">
        <f>SUM(E12:F12)</f>
        <v>1000</v>
      </c>
      <c r="H12" s="58"/>
      <c r="I12" s="58"/>
      <c r="J12" s="58"/>
      <c r="K12" s="58"/>
      <c r="L12" s="485"/>
      <c r="M12" s="58"/>
      <c r="N12" s="58"/>
      <c r="O12" s="58"/>
      <c r="P12" s="58"/>
      <c r="Q12" s="170"/>
      <c r="R12" s="58">
        <v>1000</v>
      </c>
      <c r="S12" s="483">
        <f>R12/G12</f>
        <v>1</v>
      </c>
      <c r="T12" s="58">
        <f>G12-R12</f>
        <v>0</v>
      </c>
      <c r="U12" s="483">
        <f>T12/G12</f>
        <v>0</v>
      </c>
    </row>
    <row r="13" spans="1:21" s="484" customFormat="1" ht="19.5" customHeight="1">
      <c r="A13" s="479"/>
      <c r="B13" s="479"/>
      <c r="C13" s="93"/>
      <c r="D13" s="480" t="s">
        <v>584</v>
      </c>
      <c r="E13" s="58">
        <v>1100</v>
      </c>
      <c r="F13" s="58">
        <f aca="true" t="shared" si="0" ref="F13:F22">SUM(H13:Q13)</f>
        <v>900</v>
      </c>
      <c r="G13" s="58">
        <f aca="true" t="shared" si="1" ref="G13:G78">SUM(E13:F13)</f>
        <v>2000</v>
      </c>
      <c r="H13" s="58"/>
      <c r="I13" s="58"/>
      <c r="J13" s="58"/>
      <c r="K13" s="170">
        <v>1000</v>
      </c>
      <c r="L13" s="58"/>
      <c r="M13" s="58"/>
      <c r="N13" s="486">
        <v>-100</v>
      </c>
      <c r="O13" s="58"/>
      <c r="P13" s="58"/>
      <c r="Q13" s="170"/>
      <c r="R13" s="58">
        <v>1999.5</v>
      </c>
      <c r="S13" s="483">
        <f aca="true" t="shared" si="2" ref="S13:S22">R13/G13</f>
        <v>0.99975</v>
      </c>
      <c r="T13" s="58">
        <f aca="true" t="shared" si="3" ref="T13:T22">G13-R13</f>
        <v>0.5</v>
      </c>
      <c r="U13" s="483">
        <f aca="true" t="shared" si="4" ref="U13:U22">T13/G13</f>
        <v>0.00025</v>
      </c>
    </row>
    <row r="14" spans="1:21" s="484" customFormat="1" ht="19.5" customHeight="1">
      <c r="A14" s="479"/>
      <c r="B14" s="479"/>
      <c r="C14" s="93"/>
      <c r="D14" s="480" t="s">
        <v>585</v>
      </c>
      <c r="E14" s="58">
        <v>6240</v>
      </c>
      <c r="F14" s="58">
        <f t="shared" si="0"/>
        <v>-6240</v>
      </c>
      <c r="G14" s="58">
        <f t="shared" si="1"/>
        <v>0</v>
      </c>
      <c r="H14" s="58"/>
      <c r="I14" s="58"/>
      <c r="J14" s="58"/>
      <c r="K14" s="58"/>
      <c r="L14" s="485">
        <v>-6240</v>
      </c>
      <c r="M14" s="58"/>
      <c r="N14" s="58"/>
      <c r="O14" s="58"/>
      <c r="P14" s="58"/>
      <c r="Q14" s="170"/>
      <c r="R14" s="482">
        <v>0</v>
      </c>
      <c r="S14" s="483">
        <v>0</v>
      </c>
      <c r="T14" s="58">
        <f>G14-R14</f>
        <v>0</v>
      </c>
      <c r="U14" s="483"/>
    </row>
    <row r="15" spans="1:21" s="484" customFormat="1" ht="19.5" customHeight="1">
      <c r="A15" s="479"/>
      <c r="B15" s="479"/>
      <c r="C15" s="93"/>
      <c r="D15" s="480" t="s">
        <v>586</v>
      </c>
      <c r="E15" s="58">
        <v>6000</v>
      </c>
      <c r="F15" s="58">
        <f t="shared" si="0"/>
        <v>0</v>
      </c>
      <c r="G15" s="58">
        <f t="shared" si="1"/>
        <v>6000</v>
      </c>
      <c r="H15" s="58"/>
      <c r="I15" s="58"/>
      <c r="J15" s="58"/>
      <c r="K15" s="58"/>
      <c r="L15" s="58"/>
      <c r="M15" s="58"/>
      <c r="N15" s="58"/>
      <c r="O15" s="58"/>
      <c r="P15" s="58"/>
      <c r="Q15" s="170"/>
      <c r="R15" s="58">
        <v>5999.72</v>
      </c>
      <c r="S15" s="483">
        <f t="shared" si="2"/>
        <v>0.9999533333333334</v>
      </c>
      <c r="T15" s="58">
        <f t="shared" si="3"/>
        <v>0.27999999999974534</v>
      </c>
      <c r="U15" s="483">
        <f t="shared" si="4"/>
        <v>4.6666666666624225E-05</v>
      </c>
    </row>
    <row r="16" spans="1:21" s="484" customFormat="1" ht="19.5" customHeight="1">
      <c r="A16" s="479"/>
      <c r="B16" s="479"/>
      <c r="C16" s="93"/>
      <c r="D16" s="480" t="s">
        <v>587</v>
      </c>
      <c r="E16" s="58">
        <v>1000</v>
      </c>
      <c r="F16" s="58">
        <f t="shared" si="0"/>
        <v>0</v>
      </c>
      <c r="G16" s="58">
        <f t="shared" si="1"/>
        <v>1000</v>
      </c>
      <c r="H16" s="58"/>
      <c r="I16" s="58"/>
      <c r="J16" s="58"/>
      <c r="K16" s="58"/>
      <c r="L16" s="58"/>
      <c r="M16" s="58"/>
      <c r="N16" s="58"/>
      <c r="O16" s="58"/>
      <c r="P16" s="58"/>
      <c r="Q16" s="170"/>
      <c r="R16" s="58">
        <v>1000</v>
      </c>
      <c r="S16" s="483">
        <f t="shared" si="2"/>
        <v>1</v>
      </c>
      <c r="T16" s="58">
        <f t="shared" si="3"/>
        <v>0</v>
      </c>
      <c r="U16" s="483">
        <f t="shared" si="4"/>
        <v>0</v>
      </c>
    </row>
    <row r="17" spans="1:21" s="484" customFormat="1" ht="19.5" customHeight="1">
      <c r="A17" s="479"/>
      <c r="B17" s="479"/>
      <c r="C17" s="93"/>
      <c r="D17" s="480" t="s">
        <v>588</v>
      </c>
      <c r="E17" s="58">
        <v>8745</v>
      </c>
      <c r="F17" s="58">
        <f t="shared" si="0"/>
        <v>927</v>
      </c>
      <c r="G17" s="58">
        <f t="shared" si="1"/>
        <v>9672</v>
      </c>
      <c r="H17" s="58"/>
      <c r="I17" s="58"/>
      <c r="J17" s="58"/>
      <c r="K17" s="58"/>
      <c r="L17" s="58"/>
      <c r="M17" s="58"/>
      <c r="N17" s="170">
        <v>927</v>
      </c>
      <c r="O17" s="58"/>
      <c r="P17" s="58"/>
      <c r="Q17" s="170"/>
      <c r="R17" s="58">
        <v>9637.4</v>
      </c>
      <c r="S17" s="483">
        <f t="shared" si="2"/>
        <v>0.9964226633581472</v>
      </c>
      <c r="T17" s="58">
        <f t="shared" si="3"/>
        <v>34.600000000000364</v>
      </c>
      <c r="U17" s="483">
        <f t="shared" si="4"/>
        <v>0.0035773366418528083</v>
      </c>
    </row>
    <row r="18" spans="1:21" s="484" customFormat="1" ht="19.5" customHeight="1">
      <c r="A18" s="479"/>
      <c r="B18" s="479"/>
      <c r="C18" s="93"/>
      <c r="D18" s="480" t="s">
        <v>589</v>
      </c>
      <c r="E18" s="58">
        <v>5180</v>
      </c>
      <c r="F18" s="58">
        <f t="shared" si="0"/>
        <v>0</v>
      </c>
      <c r="G18" s="58">
        <f t="shared" si="1"/>
        <v>5180</v>
      </c>
      <c r="H18" s="58"/>
      <c r="I18" s="58"/>
      <c r="J18" s="58"/>
      <c r="K18" s="58"/>
      <c r="L18" s="58"/>
      <c r="M18" s="58"/>
      <c r="N18" s="58"/>
      <c r="O18" s="58"/>
      <c r="P18" s="58"/>
      <c r="Q18" s="170"/>
      <c r="R18" s="58">
        <v>5148.52</v>
      </c>
      <c r="S18" s="483">
        <f t="shared" si="2"/>
        <v>0.99392277992278</v>
      </c>
      <c r="T18" s="58">
        <f t="shared" si="3"/>
        <v>31.479999999999563</v>
      </c>
      <c r="U18" s="483">
        <f t="shared" si="4"/>
        <v>0.006077220077219993</v>
      </c>
    </row>
    <row r="19" spans="1:21" s="484" customFormat="1" ht="19.5" customHeight="1">
      <c r="A19" s="479"/>
      <c r="B19" s="479"/>
      <c r="C19" s="93"/>
      <c r="D19" s="480" t="s">
        <v>590</v>
      </c>
      <c r="E19" s="58">
        <v>14500</v>
      </c>
      <c r="F19" s="58">
        <f t="shared" si="0"/>
        <v>916</v>
      </c>
      <c r="G19" s="58">
        <f t="shared" si="1"/>
        <v>15416</v>
      </c>
      <c r="H19" s="58"/>
      <c r="I19" s="58"/>
      <c r="J19" s="58">
        <v>300</v>
      </c>
      <c r="K19" s="58"/>
      <c r="L19" s="58"/>
      <c r="M19" s="58"/>
      <c r="N19" s="58"/>
      <c r="O19" s="170">
        <v>616</v>
      </c>
      <c r="P19" s="58"/>
      <c r="Q19" s="170"/>
      <c r="R19" s="58">
        <v>15412.41</v>
      </c>
      <c r="S19" s="483">
        <f t="shared" si="2"/>
        <v>0.9997671250648676</v>
      </c>
      <c r="T19" s="58">
        <f t="shared" si="3"/>
        <v>3.5900000000001455</v>
      </c>
      <c r="U19" s="483">
        <f t="shared" si="4"/>
        <v>0.00023287493513233948</v>
      </c>
    </row>
    <row r="20" spans="1:21" s="484" customFormat="1" ht="19.5" customHeight="1">
      <c r="A20" s="479"/>
      <c r="B20" s="479"/>
      <c r="C20" s="93"/>
      <c r="D20" s="480" t="s">
        <v>591</v>
      </c>
      <c r="E20" s="58">
        <v>1440</v>
      </c>
      <c r="F20" s="58">
        <f t="shared" si="0"/>
        <v>-1440</v>
      </c>
      <c r="G20" s="58">
        <f t="shared" si="1"/>
        <v>0</v>
      </c>
      <c r="H20" s="58"/>
      <c r="I20" s="58"/>
      <c r="J20" s="58"/>
      <c r="K20" s="486">
        <v>-1440</v>
      </c>
      <c r="L20" s="58"/>
      <c r="M20" s="58"/>
      <c r="N20" s="58"/>
      <c r="O20" s="58"/>
      <c r="P20" s="58"/>
      <c r="Q20" s="170"/>
      <c r="R20" s="58">
        <v>0</v>
      </c>
      <c r="S20" s="483">
        <v>0</v>
      </c>
      <c r="T20" s="58">
        <f t="shared" si="3"/>
        <v>0</v>
      </c>
      <c r="U20" s="483"/>
    </row>
    <row r="21" spans="1:21" s="484" customFormat="1" ht="19.5" customHeight="1">
      <c r="A21" s="479"/>
      <c r="B21" s="479"/>
      <c r="C21" s="93"/>
      <c r="D21" s="480" t="s">
        <v>592</v>
      </c>
      <c r="E21" s="58">
        <v>600</v>
      </c>
      <c r="F21" s="58">
        <f t="shared" si="0"/>
        <v>0</v>
      </c>
      <c r="G21" s="58">
        <f t="shared" si="1"/>
        <v>600</v>
      </c>
      <c r="H21" s="58"/>
      <c r="I21" s="58"/>
      <c r="J21" s="58"/>
      <c r="K21" s="58"/>
      <c r="L21" s="58"/>
      <c r="M21" s="58"/>
      <c r="N21" s="58"/>
      <c r="O21" s="58"/>
      <c r="P21" s="58"/>
      <c r="Q21" s="170"/>
      <c r="R21" s="58">
        <v>600</v>
      </c>
      <c r="S21" s="483">
        <f t="shared" si="2"/>
        <v>1</v>
      </c>
      <c r="T21" s="58">
        <f t="shared" si="3"/>
        <v>0</v>
      </c>
      <c r="U21" s="483">
        <f t="shared" si="4"/>
        <v>0</v>
      </c>
    </row>
    <row r="22" spans="1:21" s="484" customFormat="1" ht="19.5" customHeight="1">
      <c r="A22" s="479"/>
      <c r="B22" s="479"/>
      <c r="C22" s="93"/>
      <c r="D22" s="480" t="s">
        <v>593</v>
      </c>
      <c r="E22" s="58">
        <v>5920</v>
      </c>
      <c r="F22" s="58">
        <f t="shared" si="0"/>
        <v>0</v>
      </c>
      <c r="G22" s="58">
        <f t="shared" si="1"/>
        <v>5920</v>
      </c>
      <c r="H22" s="58"/>
      <c r="I22" s="58"/>
      <c r="J22" s="58"/>
      <c r="K22" s="58"/>
      <c r="L22" s="58"/>
      <c r="M22" s="58"/>
      <c r="N22" s="58"/>
      <c r="O22" s="58"/>
      <c r="P22" s="58"/>
      <c r="Q22" s="170"/>
      <c r="R22" s="58">
        <v>5733.51</v>
      </c>
      <c r="S22" s="483">
        <f t="shared" si="2"/>
        <v>0.9684983108108108</v>
      </c>
      <c r="T22" s="58">
        <f t="shared" si="3"/>
        <v>186.48999999999978</v>
      </c>
      <c r="U22" s="483">
        <f t="shared" si="4"/>
        <v>0.03150168918918915</v>
      </c>
    </row>
    <row r="23" spans="1:21" s="101" customFormat="1" ht="19.5" customHeight="1">
      <c r="A23" s="76"/>
      <c r="B23" s="59"/>
      <c r="C23" s="76">
        <v>4300</v>
      </c>
      <c r="D23" s="16" t="s">
        <v>76</v>
      </c>
      <c r="E23" s="87">
        <f>SUM(E24,E25,E26,E27,E28,E29,E30,E31,E32,E33)</f>
        <v>21800</v>
      </c>
      <c r="F23" s="87">
        <f>SUM(F24,F25,F26,F27,F28,F29,F30,F31,F32,F33)</f>
        <v>5360</v>
      </c>
      <c r="G23" s="87">
        <f>SUM(E23:F23)</f>
        <v>27160</v>
      </c>
      <c r="H23" s="87"/>
      <c r="I23" s="87"/>
      <c r="J23" s="87"/>
      <c r="K23" s="87"/>
      <c r="L23" s="87"/>
      <c r="M23" s="87"/>
      <c r="N23" s="87"/>
      <c r="O23" s="87"/>
      <c r="P23" s="87"/>
      <c r="Q23" s="174"/>
      <c r="R23" s="87">
        <f>SUM(R24,R25,R26,R27,R28,R29,R30,R31,R32,R33)</f>
        <v>27003.77</v>
      </c>
      <c r="S23" s="478">
        <f>R23/G23</f>
        <v>0.9942477908689249</v>
      </c>
      <c r="T23" s="87">
        <f>G23-R23</f>
        <v>156.22999999999956</v>
      </c>
      <c r="U23" s="478">
        <f>T23/G23</f>
        <v>0.005752209131075095</v>
      </c>
    </row>
    <row r="24" spans="1:21" s="484" customFormat="1" ht="19.5" customHeight="1">
      <c r="A24" s="479"/>
      <c r="B24" s="479"/>
      <c r="C24" s="479"/>
      <c r="D24" s="480" t="s">
        <v>594</v>
      </c>
      <c r="E24" s="58">
        <v>6000</v>
      </c>
      <c r="F24" s="58">
        <f>SUM(H24:Q24)</f>
        <v>-2000</v>
      </c>
      <c r="G24" s="58">
        <f t="shared" si="1"/>
        <v>4000</v>
      </c>
      <c r="H24" s="58"/>
      <c r="I24" s="58"/>
      <c r="J24" s="58"/>
      <c r="K24" s="58"/>
      <c r="L24" s="58"/>
      <c r="M24" s="58">
        <v>-2000</v>
      </c>
      <c r="N24" s="58"/>
      <c r="O24" s="58"/>
      <c r="P24" s="58"/>
      <c r="Q24" s="170"/>
      <c r="R24" s="58">
        <v>4000</v>
      </c>
      <c r="S24" s="483">
        <f>R24/G24</f>
        <v>1</v>
      </c>
      <c r="T24" s="58">
        <f>G24-R24</f>
        <v>0</v>
      </c>
      <c r="U24" s="483">
        <f>T24/G24</f>
        <v>0</v>
      </c>
    </row>
    <row r="25" spans="1:21" s="484" customFormat="1" ht="19.5" customHeight="1">
      <c r="A25" s="479"/>
      <c r="B25" s="479"/>
      <c r="C25" s="479"/>
      <c r="D25" s="480" t="s">
        <v>582</v>
      </c>
      <c r="E25" s="58">
        <v>0</v>
      </c>
      <c r="F25" s="58">
        <f>SUM(H25:Q25)</f>
        <v>4980</v>
      </c>
      <c r="G25" s="58">
        <f t="shared" si="1"/>
        <v>4980</v>
      </c>
      <c r="H25" s="58"/>
      <c r="I25" s="58"/>
      <c r="J25" s="58"/>
      <c r="K25" s="58"/>
      <c r="L25" s="485">
        <v>4980</v>
      </c>
      <c r="M25" s="58"/>
      <c r="N25" s="58"/>
      <c r="O25" s="58"/>
      <c r="P25" s="58"/>
      <c r="Q25" s="170"/>
      <c r="R25" s="58">
        <v>4953</v>
      </c>
      <c r="S25" s="483">
        <f>R25/G25</f>
        <v>0.994578313253012</v>
      </c>
      <c r="T25" s="58">
        <f>G25-R25</f>
        <v>27</v>
      </c>
      <c r="U25" s="483">
        <f>T25/G25</f>
        <v>0.005421686746987952</v>
      </c>
    </row>
    <row r="26" spans="1:21" s="484" customFormat="1" ht="19.5" customHeight="1">
      <c r="A26" s="479"/>
      <c r="B26" s="479"/>
      <c r="C26" s="479"/>
      <c r="D26" s="480" t="s">
        <v>583</v>
      </c>
      <c r="E26" s="58">
        <v>7000</v>
      </c>
      <c r="F26" s="58">
        <f>SUM(H26:Q26)</f>
        <v>0</v>
      </c>
      <c r="G26" s="58">
        <f t="shared" si="1"/>
        <v>7000</v>
      </c>
      <c r="H26" s="58"/>
      <c r="I26" s="58"/>
      <c r="J26" s="58"/>
      <c r="K26" s="58"/>
      <c r="L26" s="58"/>
      <c r="M26" s="58">
        <v>0</v>
      </c>
      <c r="N26" s="58"/>
      <c r="O26" s="58"/>
      <c r="P26" s="58"/>
      <c r="Q26" s="170"/>
      <c r="R26" s="58">
        <v>6889.34</v>
      </c>
      <c r="S26" s="483">
        <f>R26/G26</f>
        <v>0.9841914285714286</v>
      </c>
      <c r="T26" s="58">
        <f>G26-R26</f>
        <v>110.65999999999985</v>
      </c>
      <c r="U26" s="483">
        <f>T26/G26</f>
        <v>0.015808571428571408</v>
      </c>
    </row>
    <row r="27" spans="1:21" s="484" customFormat="1" ht="19.5" customHeight="1">
      <c r="A27" s="479"/>
      <c r="B27" s="479"/>
      <c r="C27" s="479"/>
      <c r="D27" s="480" t="s">
        <v>595</v>
      </c>
      <c r="E27" s="58">
        <v>3000</v>
      </c>
      <c r="F27" s="58">
        <f aca="true" t="shared" si="5" ref="F27:F33">SUM(H27:Q27)</f>
        <v>-3000</v>
      </c>
      <c r="G27" s="58">
        <f t="shared" si="1"/>
        <v>0</v>
      </c>
      <c r="H27" s="58"/>
      <c r="I27" s="58"/>
      <c r="J27" s="58"/>
      <c r="K27" s="58"/>
      <c r="L27" s="58"/>
      <c r="M27" s="58"/>
      <c r="N27" s="58"/>
      <c r="O27" s="170">
        <v>-3000</v>
      </c>
      <c r="P27" s="58"/>
      <c r="Q27" s="170"/>
      <c r="R27" s="58">
        <v>0</v>
      </c>
      <c r="S27" s="483">
        <v>0</v>
      </c>
      <c r="T27" s="58">
        <f aca="true" t="shared" si="6" ref="T27:T90">G27-R27</f>
        <v>0</v>
      </c>
      <c r="U27" s="483"/>
    </row>
    <row r="28" spans="1:21" s="484" customFormat="1" ht="19.5" customHeight="1">
      <c r="A28" s="479"/>
      <c r="B28" s="479"/>
      <c r="C28" s="479"/>
      <c r="D28" s="480" t="s">
        <v>584</v>
      </c>
      <c r="E28" s="58">
        <v>1000</v>
      </c>
      <c r="F28" s="58">
        <f t="shared" si="5"/>
        <v>-1000</v>
      </c>
      <c r="G28" s="58">
        <f t="shared" si="1"/>
        <v>0</v>
      </c>
      <c r="H28" s="58"/>
      <c r="I28" s="58"/>
      <c r="J28" s="58"/>
      <c r="K28" s="170">
        <v>-1000</v>
      </c>
      <c r="L28" s="58"/>
      <c r="M28" s="58"/>
      <c r="N28" s="58"/>
      <c r="O28" s="58"/>
      <c r="P28" s="58"/>
      <c r="Q28" s="170"/>
      <c r="R28" s="58">
        <v>0</v>
      </c>
      <c r="S28" s="483">
        <v>0</v>
      </c>
      <c r="T28" s="58">
        <f t="shared" si="6"/>
        <v>0</v>
      </c>
      <c r="U28" s="483"/>
    </row>
    <row r="29" spans="1:21" s="484" customFormat="1" ht="19.5" customHeight="1">
      <c r="A29" s="479"/>
      <c r="B29" s="479"/>
      <c r="C29" s="479"/>
      <c r="D29" s="480" t="s">
        <v>585</v>
      </c>
      <c r="E29" s="58">
        <v>0</v>
      </c>
      <c r="F29" s="58">
        <f>SUM(H29:Q29)</f>
        <v>6240</v>
      </c>
      <c r="G29" s="58">
        <f t="shared" si="1"/>
        <v>6240</v>
      </c>
      <c r="H29" s="58"/>
      <c r="I29" s="58"/>
      <c r="J29" s="58"/>
      <c r="K29" s="170"/>
      <c r="L29" s="485">
        <v>6240</v>
      </c>
      <c r="M29" s="58"/>
      <c r="N29" s="58"/>
      <c r="O29" s="58"/>
      <c r="P29" s="58"/>
      <c r="Q29" s="170"/>
      <c r="R29" s="58">
        <v>6222</v>
      </c>
      <c r="S29" s="483">
        <f>R29/G29</f>
        <v>0.9971153846153846</v>
      </c>
      <c r="T29" s="58">
        <f>G29-R29</f>
        <v>18</v>
      </c>
      <c r="U29" s="483">
        <f>T29/G29</f>
        <v>0.0028846153846153848</v>
      </c>
    </row>
    <row r="30" spans="1:21" s="484" customFormat="1" ht="19.5" customHeight="1">
      <c r="A30" s="479"/>
      <c r="B30" s="479"/>
      <c r="C30" s="479"/>
      <c r="D30" s="480" t="s">
        <v>596</v>
      </c>
      <c r="E30" s="58">
        <v>2000</v>
      </c>
      <c r="F30" s="58">
        <f t="shared" si="5"/>
        <v>0</v>
      </c>
      <c r="G30" s="58">
        <f t="shared" si="1"/>
        <v>2000</v>
      </c>
      <c r="H30" s="58"/>
      <c r="I30" s="58"/>
      <c r="J30" s="58"/>
      <c r="K30" s="58"/>
      <c r="L30" s="58"/>
      <c r="M30" s="58"/>
      <c r="N30" s="58"/>
      <c r="O30" s="58"/>
      <c r="P30" s="58"/>
      <c r="Q30" s="170"/>
      <c r="R30" s="58">
        <v>1999.99</v>
      </c>
      <c r="S30" s="483">
        <f>R30/G30</f>
        <v>0.999995</v>
      </c>
      <c r="T30" s="58">
        <f t="shared" si="6"/>
        <v>0.009999999999990905</v>
      </c>
      <c r="U30" s="483">
        <f>T30/G30</f>
        <v>4.999999999995453E-06</v>
      </c>
    </row>
    <row r="31" spans="1:21" s="484" customFormat="1" ht="19.5" customHeight="1">
      <c r="A31" s="479"/>
      <c r="B31" s="479"/>
      <c r="C31" s="479"/>
      <c r="D31" s="480" t="s">
        <v>591</v>
      </c>
      <c r="E31" s="58">
        <v>300</v>
      </c>
      <c r="F31" s="58">
        <f t="shared" si="5"/>
        <v>1140</v>
      </c>
      <c r="G31" s="58">
        <f t="shared" si="1"/>
        <v>1440</v>
      </c>
      <c r="H31" s="58"/>
      <c r="I31" s="58"/>
      <c r="J31" s="58"/>
      <c r="K31" s="486">
        <v>1140</v>
      </c>
      <c r="L31" s="58"/>
      <c r="M31" s="58"/>
      <c r="N31" s="58"/>
      <c r="O31" s="58"/>
      <c r="P31" s="58"/>
      <c r="Q31" s="170"/>
      <c r="R31" s="58">
        <v>1439.44</v>
      </c>
      <c r="S31" s="483">
        <f>R31/G31</f>
        <v>0.9996111111111111</v>
      </c>
      <c r="T31" s="58">
        <f t="shared" si="6"/>
        <v>0.5599999999999454</v>
      </c>
      <c r="U31" s="483">
        <f>T31/G31</f>
        <v>0.000388888888888851</v>
      </c>
    </row>
    <row r="32" spans="1:21" s="484" customFormat="1" ht="19.5" customHeight="1">
      <c r="A32" s="479"/>
      <c r="B32" s="479"/>
      <c r="C32" s="479"/>
      <c r="D32" s="480" t="s">
        <v>597</v>
      </c>
      <c r="E32" s="58">
        <v>1500</v>
      </c>
      <c r="F32" s="58">
        <f t="shared" si="5"/>
        <v>0</v>
      </c>
      <c r="G32" s="58">
        <f t="shared" si="1"/>
        <v>1500</v>
      </c>
      <c r="H32" s="58"/>
      <c r="I32" s="58"/>
      <c r="J32" s="58"/>
      <c r="K32" s="58"/>
      <c r="L32" s="58"/>
      <c r="M32" s="58"/>
      <c r="N32" s="58"/>
      <c r="O32" s="58"/>
      <c r="P32" s="58"/>
      <c r="Q32" s="170"/>
      <c r="R32" s="58">
        <v>1500</v>
      </c>
      <c r="S32" s="483">
        <f>R32/G32</f>
        <v>1</v>
      </c>
      <c r="T32" s="58">
        <f t="shared" si="6"/>
        <v>0</v>
      </c>
      <c r="U32" s="483">
        <f>T32/G32</f>
        <v>0</v>
      </c>
    </row>
    <row r="33" spans="1:21" s="484" customFormat="1" ht="19.5" customHeight="1">
      <c r="A33" s="479"/>
      <c r="B33" s="479"/>
      <c r="C33" s="479"/>
      <c r="D33" s="480" t="s">
        <v>598</v>
      </c>
      <c r="E33" s="58">
        <v>1000</v>
      </c>
      <c r="F33" s="58">
        <f t="shared" si="5"/>
        <v>-1000</v>
      </c>
      <c r="G33" s="58">
        <f t="shared" si="1"/>
        <v>0</v>
      </c>
      <c r="H33" s="58"/>
      <c r="I33" s="58"/>
      <c r="J33" s="58"/>
      <c r="K33" s="58"/>
      <c r="L33" s="58"/>
      <c r="M33" s="58"/>
      <c r="N33" s="58"/>
      <c r="O33" s="58"/>
      <c r="P33" s="170">
        <v>-1000</v>
      </c>
      <c r="Q33" s="170"/>
      <c r="R33" s="58">
        <v>0</v>
      </c>
      <c r="S33" s="483">
        <v>0</v>
      </c>
      <c r="T33" s="58">
        <f t="shared" si="6"/>
        <v>0</v>
      </c>
      <c r="U33" s="483"/>
    </row>
    <row r="34" spans="1:21" s="101" customFormat="1" ht="24" customHeight="1">
      <c r="A34" s="76"/>
      <c r="B34" s="59"/>
      <c r="C34" s="76">
        <v>6050</v>
      </c>
      <c r="D34" s="16" t="s">
        <v>70</v>
      </c>
      <c r="E34" s="87">
        <f>SUM(E35,E36,E37)</f>
        <v>35920</v>
      </c>
      <c r="F34" s="87">
        <f>SUM(F35,F36,F37)</f>
        <v>3222</v>
      </c>
      <c r="G34" s="87">
        <f t="shared" si="1"/>
        <v>39142</v>
      </c>
      <c r="H34" s="87"/>
      <c r="I34" s="87"/>
      <c r="J34" s="87"/>
      <c r="K34" s="87"/>
      <c r="L34" s="87"/>
      <c r="M34" s="87"/>
      <c r="N34" s="87"/>
      <c r="O34" s="87"/>
      <c r="P34" s="87"/>
      <c r="Q34" s="174"/>
      <c r="R34" s="87">
        <f>SUM(R35,R36,R37)</f>
        <v>39136</v>
      </c>
      <c r="S34" s="478">
        <f aca="true" t="shared" si="7" ref="S34:S96">R34/G34</f>
        <v>0.999846711971795</v>
      </c>
      <c r="T34" s="87">
        <f t="shared" si="6"/>
        <v>6</v>
      </c>
      <c r="U34" s="478">
        <f aca="true" t="shared" si="8" ref="U34:U96">T34/G34</f>
        <v>0.0001532880282049972</v>
      </c>
    </row>
    <row r="35" spans="1:21" s="484" customFormat="1" ht="19.5" customHeight="1">
      <c r="A35" s="479"/>
      <c r="B35" s="479"/>
      <c r="C35" s="479"/>
      <c r="D35" s="480" t="s">
        <v>594</v>
      </c>
      <c r="E35" s="58">
        <v>14120</v>
      </c>
      <c r="F35" s="58">
        <f>SUM(H35:Q35)</f>
        <v>0</v>
      </c>
      <c r="G35" s="58">
        <f t="shared" si="1"/>
        <v>14120</v>
      </c>
      <c r="H35" s="58"/>
      <c r="I35" s="58"/>
      <c r="J35" s="58"/>
      <c r="K35" s="58"/>
      <c r="L35" s="58"/>
      <c r="M35" s="58"/>
      <c r="N35" s="58"/>
      <c r="O35" s="58"/>
      <c r="P35" s="58"/>
      <c r="Q35" s="170"/>
      <c r="R35" s="58">
        <v>14120</v>
      </c>
      <c r="S35" s="483">
        <f t="shared" si="7"/>
        <v>1</v>
      </c>
      <c r="T35" s="58">
        <f t="shared" si="6"/>
        <v>0</v>
      </c>
      <c r="U35" s="483">
        <f t="shared" si="8"/>
        <v>0</v>
      </c>
    </row>
    <row r="36" spans="1:21" s="484" customFormat="1" ht="19.5" customHeight="1">
      <c r="A36" s="479"/>
      <c r="B36" s="479"/>
      <c r="C36" s="479"/>
      <c r="D36" s="480" t="s">
        <v>596</v>
      </c>
      <c r="E36" s="58">
        <v>3800</v>
      </c>
      <c r="F36" s="58">
        <f>SUM(H36:Q36)</f>
        <v>3222</v>
      </c>
      <c r="G36" s="58">
        <f t="shared" si="1"/>
        <v>7022</v>
      </c>
      <c r="H36" s="58"/>
      <c r="I36" s="58"/>
      <c r="J36" s="58"/>
      <c r="K36" s="58"/>
      <c r="L36" s="58"/>
      <c r="M36" s="58"/>
      <c r="N36" s="58">
        <v>3222</v>
      </c>
      <c r="O36" s="58"/>
      <c r="P36" s="58"/>
      <c r="Q36" s="170"/>
      <c r="R36" s="58">
        <v>7016</v>
      </c>
      <c r="S36" s="483">
        <f t="shared" si="7"/>
        <v>0.9991455425804614</v>
      </c>
      <c r="T36" s="58">
        <f t="shared" si="6"/>
        <v>6</v>
      </c>
      <c r="U36" s="483">
        <f t="shared" si="8"/>
        <v>0.000854457419538593</v>
      </c>
    </row>
    <row r="37" spans="1:21" s="484" customFormat="1" ht="19.5" customHeight="1">
      <c r="A37" s="479"/>
      <c r="B37" s="479"/>
      <c r="C37" s="479"/>
      <c r="D37" s="480" t="s">
        <v>590</v>
      </c>
      <c r="E37" s="58">
        <v>18000</v>
      </c>
      <c r="F37" s="58">
        <f>SUM(H37:Q37)</f>
        <v>0</v>
      </c>
      <c r="G37" s="58">
        <f t="shared" si="1"/>
        <v>18000</v>
      </c>
      <c r="H37" s="58"/>
      <c r="I37" s="58"/>
      <c r="J37" s="58"/>
      <c r="K37" s="58"/>
      <c r="L37" s="58"/>
      <c r="M37" s="58"/>
      <c r="N37" s="58"/>
      <c r="O37" s="58"/>
      <c r="P37" s="58"/>
      <c r="Q37" s="170"/>
      <c r="R37" s="58">
        <v>18000</v>
      </c>
      <c r="S37" s="483">
        <f t="shared" si="7"/>
        <v>1</v>
      </c>
      <c r="T37" s="58">
        <f t="shared" si="6"/>
        <v>0</v>
      </c>
      <c r="U37" s="483">
        <f t="shared" si="8"/>
        <v>0</v>
      </c>
    </row>
    <row r="38" spans="1:21" s="101" customFormat="1" ht="30" customHeight="1">
      <c r="A38" s="76"/>
      <c r="B38" s="59"/>
      <c r="C38" s="76">
        <v>6060</v>
      </c>
      <c r="D38" s="16" t="s">
        <v>90</v>
      </c>
      <c r="E38" s="87">
        <f>SUM(E39)</f>
        <v>15000</v>
      </c>
      <c r="F38" s="87">
        <f>SUM(F39)</f>
        <v>-848</v>
      </c>
      <c r="G38" s="87">
        <f t="shared" si="1"/>
        <v>14152</v>
      </c>
      <c r="H38" s="87"/>
      <c r="I38" s="87"/>
      <c r="J38" s="87"/>
      <c r="K38" s="87"/>
      <c r="L38" s="87"/>
      <c r="M38" s="87"/>
      <c r="N38" s="87"/>
      <c r="O38" s="87"/>
      <c r="P38" s="87"/>
      <c r="Q38" s="174"/>
      <c r="R38" s="87">
        <f>SUM(R39)</f>
        <v>14152</v>
      </c>
      <c r="S38" s="478">
        <f t="shared" si="7"/>
        <v>1</v>
      </c>
      <c r="T38" s="87">
        <f t="shared" si="6"/>
        <v>0</v>
      </c>
      <c r="U38" s="478">
        <f t="shared" si="8"/>
        <v>0</v>
      </c>
    </row>
    <row r="39" spans="1:21" s="484" customFormat="1" ht="19.5" customHeight="1">
      <c r="A39" s="479"/>
      <c r="B39" s="479"/>
      <c r="C39" s="93"/>
      <c r="D39" s="480" t="s">
        <v>599</v>
      </c>
      <c r="E39" s="58">
        <v>15000</v>
      </c>
      <c r="F39" s="58">
        <f>SUM(H39:Q39)</f>
        <v>-848</v>
      </c>
      <c r="G39" s="58">
        <f t="shared" si="1"/>
        <v>14152</v>
      </c>
      <c r="H39" s="58"/>
      <c r="I39" s="58"/>
      <c r="J39" s="58"/>
      <c r="K39" s="58"/>
      <c r="L39" s="58"/>
      <c r="M39" s="58"/>
      <c r="N39" s="486">
        <v>-848</v>
      </c>
      <c r="O39" s="58"/>
      <c r="P39" s="58"/>
      <c r="Q39" s="170"/>
      <c r="R39" s="58">
        <v>14152</v>
      </c>
      <c r="S39" s="483">
        <f t="shared" si="7"/>
        <v>1</v>
      </c>
      <c r="T39" s="58">
        <f t="shared" si="6"/>
        <v>0</v>
      </c>
      <c r="U39" s="483">
        <f t="shared" si="8"/>
        <v>0</v>
      </c>
    </row>
    <row r="40" spans="1:21" s="67" customFormat="1" ht="22.5" customHeight="1">
      <c r="A40" s="37">
        <v>700</v>
      </c>
      <c r="B40" s="6"/>
      <c r="C40" s="6"/>
      <c r="D40" s="24" t="s">
        <v>9</v>
      </c>
      <c r="E40" s="21">
        <f>SUM(E41)</f>
        <v>580</v>
      </c>
      <c r="F40" s="21">
        <f>SUM(F41)</f>
        <v>48</v>
      </c>
      <c r="G40" s="21">
        <f t="shared" si="1"/>
        <v>628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88"/>
      <c r="R40" s="213">
        <f>SUM(R41)</f>
        <v>566.3399999999999</v>
      </c>
      <c r="S40" s="476">
        <f t="shared" si="7"/>
        <v>0.9018152866242037</v>
      </c>
      <c r="T40" s="118">
        <f t="shared" si="6"/>
        <v>61.66000000000008</v>
      </c>
      <c r="U40" s="477">
        <f t="shared" si="8"/>
        <v>0.0981847133757963</v>
      </c>
    </row>
    <row r="41" spans="1:21" s="101" customFormat="1" ht="19.5" customHeight="1">
      <c r="A41" s="487"/>
      <c r="B41" s="76">
        <v>70095</v>
      </c>
      <c r="C41" s="59"/>
      <c r="D41" s="16" t="s">
        <v>6</v>
      </c>
      <c r="E41" s="87">
        <f>SUM(E42,E44)</f>
        <v>580</v>
      </c>
      <c r="F41" s="87">
        <f>SUM(F42,F44)</f>
        <v>48</v>
      </c>
      <c r="G41" s="87">
        <f t="shared" si="1"/>
        <v>628</v>
      </c>
      <c r="H41" s="87"/>
      <c r="I41" s="87"/>
      <c r="J41" s="87"/>
      <c r="K41" s="87"/>
      <c r="L41" s="87"/>
      <c r="M41" s="87"/>
      <c r="N41" s="87"/>
      <c r="O41" s="87"/>
      <c r="P41" s="87"/>
      <c r="Q41" s="174"/>
      <c r="R41" s="87">
        <f>SUM(R42,R44)</f>
        <v>566.3399999999999</v>
      </c>
      <c r="S41" s="478">
        <f t="shared" si="7"/>
        <v>0.9018152866242037</v>
      </c>
      <c r="T41" s="87">
        <f t="shared" si="6"/>
        <v>61.66000000000008</v>
      </c>
      <c r="U41" s="478">
        <f t="shared" si="8"/>
        <v>0.0981847133757963</v>
      </c>
    </row>
    <row r="42" spans="1:21" s="101" customFormat="1" ht="20.25" customHeight="1">
      <c r="A42" s="59"/>
      <c r="B42" s="76"/>
      <c r="C42" s="76">
        <v>4260</v>
      </c>
      <c r="D42" s="16" t="s">
        <v>89</v>
      </c>
      <c r="E42" s="87">
        <f>SUM(E43)</f>
        <v>500</v>
      </c>
      <c r="F42" s="87">
        <f>SUM(F43)</f>
        <v>55</v>
      </c>
      <c r="G42" s="87">
        <f t="shared" si="1"/>
        <v>555</v>
      </c>
      <c r="H42" s="87"/>
      <c r="I42" s="87"/>
      <c r="J42" s="87"/>
      <c r="K42" s="87"/>
      <c r="L42" s="87"/>
      <c r="M42" s="87"/>
      <c r="N42" s="87"/>
      <c r="O42" s="87"/>
      <c r="P42" s="87"/>
      <c r="Q42" s="174"/>
      <c r="R42" s="87">
        <f>SUM(R43)</f>
        <v>493.84</v>
      </c>
      <c r="S42" s="478">
        <f t="shared" si="7"/>
        <v>0.8898018018018018</v>
      </c>
      <c r="T42" s="87">
        <f t="shared" si="6"/>
        <v>61.160000000000025</v>
      </c>
      <c r="U42" s="478">
        <f t="shared" si="8"/>
        <v>0.11019819819819825</v>
      </c>
    </row>
    <row r="43" spans="1:21" s="484" customFormat="1" ht="19.5" customHeight="1">
      <c r="A43" s="479"/>
      <c r="B43" s="479"/>
      <c r="C43" s="479"/>
      <c r="D43" s="480" t="s">
        <v>597</v>
      </c>
      <c r="E43" s="58">
        <v>500</v>
      </c>
      <c r="F43" s="58">
        <f>SUM(H43:Q43)</f>
        <v>55</v>
      </c>
      <c r="G43" s="58">
        <f t="shared" si="1"/>
        <v>555</v>
      </c>
      <c r="H43" s="58"/>
      <c r="I43" s="58"/>
      <c r="J43" s="58"/>
      <c r="K43" s="58"/>
      <c r="L43" s="58"/>
      <c r="M43" s="58"/>
      <c r="N43" s="58"/>
      <c r="O43" s="58"/>
      <c r="P43" s="170">
        <v>55</v>
      </c>
      <c r="Q43" s="170"/>
      <c r="R43" s="58">
        <v>493.84</v>
      </c>
      <c r="S43" s="483">
        <f t="shared" si="7"/>
        <v>0.8898018018018018</v>
      </c>
      <c r="T43" s="58">
        <f t="shared" si="6"/>
        <v>61.160000000000025</v>
      </c>
      <c r="U43" s="483">
        <f t="shared" si="8"/>
        <v>0.11019819819819825</v>
      </c>
    </row>
    <row r="44" spans="1:21" s="101" customFormat="1" ht="23.25" customHeight="1">
      <c r="A44" s="479"/>
      <c r="B44" s="479"/>
      <c r="C44" s="76">
        <v>4300</v>
      </c>
      <c r="D44" s="16" t="s">
        <v>76</v>
      </c>
      <c r="E44" s="87">
        <f>SUM(E45)</f>
        <v>80</v>
      </c>
      <c r="F44" s="87">
        <f>SUM(F45)</f>
        <v>-7</v>
      </c>
      <c r="G44" s="87">
        <f t="shared" si="1"/>
        <v>73</v>
      </c>
      <c r="H44" s="87"/>
      <c r="I44" s="87"/>
      <c r="J44" s="87"/>
      <c r="K44" s="87"/>
      <c r="L44" s="87"/>
      <c r="M44" s="87"/>
      <c r="N44" s="87"/>
      <c r="O44" s="87"/>
      <c r="P44" s="87"/>
      <c r="Q44" s="174"/>
      <c r="R44" s="87">
        <f>SUM(R45)</f>
        <v>72.5</v>
      </c>
      <c r="S44" s="478">
        <f t="shared" si="7"/>
        <v>0.9931506849315068</v>
      </c>
      <c r="T44" s="87">
        <f t="shared" si="6"/>
        <v>0.5</v>
      </c>
      <c r="U44" s="478">
        <f t="shared" si="8"/>
        <v>0.00684931506849315</v>
      </c>
    </row>
    <row r="45" spans="1:21" s="484" customFormat="1" ht="19.5" customHeight="1">
      <c r="A45" s="479"/>
      <c r="B45" s="479"/>
      <c r="C45" s="479"/>
      <c r="D45" s="480" t="s">
        <v>597</v>
      </c>
      <c r="E45" s="58">
        <v>80</v>
      </c>
      <c r="F45" s="58">
        <f>SUM(H45:Q45)</f>
        <v>-7</v>
      </c>
      <c r="G45" s="58">
        <f t="shared" si="1"/>
        <v>73</v>
      </c>
      <c r="H45" s="58"/>
      <c r="I45" s="58"/>
      <c r="J45" s="58"/>
      <c r="K45" s="58"/>
      <c r="L45" s="58"/>
      <c r="M45" s="58"/>
      <c r="N45" s="58"/>
      <c r="O45" s="58"/>
      <c r="P45" s="486">
        <v>-7</v>
      </c>
      <c r="Q45" s="170"/>
      <c r="R45" s="58">
        <v>72.5</v>
      </c>
      <c r="S45" s="483">
        <f t="shared" si="7"/>
        <v>0.9931506849315068</v>
      </c>
      <c r="T45" s="58">
        <f t="shared" si="6"/>
        <v>0.5</v>
      </c>
      <c r="U45" s="483">
        <f t="shared" si="8"/>
        <v>0.00684931506849315</v>
      </c>
    </row>
    <row r="46" spans="1:21" s="67" customFormat="1" ht="22.5" customHeight="1">
      <c r="A46" s="37">
        <v>710</v>
      </c>
      <c r="B46" s="6"/>
      <c r="C46" s="6"/>
      <c r="D46" s="24" t="s">
        <v>77</v>
      </c>
      <c r="E46" s="21">
        <f>SUM(E47)</f>
        <v>500</v>
      </c>
      <c r="F46" s="21">
        <f>SUM(F47)</f>
        <v>-167</v>
      </c>
      <c r="G46" s="21">
        <f t="shared" si="1"/>
        <v>333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88"/>
      <c r="R46" s="213">
        <f>SUM(R47)</f>
        <v>232.6</v>
      </c>
      <c r="S46" s="476">
        <f t="shared" si="7"/>
        <v>0.6984984984984984</v>
      </c>
      <c r="T46" s="118">
        <f t="shared" si="6"/>
        <v>100.4</v>
      </c>
      <c r="U46" s="477">
        <f t="shared" si="8"/>
        <v>0.3015015015015015</v>
      </c>
    </row>
    <row r="47" spans="1:21" s="101" customFormat="1" ht="20.25" customHeight="1">
      <c r="A47" s="59"/>
      <c r="B47" s="76">
        <v>71035</v>
      </c>
      <c r="C47" s="59"/>
      <c r="D47" s="16" t="s">
        <v>13</v>
      </c>
      <c r="E47" s="87">
        <f>SUM(E48)</f>
        <v>500</v>
      </c>
      <c r="F47" s="87">
        <f>SUM(F48)</f>
        <v>-167</v>
      </c>
      <c r="G47" s="87">
        <f t="shared" si="1"/>
        <v>333</v>
      </c>
      <c r="H47" s="87"/>
      <c r="I47" s="87"/>
      <c r="J47" s="87"/>
      <c r="K47" s="87"/>
      <c r="L47" s="87"/>
      <c r="M47" s="87"/>
      <c r="N47" s="87"/>
      <c r="O47" s="87"/>
      <c r="P47" s="87"/>
      <c r="Q47" s="174"/>
      <c r="R47" s="87">
        <f>SUM(R48)</f>
        <v>232.6</v>
      </c>
      <c r="S47" s="478">
        <f t="shared" si="7"/>
        <v>0.6984984984984984</v>
      </c>
      <c r="T47" s="87">
        <f t="shared" si="6"/>
        <v>100.4</v>
      </c>
      <c r="U47" s="478">
        <f t="shared" si="8"/>
        <v>0.3015015015015015</v>
      </c>
    </row>
    <row r="48" spans="1:21" s="101" customFormat="1" ht="22.5" customHeight="1">
      <c r="A48" s="59"/>
      <c r="B48" s="76"/>
      <c r="C48" s="76">
        <v>4260</v>
      </c>
      <c r="D48" s="16" t="s">
        <v>89</v>
      </c>
      <c r="E48" s="87">
        <f>SUM(E49,E50)</f>
        <v>500</v>
      </c>
      <c r="F48" s="87">
        <f>SUM(F49,F50)</f>
        <v>-167</v>
      </c>
      <c r="G48" s="87">
        <f t="shared" si="1"/>
        <v>333</v>
      </c>
      <c r="H48" s="87"/>
      <c r="I48" s="87"/>
      <c r="J48" s="87"/>
      <c r="K48" s="87"/>
      <c r="L48" s="87"/>
      <c r="M48" s="87"/>
      <c r="N48" s="87"/>
      <c r="O48" s="87"/>
      <c r="P48" s="87"/>
      <c r="Q48" s="174"/>
      <c r="R48" s="87">
        <f>SUM(R49,R50)</f>
        <v>232.6</v>
      </c>
      <c r="S48" s="478">
        <f t="shared" si="7"/>
        <v>0.6984984984984984</v>
      </c>
      <c r="T48" s="87">
        <f t="shared" si="6"/>
        <v>100.4</v>
      </c>
      <c r="U48" s="478">
        <f t="shared" si="8"/>
        <v>0.3015015015015015</v>
      </c>
    </row>
    <row r="49" spans="1:21" s="484" customFormat="1" ht="19.5" customHeight="1">
      <c r="A49" s="53"/>
      <c r="B49" s="93"/>
      <c r="C49" s="93"/>
      <c r="D49" s="480" t="s">
        <v>594</v>
      </c>
      <c r="E49" s="58">
        <v>200</v>
      </c>
      <c r="F49" s="58">
        <f>SUM(H49:Q49)</f>
        <v>0</v>
      </c>
      <c r="G49" s="58">
        <f t="shared" si="1"/>
        <v>200</v>
      </c>
      <c r="H49" s="58"/>
      <c r="I49" s="58"/>
      <c r="J49" s="58"/>
      <c r="K49" s="58"/>
      <c r="L49" s="58"/>
      <c r="M49" s="58"/>
      <c r="N49" s="58"/>
      <c r="O49" s="58"/>
      <c r="P49" s="58"/>
      <c r="Q49" s="170"/>
      <c r="R49" s="58">
        <v>100.44</v>
      </c>
      <c r="S49" s="483">
        <f t="shared" si="7"/>
        <v>0.5022</v>
      </c>
      <c r="T49" s="58">
        <f t="shared" si="6"/>
        <v>99.56</v>
      </c>
      <c r="U49" s="483">
        <f t="shared" si="8"/>
        <v>0.4978</v>
      </c>
    </row>
    <row r="50" spans="1:21" s="484" customFormat="1" ht="19.5" customHeight="1">
      <c r="A50" s="479"/>
      <c r="B50" s="479"/>
      <c r="C50" s="479"/>
      <c r="D50" s="480" t="s">
        <v>597</v>
      </c>
      <c r="E50" s="58">
        <v>300</v>
      </c>
      <c r="F50" s="58">
        <f>SUM(H50:Q50)</f>
        <v>-167</v>
      </c>
      <c r="G50" s="58">
        <f t="shared" si="1"/>
        <v>133</v>
      </c>
      <c r="H50" s="488"/>
      <c r="I50" s="58"/>
      <c r="J50" s="58"/>
      <c r="K50" s="58"/>
      <c r="L50" s="58"/>
      <c r="M50" s="58">
        <v>-167</v>
      </c>
      <c r="N50" s="58"/>
      <c r="O50" s="58"/>
      <c r="P50" s="58"/>
      <c r="Q50" s="170"/>
      <c r="R50" s="489">
        <v>132.16</v>
      </c>
      <c r="S50" s="483">
        <f t="shared" si="7"/>
        <v>0.9936842105263157</v>
      </c>
      <c r="T50" s="58">
        <f t="shared" si="6"/>
        <v>0.8400000000000034</v>
      </c>
      <c r="U50" s="483">
        <f t="shared" si="8"/>
        <v>0.006315789473684236</v>
      </c>
    </row>
    <row r="51" spans="1:21" s="67" customFormat="1" ht="22.5" customHeight="1">
      <c r="A51" s="37" t="s">
        <v>14</v>
      </c>
      <c r="B51" s="6"/>
      <c r="C51" s="6"/>
      <c r="D51" s="24" t="s">
        <v>79</v>
      </c>
      <c r="E51" s="21">
        <f>SUM(E52)</f>
        <v>28480</v>
      </c>
      <c r="F51" s="21">
        <f>SUM(F52)</f>
        <v>-2696</v>
      </c>
      <c r="G51" s="21">
        <f t="shared" si="1"/>
        <v>25784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88"/>
      <c r="R51" s="213">
        <f>SUM(R52)</f>
        <v>25623.5</v>
      </c>
      <c r="S51" s="476">
        <f t="shared" si="7"/>
        <v>0.993775209432206</v>
      </c>
      <c r="T51" s="118">
        <f t="shared" si="6"/>
        <v>160.5</v>
      </c>
      <c r="U51" s="477">
        <f t="shared" si="8"/>
        <v>0.006224790567793981</v>
      </c>
    </row>
    <row r="52" spans="1:21" s="101" customFormat="1" ht="20.25" customHeight="1">
      <c r="A52" s="487"/>
      <c r="B52" s="76" t="s">
        <v>600</v>
      </c>
      <c r="C52" s="59"/>
      <c r="D52" s="16" t="s">
        <v>6</v>
      </c>
      <c r="E52" s="87">
        <f>SUM(E53,E74)</f>
        <v>28480</v>
      </c>
      <c r="F52" s="87">
        <f>SUM(F53,F74)</f>
        <v>-2696</v>
      </c>
      <c r="G52" s="87">
        <f t="shared" si="1"/>
        <v>25784</v>
      </c>
      <c r="H52" s="87"/>
      <c r="I52" s="87"/>
      <c r="J52" s="87"/>
      <c r="K52" s="87"/>
      <c r="L52" s="87"/>
      <c r="M52" s="87"/>
      <c r="N52" s="87"/>
      <c r="O52" s="87"/>
      <c r="P52" s="87"/>
      <c r="Q52" s="174"/>
      <c r="R52" s="87">
        <f>SUM(R53,R74)</f>
        <v>25623.5</v>
      </c>
      <c r="S52" s="478">
        <f t="shared" si="7"/>
        <v>0.993775209432206</v>
      </c>
      <c r="T52" s="87">
        <f t="shared" si="6"/>
        <v>160.5</v>
      </c>
      <c r="U52" s="478">
        <f t="shared" si="8"/>
        <v>0.006224790567793981</v>
      </c>
    </row>
    <row r="53" spans="1:21" s="101" customFormat="1" ht="22.5" customHeight="1">
      <c r="A53" s="59"/>
      <c r="B53" s="76"/>
      <c r="C53" s="76" t="s">
        <v>601</v>
      </c>
      <c r="D53" s="16" t="s">
        <v>87</v>
      </c>
      <c r="E53" s="87">
        <f>SUM(E54,E55,E56,E57,E58,E59,E60,E61,E62,E63,E64,E65,E66,E67,E68,E69,E70,E71,E72,E73)</f>
        <v>22980</v>
      </c>
      <c r="F53" s="87">
        <f>SUM(F54,F55,F56,F57,F58,F59,F60,F61,F62,F63,F64,F65,F66,F67,F68,F69,F70,F71,F72,F73)</f>
        <v>-1846</v>
      </c>
      <c r="G53" s="87">
        <f t="shared" si="1"/>
        <v>21134</v>
      </c>
      <c r="H53" s="87"/>
      <c r="I53" s="87"/>
      <c r="J53" s="87"/>
      <c r="K53" s="87"/>
      <c r="L53" s="87"/>
      <c r="M53" s="87"/>
      <c r="N53" s="87"/>
      <c r="O53" s="87"/>
      <c r="P53" s="87"/>
      <c r="Q53" s="174"/>
      <c r="R53" s="87">
        <f>SUM(R54,R55,R56,R57,R58,R59,R60,R61,R62,R63,R64,R65,R66,R67,R68,R69,R70,R71,R72,R73)</f>
        <v>20974.21</v>
      </c>
      <c r="S53" s="478">
        <f t="shared" si="7"/>
        <v>0.9924391975016561</v>
      </c>
      <c r="T53" s="87">
        <f t="shared" si="6"/>
        <v>159.79000000000087</v>
      </c>
      <c r="U53" s="478">
        <f t="shared" si="8"/>
        <v>0.007560802498343942</v>
      </c>
    </row>
    <row r="54" spans="1:21" s="484" customFormat="1" ht="19.5" customHeight="1">
      <c r="A54" s="479"/>
      <c r="B54" s="479"/>
      <c r="C54" s="479"/>
      <c r="D54" s="480" t="s">
        <v>594</v>
      </c>
      <c r="E54" s="58">
        <v>80</v>
      </c>
      <c r="F54" s="58">
        <f>SUM(H54:Q54)</f>
        <v>0</v>
      </c>
      <c r="G54" s="58">
        <f t="shared" si="1"/>
        <v>80</v>
      </c>
      <c r="H54" s="58"/>
      <c r="I54" s="58"/>
      <c r="J54" s="58"/>
      <c r="K54" s="58"/>
      <c r="L54" s="58"/>
      <c r="M54" s="58"/>
      <c r="N54" s="58"/>
      <c r="O54" s="58"/>
      <c r="P54" s="58"/>
      <c r="Q54" s="170"/>
      <c r="R54" s="58">
        <v>77.8</v>
      </c>
      <c r="S54" s="483">
        <f t="shared" si="7"/>
        <v>0.9724999999999999</v>
      </c>
      <c r="T54" s="58">
        <f t="shared" si="6"/>
        <v>2.200000000000003</v>
      </c>
      <c r="U54" s="483">
        <f t="shared" si="8"/>
        <v>0.027500000000000035</v>
      </c>
    </row>
    <row r="55" spans="1:21" s="484" customFormat="1" ht="19.5" customHeight="1">
      <c r="A55" s="479"/>
      <c r="B55" s="479"/>
      <c r="C55" s="479"/>
      <c r="D55" s="480" t="s">
        <v>602</v>
      </c>
      <c r="E55" s="58">
        <v>1800</v>
      </c>
      <c r="F55" s="58">
        <f>SUM(H55:Q55)</f>
        <v>-1022</v>
      </c>
      <c r="G55" s="58">
        <f t="shared" si="1"/>
        <v>778</v>
      </c>
      <c r="H55" s="58"/>
      <c r="I55" s="58"/>
      <c r="J55" s="58"/>
      <c r="K55" s="58"/>
      <c r="L55" s="58"/>
      <c r="M55" s="58">
        <v>-1000</v>
      </c>
      <c r="N55" s="170">
        <v>-22</v>
      </c>
      <c r="O55" s="58"/>
      <c r="P55" s="58"/>
      <c r="Q55" s="170"/>
      <c r="R55" s="58">
        <v>776.6</v>
      </c>
      <c r="S55" s="483">
        <f t="shared" si="7"/>
        <v>0.9982005141388175</v>
      </c>
      <c r="T55" s="58">
        <f t="shared" si="6"/>
        <v>1.3999999999999773</v>
      </c>
      <c r="U55" s="483">
        <f t="shared" si="8"/>
        <v>0.00179948586118249</v>
      </c>
    </row>
    <row r="56" spans="1:21" s="484" customFormat="1" ht="19.5" customHeight="1">
      <c r="A56" s="479"/>
      <c r="B56" s="479"/>
      <c r="C56" s="479"/>
      <c r="D56" s="480" t="s">
        <v>582</v>
      </c>
      <c r="E56" s="58">
        <v>880</v>
      </c>
      <c r="F56" s="58">
        <f aca="true" t="shared" si="9" ref="F56:F73">SUM(H56:Q56)</f>
        <v>-800</v>
      </c>
      <c r="G56" s="58">
        <f t="shared" si="1"/>
        <v>80</v>
      </c>
      <c r="H56" s="58"/>
      <c r="I56" s="58"/>
      <c r="J56" s="58">
        <v>-800</v>
      </c>
      <c r="K56" s="58"/>
      <c r="L56" s="58"/>
      <c r="M56" s="58"/>
      <c r="N56" s="58"/>
      <c r="O56" s="58"/>
      <c r="P56" s="58"/>
      <c r="Q56" s="170"/>
      <c r="R56" s="58">
        <v>77.8</v>
      </c>
      <c r="S56" s="483">
        <f t="shared" si="7"/>
        <v>0.9724999999999999</v>
      </c>
      <c r="T56" s="58">
        <f t="shared" si="6"/>
        <v>2.200000000000003</v>
      </c>
      <c r="U56" s="483">
        <f t="shared" si="8"/>
        <v>0.027500000000000035</v>
      </c>
    </row>
    <row r="57" spans="1:21" s="484" customFormat="1" ht="18.75" customHeight="1">
      <c r="A57" s="479"/>
      <c r="B57" s="479"/>
      <c r="C57" s="479"/>
      <c r="D57" s="480" t="s">
        <v>583</v>
      </c>
      <c r="E57" s="58">
        <v>1500</v>
      </c>
      <c r="F57" s="58">
        <f t="shared" si="9"/>
        <v>400</v>
      </c>
      <c r="G57" s="58">
        <f t="shared" si="1"/>
        <v>1900</v>
      </c>
      <c r="H57" s="58"/>
      <c r="I57" s="58"/>
      <c r="J57" s="58"/>
      <c r="K57" s="58"/>
      <c r="L57" s="58"/>
      <c r="M57" s="58">
        <v>400</v>
      </c>
      <c r="N57" s="58"/>
      <c r="O57" s="58"/>
      <c r="P57" s="58"/>
      <c r="Q57" s="170"/>
      <c r="R57" s="58">
        <v>1876.07</v>
      </c>
      <c r="S57" s="483">
        <f t="shared" si="7"/>
        <v>0.9874052631578947</v>
      </c>
      <c r="T57" s="58">
        <f t="shared" si="6"/>
        <v>23.930000000000064</v>
      </c>
      <c r="U57" s="483">
        <f t="shared" si="8"/>
        <v>0.012594736842105297</v>
      </c>
    </row>
    <row r="58" spans="1:21" s="484" customFormat="1" ht="19.5" customHeight="1">
      <c r="A58" s="479"/>
      <c r="B58" s="479"/>
      <c r="C58" s="479"/>
      <c r="D58" s="480" t="s">
        <v>595</v>
      </c>
      <c r="E58" s="58">
        <v>1800</v>
      </c>
      <c r="F58" s="58">
        <f t="shared" si="9"/>
        <v>0</v>
      </c>
      <c r="G58" s="58">
        <f t="shared" si="1"/>
        <v>1800</v>
      </c>
      <c r="H58" s="58"/>
      <c r="I58" s="58"/>
      <c r="J58" s="58"/>
      <c r="K58" s="58"/>
      <c r="L58" s="58"/>
      <c r="M58" s="58"/>
      <c r="N58" s="58"/>
      <c r="O58" s="58"/>
      <c r="P58" s="58"/>
      <c r="Q58" s="170"/>
      <c r="R58" s="58">
        <v>1777.8</v>
      </c>
      <c r="S58" s="483">
        <f t="shared" si="7"/>
        <v>0.9876666666666667</v>
      </c>
      <c r="T58" s="58">
        <f t="shared" si="6"/>
        <v>22.200000000000045</v>
      </c>
      <c r="U58" s="483">
        <f t="shared" si="8"/>
        <v>0.01233333333333336</v>
      </c>
    </row>
    <row r="59" spans="1:21" s="484" customFormat="1" ht="19.5" customHeight="1">
      <c r="A59" s="479"/>
      <c r="B59" s="479"/>
      <c r="C59" s="479"/>
      <c r="D59" s="480" t="s">
        <v>584</v>
      </c>
      <c r="E59" s="58">
        <v>80</v>
      </c>
      <c r="F59" s="58">
        <f t="shared" si="9"/>
        <v>0</v>
      </c>
      <c r="G59" s="58">
        <f t="shared" si="1"/>
        <v>80</v>
      </c>
      <c r="H59" s="58"/>
      <c r="I59" s="58"/>
      <c r="J59" s="58"/>
      <c r="K59" s="58"/>
      <c r="L59" s="58"/>
      <c r="M59" s="58"/>
      <c r="N59" s="58"/>
      <c r="O59" s="58"/>
      <c r="P59" s="58"/>
      <c r="Q59" s="170"/>
      <c r="R59" s="58">
        <v>77.8</v>
      </c>
      <c r="S59" s="483">
        <f t="shared" si="7"/>
        <v>0.9724999999999999</v>
      </c>
      <c r="T59" s="58">
        <f t="shared" si="6"/>
        <v>2.200000000000003</v>
      </c>
      <c r="U59" s="483">
        <f t="shared" si="8"/>
        <v>0.027500000000000035</v>
      </c>
    </row>
    <row r="60" spans="1:21" s="484" customFormat="1" ht="19.5" customHeight="1">
      <c r="A60" s="479"/>
      <c r="B60" s="479"/>
      <c r="C60" s="479"/>
      <c r="D60" s="480" t="s">
        <v>585</v>
      </c>
      <c r="E60" s="58">
        <v>2100</v>
      </c>
      <c r="F60" s="58">
        <f t="shared" si="9"/>
        <v>0</v>
      </c>
      <c r="G60" s="58">
        <f t="shared" si="1"/>
        <v>2100</v>
      </c>
      <c r="H60" s="58"/>
      <c r="I60" s="58"/>
      <c r="J60" s="58"/>
      <c r="K60" s="58"/>
      <c r="L60" s="58"/>
      <c r="M60" s="58"/>
      <c r="N60" s="58"/>
      <c r="O60" s="58"/>
      <c r="P60" s="58"/>
      <c r="Q60" s="170"/>
      <c r="R60" s="58">
        <v>2073.65</v>
      </c>
      <c r="S60" s="483">
        <f t="shared" si="7"/>
        <v>0.987452380952381</v>
      </c>
      <c r="T60" s="58">
        <f t="shared" si="6"/>
        <v>26.34999999999991</v>
      </c>
      <c r="U60" s="483">
        <f t="shared" si="8"/>
        <v>0.012547619047619004</v>
      </c>
    </row>
    <row r="61" spans="1:21" s="484" customFormat="1" ht="19.5" customHeight="1">
      <c r="A61" s="479"/>
      <c r="B61" s="479"/>
      <c r="C61" s="479"/>
      <c r="D61" s="480" t="s">
        <v>586</v>
      </c>
      <c r="E61" s="58">
        <v>1180</v>
      </c>
      <c r="F61" s="58">
        <f t="shared" si="9"/>
        <v>0</v>
      </c>
      <c r="G61" s="58">
        <f t="shared" si="1"/>
        <v>1180</v>
      </c>
      <c r="H61" s="58"/>
      <c r="I61" s="58"/>
      <c r="J61" s="58"/>
      <c r="K61" s="58"/>
      <c r="L61" s="58"/>
      <c r="M61" s="58"/>
      <c r="N61" s="58"/>
      <c r="O61" s="58"/>
      <c r="P61" s="58"/>
      <c r="Q61" s="170"/>
      <c r="R61" s="58">
        <v>1177.07</v>
      </c>
      <c r="S61" s="483">
        <f t="shared" si="7"/>
        <v>0.9975169491525423</v>
      </c>
      <c r="T61" s="58">
        <f t="shared" si="6"/>
        <v>2.9300000000000637</v>
      </c>
      <c r="U61" s="483">
        <f t="shared" si="8"/>
        <v>0.002483050847457681</v>
      </c>
    </row>
    <row r="62" spans="1:21" s="484" customFormat="1" ht="19.5" customHeight="1">
      <c r="A62" s="479"/>
      <c r="B62" s="479"/>
      <c r="C62" s="479"/>
      <c r="D62" s="480" t="s">
        <v>596</v>
      </c>
      <c r="E62" s="58">
        <v>2100</v>
      </c>
      <c r="F62" s="58">
        <f t="shared" si="9"/>
        <v>-301</v>
      </c>
      <c r="G62" s="58">
        <f t="shared" si="1"/>
        <v>1799</v>
      </c>
      <c r="H62" s="58"/>
      <c r="I62" s="58"/>
      <c r="J62" s="58"/>
      <c r="K62" s="58"/>
      <c r="L62" s="58"/>
      <c r="M62" s="58"/>
      <c r="N62" s="170">
        <v>-301</v>
      </c>
      <c r="O62" s="58"/>
      <c r="P62" s="58"/>
      <c r="Q62" s="170"/>
      <c r="R62" s="58">
        <v>1776.13</v>
      </c>
      <c r="S62" s="483">
        <f t="shared" si="7"/>
        <v>0.9872873818788216</v>
      </c>
      <c r="T62" s="58">
        <f t="shared" si="6"/>
        <v>22.86999999999989</v>
      </c>
      <c r="U62" s="483">
        <f t="shared" si="8"/>
        <v>0.012712618121178371</v>
      </c>
    </row>
    <row r="63" spans="1:21" s="484" customFormat="1" ht="19.5" customHeight="1">
      <c r="A63" s="479"/>
      <c r="B63" s="479"/>
      <c r="C63" s="479"/>
      <c r="D63" s="480" t="s">
        <v>587</v>
      </c>
      <c r="E63" s="58">
        <v>530</v>
      </c>
      <c r="F63" s="58">
        <f t="shared" si="9"/>
        <v>0</v>
      </c>
      <c r="G63" s="58">
        <f t="shared" si="1"/>
        <v>530</v>
      </c>
      <c r="H63" s="58"/>
      <c r="I63" s="58"/>
      <c r="J63" s="58"/>
      <c r="K63" s="58"/>
      <c r="L63" s="58"/>
      <c r="M63" s="58"/>
      <c r="N63" s="58"/>
      <c r="O63" s="58"/>
      <c r="P63" s="58"/>
      <c r="Q63" s="170"/>
      <c r="R63" s="58">
        <v>527.8</v>
      </c>
      <c r="S63" s="483">
        <f t="shared" si="7"/>
        <v>0.9958490566037735</v>
      </c>
      <c r="T63" s="58">
        <f t="shared" si="6"/>
        <v>2.2000000000000455</v>
      </c>
      <c r="U63" s="483">
        <f t="shared" si="8"/>
        <v>0.004150943396226501</v>
      </c>
    </row>
    <row r="64" spans="1:21" s="484" customFormat="1" ht="19.5" customHeight="1">
      <c r="A64" s="479"/>
      <c r="B64" s="479"/>
      <c r="C64" s="479"/>
      <c r="D64" s="480" t="s">
        <v>588</v>
      </c>
      <c r="E64" s="58">
        <v>2730</v>
      </c>
      <c r="F64" s="58">
        <f t="shared" si="9"/>
        <v>0</v>
      </c>
      <c r="G64" s="58">
        <f t="shared" si="1"/>
        <v>2730</v>
      </c>
      <c r="H64" s="58"/>
      <c r="I64" s="58"/>
      <c r="J64" s="58"/>
      <c r="K64" s="58"/>
      <c r="L64" s="58"/>
      <c r="M64" s="58"/>
      <c r="N64" s="58"/>
      <c r="O64" s="58"/>
      <c r="P64" s="58"/>
      <c r="Q64" s="170"/>
      <c r="R64" s="58">
        <v>2716.56</v>
      </c>
      <c r="S64" s="483">
        <f t="shared" si="7"/>
        <v>0.9950769230769231</v>
      </c>
      <c r="T64" s="58">
        <f t="shared" si="6"/>
        <v>13.440000000000055</v>
      </c>
      <c r="U64" s="483">
        <f t="shared" si="8"/>
        <v>0.004923076923076943</v>
      </c>
    </row>
    <row r="65" spans="1:21" s="484" customFormat="1" ht="19.5" customHeight="1">
      <c r="A65" s="479"/>
      <c r="B65" s="479"/>
      <c r="C65" s="479"/>
      <c r="D65" s="480" t="s">
        <v>589</v>
      </c>
      <c r="E65" s="58">
        <v>80</v>
      </c>
      <c r="F65" s="58">
        <f t="shared" si="9"/>
        <v>0</v>
      </c>
      <c r="G65" s="58">
        <f t="shared" si="1"/>
        <v>80</v>
      </c>
      <c r="H65" s="58"/>
      <c r="I65" s="58"/>
      <c r="J65" s="58"/>
      <c r="K65" s="58"/>
      <c r="L65" s="58"/>
      <c r="M65" s="58"/>
      <c r="N65" s="58"/>
      <c r="O65" s="58"/>
      <c r="P65" s="58"/>
      <c r="Q65" s="170"/>
      <c r="R65" s="58">
        <v>77.8</v>
      </c>
      <c r="S65" s="483">
        <f t="shared" si="7"/>
        <v>0.9724999999999999</v>
      </c>
      <c r="T65" s="58">
        <f t="shared" si="6"/>
        <v>2.200000000000003</v>
      </c>
      <c r="U65" s="483">
        <f t="shared" si="8"/>
        <v>0.027500000000000035</v>
      </c>
    </row>
    <row r="66" spans="1:21" s="484" customFormat="1" ht="19.5" customHeight="1">
      <c r="A66" s="479"/>
      <c r="B66" s="479"/>
      <c r="C66" s="479"/>
      <c r="D66" s="480" t="s">
        <v>590</v>
      </c>
      <c r="E66" s="58">
        <v>1400</v>
      </c>
      <c r="F66" s="58">
        <f t="shared" si="9"/>
        <v>-100</v>
      </c>
      <c r="G66" s="58">
        <f t="shared" si="1"/>
        <v>1300</v>
      </c>
      <c r="H66" s="58"/>
      <c r="I66" s="58"/>
      <c r="J66" s="58"/>
      <c r="K66" s="58"/>
      <c r="L66" s="58"/>
      <c r="M66" s="58"/>
      <c r="N66" s="58"/>
      <c r="O66" s="170">
        <v>-100</v>
      </c>
      <c r="P66" s="58"/>
      <c r="Q66" s="170"/>
      <c r="R66" s="58">
        <v>1277.8</v>
      </c>
      <c r="S66" s="483">
        <f t="shared" si="7"/>
        <v>0.9829230769230769</v>
      </c>
      <c r="T66" s="58">
        <f t="shared" si="6"/>
        <v>22.200000000000045</v>
      </c>
      <c r="U66" s="483">
        <f t="shared" si="8"/>
        <v>0.01707692307692311</v>
      </c>
    </row>
    <row r="67" spans="1:21" s="484" customFormat="1" ht="19.5" customHeight="1">
      <c r="A67" s="479"/>
      <c r="B67" s="479"/>
      <c r="C67" s="479"/>
      <c r="D67" s="480" t="s">
        <v>591</v>
      </c>
      <c r="E67" s="58">
        <v>580</v>
      </c>
      <c r="F67" s="58">
        <f t="shared" si="9"/>
        <v>0</v>
      </c>
      <c r="G67" s="58">
        <f t="shared" si="1"/>
        <v>580</v>
      </c>
      <c r="H67" s="58"/>
      <c r="I67" s="58"/>
      <c r="J67" s="58"/>
      <c r="K67" s="170">
        <v>0</v>
      </c>
      <c r="L67" s="58"/>
      <c r="M67" s="58"/>
      <c r="N67" s="58"/>
      <c r="O67" s="58"/>
      <c r="P67" s="58"/>
      <c r="Q67" s="170"/>
      <c r="R67" s="58">
        <v>576.95</v>
      </c>
      <c r="S67" s="483">
        <f t="shared" si="7"/>
        <v>0.9947413793103449</v>
      </c>
      <c r="T67" s="58">
        <f t="shared" si="6"/>
        <v>3.0499999999999545</v>
      </c>
      <c r="U67" s="483">
        <f t="shared" si="8"/>
        <v>0.005258620689655094</v>
      </c>
    </row>
    <row r="68" spans="1:21" s="484" customFormat="1" ht="19.5" customHeight="1">
      <c r="A68" s="479"/>
      <c r="B68" s="479"/>
      <c r="C68" s="479"/>
      <c r="D68" s="480" t="s">
        <v>597</v>
      </c>
      <c r="E68" s="58">
        <v>80</v>
      </c>
      <c r="F68" s="58">
        <f t="shared" si="9"/>
        <v>-2</v>
      </c>
      <c r="G68" s="58">
        <f t="shared" si="1"/>
        <v>78</v>
      </c>
      <c r="H68" s="58"/>
      <c r="I68" s="58"/>
      <c r="J68" s="58"/>
      <c r="K68" s="58"/>
      <c r="L68" s="58"/>
      <c r="M68" s="58"/>
      <c r="N68" s="58"/>
      <c r="O68" s="58"/>
      <c r="P68" s="170">
        <v>-2</v>
      </c>
      <c r="Q68" s="170"/>
      <c r="R68" s="58">
        <v>77.8</v>
      </c>
      <c r="S68" s="483">
        <f t="shared" si="7"/>
        <v>0.9974358974358974</v>
      </c>
      <c r="T68" s="58">
        <f t="shared" si="6"/>
        <v>0.20000000000000284</v>
      </c>
      <c r="U68" s="483">
        <f t="shared" si="8"/>
        <v>0.0025641025641026005</v>
      </c>
    </row>
    <row r="69" spans="1:21" s="484" customFormat="1" ht="19.5" customHeight="1">
      <c r="A69" s="479"/>
      <c r="B69" s="479"/>
      <c r="C69" s="479"/>
      <c r="D69" s="480" t="s">
        <v>598</v>
      </c>
      <c r="E69" s="58">
        <v>2080</v>
      </c>
      <c r="F69" s="58">
        <f t="shared" si="9"/>
        <v>0</v>
      </c>
      <c r="G69" s="58">
        <f t="shared" si="1"/>
        <v>2080</v>
      </c>
      <c r="H69" s="58"/>
      <c r="I69" s="58"/>
      <c r="J69" s="58"/>
      <c r="K69" s="58"/>
      <c r="L69" s="58"/>
      <c r="M69" s="58"/>
      <c r="N69" s="58"/>
      <c r="O69" s="58"/>
      <c r="P69" s="58"/>
      <c r="Q69" s="170"/>
      <c r="R69" s="58">
        <v>2077.14</v>
      </c>
      <c r="S69" s="483">
        <f t="shared" si="7"/>
        <v>0.998625</v>
      </c>
      <c r="T69" s="58">
        <f t="shared" si="6"/>
        <v>2.8600000000001273</v>
      </c>
      <c r="U69" s="483">
        <f t="shared" si="8"/>
        <v>0.0013750000000000613</v>
      </c>
    </row>
    <row r="70" spans="1:21" s="484" customFormat="1" ht="19.5" customHeight="1">
      <c r="A70" s="479"/>
      <c r="B70" s="479"/>
      <c r="C70" s="479"/>
      <c r="D70" s="480" t="s">
        <v>603</v>
      </c>
      <c r="E70" s="58">
        <v>3080</v>
      </c>
      <c r="F70" s="58">
        <f t="shared" si="9"/>
        <v>-19</v>
      </c>
      <c r="G70" s="58">
        <f t="shared" si="1"/>
        <v>3061</v>
      </c>
      <c r="H70" s="58"/>
      <c r="I70" s="58"/>
      <c r="J70" s="58"/>
      <c r="K70" s="58"/>
      <c r="L70" s="58"/>
      <c r="M70" s="58"/>
      <c r="N70" s="170">
        <v>-19</v>
      </c>
      <c r="O70" s="58"/>
      <c r="P70" s="58"/>
      <c r="Q70" s="170"/>
      <c r="R70" s="58">
        <v>3058.33</v>
      </c>
      <c r="S70" s="483">
        <f t="shared" si="7"/>
        <v>0.9991277360339758</v>
      </c>
      <c r="T70" s="58">
        <f t="shared" si="6"/>
        <v>2.6700000000000728</v>
      </c>
      <c r="U70" s="483">
        <f t="shared" si="8"/>
        <v>0.0008722639660241989</v>
      </c>
    </row>
    <row r="71" spans="1:21" s="484" customFormat="1" ht="19.5" customHeight="1">
      <c r="A71" s="479"/>
      <c r="B71" s="479"/>
      <c r="C71" s="479"/>
      <c r="D71" s="480" t="s">
        <v>592</v>
      </c>
      <c r="E71" s="58">
        <v>80</v>
      </c>
      <c r="F71" s="58">
        <f t="shared" si="9"/>
        <v>0</v>
      </c>
      <c r="G71" s="58">
        <f t="shared" si="1"/>
        <v>80</v>
      </c>
      <c r="H71" s="58"/>
      <c r="I71" s="58"/>
      <c r="J71" s="58"/>
      <c r="K71" s="58"/>
      <c r="L71" s="58"/>
      <c r="M71" s="58"/>
      <c r="N71" s="58"/>
      <c r="O71" s="58"/>
      <c r="P71" s="58"/>
      <c r="Q71" s="170"/>
      <c r="R71" s="58">
        <v>77.8</v>
      </c>
      <c r="S71" s="483">
        <f t="shared" si="7"/>
        <v>0.9724999999999999</v>
      </c>
      <c r="T71" s="58">
        <f t="shared" si="6"/>
        <v>2.200000000000003</v>
      </c>
      <c r="U71" s="483">
        <f t="shared" si="8"/>
        <v>0.027500000000000035</v>
      </c>
    </row>
    <row r="72" spans="1:21" s="484" customFormat="1" ht="19.5" customHeight="1">
      <c r="A72" s="479"/>
      <c r="B72" s="479"/>
      <c r="C72" s="479"/>
      <c r="D72" s="480" t="s">
        <v>593</v>
      </c>
      <c r="E72" s="58">
        <v>240</v>
      </c>
      <c r="F72" s="58">
        <f t="shared" si="9"/>
        <v>0</v>
      </c>
      <c r="G72" s="58">
        <f t="shared" si="1"/>
        <v>240</v>
      </c>
      <c r="H72" s="58"/>
      <c r="I72" s="58"/>
      <c r="J72" s="58"/>
      <c r="K72" s="58"/>
      <c r="L72" s="58"/>
      <c r="M72" s="58"/>
      <c r="N72" s="58"/>
      <c r="O72" s="58"/>
      <c r="P72" s="58"/>
      <c r="Q72" s="170"/>
      <c r="R72" s="58">
        <v>237.8</v>
      </c>
      <c r="S72" s="483">
        <f t="shared" si="7"/>
        <v>0.9908333333333333</v>
      </c>
      <c r="T72" s="58">
        <f t="shared" si="6"/>
        <v>2.1999999999999886</v>
      </c>
      <c r="U72" s="483">
        <f t="shared" si="8"/>
        <v>0.00916666666666662</v>
      </c>
    </row>
    <row r="73" spans="1:21" s="484" customFormat="1" ht="19.5" customHeight="1">
      <c r="A73" s="479"/>
      <c r="B73" s="479"/>
      <c r="C73" s="479"/>
      <c r="D73" s="480" t="s">
        <v>604</v>
      </c>
      <c r="E73" s="58">
        <v>580</v>
      </c>
      <c r="F73" s="58">
        <f t="shared" si="9"/>
        <v>-2</v>
      </c>
      <c r="G73" s="58">
        <f t="shared" si="1"/>
        <v>578</v>
      </c>
      <c r="H73" s="58"/>
      <c r="I73" s="58"/>
      <c r="J73" s="58"/>
      <c r="K73" s="58"/>
      <c r="L73" s="58"/>
      <c r="M73" s="58"/>
      <c r="N73" s="58"/>
      <c r="O73" s="58"/>
      <c r="P73" s="170">
        <v>-2</v>
      </c>
      <c r="Q73" s="170"/>
      <c r="R73" s="58">
        <v>577.71</v>
      </c>
      <c r="S73" s="483">
        <f t="shared" si="7"/>
        <v>0.9994982698961938</v>
      </c>
      <c r="T73" s="58">
        <f t="shared" si="6"/>
        <v>0.2899999999999636</v>
      </c>
      <c r="U73" s="483">
        <f t="shared" si="8"/>
        <v>0.0005017301038061654</v>
      </c>
    </row>
    <row r="74" spans="1:21" s="101" customFormat="1" ht="21" customHeight="1">
      <c r="A74" s="490"/>
      <c r="B74" s="490"/>
      <c r="C74" s="76">
        <v>4300</v>
      </c>
      <c r="D74" s="16" t="s">
        <v>76</v>
      </c>
      <c r="E74" s="87">
        <f>SUM(E75,E76,E77,E78)</f>
        <v>5500</v>
      </c>
      <c r="F74" s="87">
        <f>SUM(F75,F76,F77,F78)</f>
        <v>-850</v>
      </c>
      <c r="G74" s="87">
        <f t="shared" si="1"/>
        <v>4650</v>
      </c>
      <c r="H74" s="87"/>
      <c r="I74" s="87"/>
      <c r="J74" s="87"/>
      <c r="K74" s="87"/>
      <c r="L74" s="87"/>
      <c r="M74" s="87"/>
      <c r="N74" s="87"/>
      <c r="O74" s="87"/>
      <c r="P74" s="87"/>
      <c r="Q74" s="174"/>
      <c r="R74" s="87">
        <f>SUM(R75,R76,R77,R78)</f>
        <v>4649.29</v>
      </c>
      <c r="S74" s="478">
        <f t="shared" si="7"/>
        <v>0.9998473118279569</v>
      </c>
      <c r="T74" s="87">
        <f t="shared" si="6"/>
        <v>0.7100000000000364</v>
      </c>
      <c r="U74" s="478">
        <f t="shared" si="8"/>
        <v>0.00015268817204301858</v>
      </c>
    </row>
    <row r="75" spans="1:21" s="484" customFormat="1" ht="19.5" customHeight="1">
      <c r="A75" s="479"/>
      <c r="B75" s="479"/>
      <c r="C75" s="93"/>
      <c r="D75" s="480" t="s">
        <v>596</v>
      </c>
      <c r="E75" s="58">
        <v>1500</v>
      </c>
      <c r="F75" s="58">
        <f>SUM(H75:Q75)</f>
        <v>0</v>
      </c>
      <c r="G75" s="58">
        <f t="shared" si="1"/>
        <v>1500</v>
      </c>
      <c r="H75" s="58"/>
      <c r="I75" s="58"/>
      <c r="J75" s="58"/>
      <c r="K75" s="58"/>
      <c r="L75" s="58"/>
      <c r="M75" s="58"/>
      <c r="N75" s="58"/>
      <c r="O75" s="58"/>
      <c r="P75" s="58"/>
      <c r="Q75" s="170"/>
      <c r="R75" s="58">
        <v>1499.38</v>
      </c>
      <c r="S75" s="483">
        <f t="shared" si="7"/>
        <v>0.9995866666666667</v>
      </c>
      <c r="T75" s="58">
        <f t="shared" si="6"/>
        <v>0.6199999999998909</v>
      </c>
      <c r="U75" s="483">
        <f t="shared" si="8"/>
        <v>0.00041333333333326057</v>
      </c>
    </row>
    <row r="76" spans="1:21" s="484" customFormat="1" ht="19.5" customHeight="1">
      <c r="A76" s="479"/>
      <c r="B76" s="479"/>
      <c r="C76" s="93"/>
      <c r="D76" s="480" t="s">
        <v>587</v>
      </c>
      <c r="E76" s="58">
        <v>2000</v>
      </c>
      <c r="F76" s="58">
        <f>SUM(H76:Q76)</f>
        <v>0</v>
      </c>
      <c r="G76" s="58">
        <f t="shared" si="1"/>
        <v>2000</v>
      </c>
      <c r="H76" s="58"/>
      <c r="I76" s="58"/>
      <c r="J76" s="58"/>
      <c r="K76" s="58"/>
      <c r="L76" s="58"/>
      <c r="M76" s="58"/>
      <c r="N76" s="58"/>
      <c r="O76" s="58"/>
      <c r="P76" s="58"/>
      <c r="Q76" s="170"/>
      <c r="R76" s="58">
        <v>2000</v>
      </c>
      <c r="S76" s="483">
        <f t="shared" si="7"/>
        <v>1</v>
      </c>
      <c r="T76" s="58">
        <f t="shared" si="6"/>
        <v>0</v>
      </c>
      <c r="U76" s="483">
        <f t="shared" si="8"/>
        <v>0</v>
      </c>
    </row>
    <row r="77" spans="1:21" s="484" customFormat="1" ht="19.5" customHeight="1">
      <c r="A77" s="479"/>
      <c r="B77" s="479"/>
      <c r="C77" s="479"/>
      <c r="D77" s="480" t="s">
        <v>588</v>
      </c>
      <c r="E77" s="58">
        <v>800</v>
      </c>
      <c r="F77" s="58">
        <f>SUM(H77:Q77)</f>
        <v>-800</v>
      </c>
      <c r="G77" s="58">
        <f t="shared" si="1"/>
        <v>0</v>
      </c>
      <c r="H77" s="58"/>
      <c r="I77" s="58"/>
      <c r="J77" s="58"/>
      <c r="K77" s="58"/>
      <c r="L77" s="58"/>
      <c r="M77" s="58"/>
      <c r="N77" s="170">
        <v>-800</v>
      </c>
      <c r="O77" s="58"/>
      <c r="P77" s="58"/>
      <c r="Q77" s="170"/>
      <c r="R77" s="58">
        <v>0</v>
      </c>
      <c r="S77" s="483">
        <v>0</v>
      </c>
      <c r="T77" s="58">
        <f t="shared" si="6"/>
        <v>0</v>
      </c>
      <c r="U77" s="483"/>
    </row>
    <row r="78" spans="1:21" s="484" customFormat="1" ht="19.5" customHeight="1">
      <c r="A78" s="479"/>
      <c r="B78" s="479"/>
      <c r="C78" s="479"/>
      <c r="D78" s="480" t="s">
        <v>590</v>
      </c>
      <c r="E78" s="58">
        <v>1200</v>
      </c>
      <c r="F78" s="58">
        <f>SUM(H78:Q78)</f>
        <v>-50</v>
      </c>
      <c r="G78" s="58">
        <f t="shared" si="1"/>
        <v>1150</v>
      </c>
      <c r="H78" s="58"/>
      <c r="I78" s="58"/>
      <c r="J78" s="58"/>
      <c r="K78" s="58"/>
      <c r="L78" s="58"/>
      <c r="M78" s="58"/>
      <c r="N78" s="58"/>
      <c r="O78" s="170">
        <v>-50</v>
      </c>
      <c r="P78" s="58"/>
      <c r="Q78" s="170"/>
      <c r="R78" s="58">
        <v>1149.91</v>
      </c>
      <c r="S78" s="483">
        <f t="shared" si="7"/>
        <v>0.9999217391304348</v>
      </c>
      <c r="T78" s="58">
        <f t="shared" si="6"/>
        <v>0.08999999999991815</v>
      </c>
      <c r="U78" s="483">
        <f t="shared" si="8"/>
        <v>7.826086956514622E-05</v>
      </c>
    </row>
    <row r="79" spans="1:21" s="67" customFormat="1" ht="30.75" customHeight="1">
      <c r="A79" s="37">
        <v>754</v>
      </c>
      <c r="B79" s="6"/>
      <c r="C79" s="6"/>
      <c r="D79" s="24" t="s">
        <v>22</v>
      </c>
      <c r="E79" s="21">
        <f>SUM(E80)</f>
        <v>9000</v>
      </c>
      <c r="F79" s="21">
        <f>SUM(F80)</f>
        <v>3000</v>
      </c>
      <c r="G79" s="21">
        <f aca="true" t="shared" si="10" ref="G79:G152">SUM(E79:F79)</f>
        <v>12000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88"/>
      <c r="R79" s="213">
        <f>SUM(R80)</f>
        <v>11994.13</v>
      </c>
      <c r="S79" s="476">
        <f t="shared" si="7"/>
        <v>0.9995108333333332</v>
      </c>
      <c r="T79" s="118">
        <f t="shared" si="6"/>
        <v>5.8700000000008</v>
      </c>
      <c r="U79" s="477">
        <f t="shared" si="8"/>
        <v>0.0004891666666667334</v>
      </c>
    </row>
    <row r="80" spans="1:21" s="101" customFormat="1" ht="22.5" customHeight="1">
      <c r="A80" s="92"/>
      <c r="B80" s="76">
        <v>75412</v>
      </c>
      <c r="C80" s="59"/>
      <c r="D80" s="16" t="s">
        <v>91</v>
      </c>
      <c r="E80" s="87">
        <f>SUM(E81,E83)</f>
        <v>9000</v>
      </c>
      <c r="F80" s="87">
        <f>SUM(F81,F83)</f>
        <v>3000</v>
      </c>
      <c r="G80" s="87">
        <f t="shared" si="10"/>
        <v>12000</v>
      </c>
      <c r="H80" s="87"/>
      <c r="I80" s="87"/>
      <c r="J80" s="87"/>
      <c r="K80" s="87"/>
      <c r="L80" s="87"/>
      <c r="M80" s="87"/>
      <c r="N80" s="87"/>
      <c r="O80" s="87"/>
      <c r="P80" s="87"/>
      <c r="Q80" s="174"/>
      <c r="R80" s="87">
        <f>SUM(R81,R83)</f>
        <v>11994.13</v>
      </c>
      <c r="S80" s="478">
        <f t="shared" si="7"/>
        <v>0.9995108333333332</v>
      </c>
      <c r="T80" s="87">
        <f t="shared" si="6"/>
        <v>5.8700000000008</v>
      </c>
      <c r="U80" s="478">
        <f t="shared" si="8"/>
        <v>0.0004891666666667334</v>
      </c>
    </row>
    <row r="81" spans="1:21" s="101" customFormat="1" ht="22.5" customHeight="1">
      <c r="A81" s="92"/>
      <c r="B81" s="76"/>
      <c r="C81" s="76">
        <v>3020</v>
      </c>
      <c r="D81" s="16" t="s">
        <v>436</v>
      </c>
      <c r="E81" s="87">
        <f>SUM(E82)</f>
        <v>0</v>
      </c>
      <c r="F81" s="87">
        <f>SUM(F82)</f>
        <v>2200</v>
      </c>
      <c r="G81" s="87">
        <f>SUM(E81:F81)</f>
        <v>2200</v>
      </c>
      <c r="H81" s="87"/>
      <c r="I81" s="87"/>
      <c r="J81" s="87"/>
      <c r="K81" s="87"/>
      <c r="L81" s="87"/>
      <c r="M81" s="491"/>
      <c r="N81" s="87"/>
      <c r="O81" s="87"/>
      <c r="P81" s="87"/>
      <c r="Q81" s="174"/>
      <c r="R81" s="87">
        <f>SUM(R82)</f>
        <v>2199.9</v>
      </c>
      <c r="S81" s="478">
        <f>R81/G81</f>
        <v>0.9999545454545455</v>
      </c>
      <c r="T81" s="87">
        <f>G81-R81</f>
        <v>0.09999999999990905</v>
      </c>
      <c r="U81" s="478">
        <f>T81/G81</f>
        <v>4.5454545454504117E-05</v>
      </c>
    </row>
    <row r="82" spans="1:21" s="101" customFormat="1" ht="19.5" customHeight="1">
      <c r="A82" s="92"/>
      <c r="B82" s="76"/>
      <c r="C82" s="76"/>
      <c r="D82" s="480" t="s">
        <v>595</v>
      </c>
      <c r="E82" s="87">
        <v>0</v>
      </c>
      <c r="F82" s="87">
        <f>SUM(H82:Q82)</f>
        <v>2200</v>
      </c>
      <c r="G82" s="87">
        <f>SUM(E82:F82)</f>
        <v>2200</v>
      </c>
      <c r="H82" s="87"/>
      <c r="I82" s="87"/>
      <c r="J82" s="87"/>
      <c r="K82" s="87"/>
      <c r="L82" s="87"/>
      <c r="M82" s="58">
        <v>2200</v>
      </c>
      <c r="N82" s="87"/>
      <c r="O82" s="87"/>
      <c r="P82" s="87"/>
      <c r="Q82" s="174"/>
      <c r="R82" s="87">
        <v>2199.9</v>
      </c>
      <c r="S82" s="478">
        <f>R82/G82</f>
        <v>0.9999545454545455</v>
      </c>
      <c r="T82" s="87">
        <f>G82-R82</f>
        <v>0.09999999999990905</v>
      </c>
      <c r="U82" s="478">
        <f>T82/G82</f>
        <v>4.5454545454504117E-05</v>
      </c>
    </row>
    <row r="83" spans="1:21" s="101" customFormat="1" ht="21" customHeight="1">
      <c r="A83" s="76"/>
      <c r="B83" s="59"/>
      <c r="C83" s="76">
        <v>4210</v>
      </c>
      <c r="D83" s="16" t="s">
        <v>69</v>
      </c>
      <c r="E83" s="87">
        <f>SUM(E84,E85,E86,E87,E88,E89)</f>
        <v>9000</v>
      </c>
      <c r="F83" s="87">
        <f>SUM(F84,F85,F86,F87,F88,F89)</f>
        <v>800</v>
      </c>
      <c r="G83" s="87">
        <f t="shared" si="10"/>
        <v>9800</v>
      </c>
      <c r="H83" s="87"/>
      <c r="I83" s="87"/>
      <c r="J83" s="87"/>
      <c r="K83" s="87"/>
      <c r="L83" s="87"/>
      <c r="M83" s="87"/>
      <c r="N83" s="87"/>
      <c r="O83" s="87"/>
      <c r="P83" s="87"/>
      <c r="Q83" s="174"/>
      <c r="R83" s="87">
        <f>SUM(R84,R85,R86,R87,R88,R89)</f>
        <v>9794.23</v>
      </c>
      <c r="S83" s="478">
        <f t="shared" si="7"/>
        <v>0.9994112244897959</v>
      </c>
      <c r="T83" s="87">
        <f t="shared" si="6"/>
        <v>5.770000000000437</v>
      </c>
      <c r="U83" s="478">
        <f t="shared" si="8"/>
        <v>0.0005887755102041262</v>
      </c>
    </row>
    <row r="84" spans="1:21" s="484" customFormat="1" ht="19.5" customHeight="1">
      <c r="A84" s="479"/>
      <c r="B84" s="479"/>
      <c r="C84" s="479"/>
      <c r="D84" s="480" t="s">
        <v>595</v>
      </c>
      <c r="E84" s="58">
        <v>3500</v>
      </c>
      <c r="F84" s="58">
        <f aca="true" t="shared" si="11" ref="F84:F89">SUM(H84:Q84)</f>
        <v>800</v>
      </c>
      <c r="G84" s="58">
        <f t="shared" si="10"/>
        <v>4300</v>
      </c>
      <c r="H84" s="58"/>
      <c r="I84" s="58"/>
      <c r="J84" s="58"/>
      <c r="K84" s="58"/>
      <c r="L84" s="58"/>
      <c r="M84" s="58">
        <v>-2200</v>
      </c>
      <c r="N84" s="58"/>
      <c r="O84" s="170">
        <v>3000</v>
      </c>
      <c r="P84" s="58"/>
      <c r="Q84" s="170"/>
      <c r="R84" s="58">
        <v>4297</v>
      </c>
      <c r="S84" s="483">
        <f t="shared" si="7"/>
        <v>0.9993023255813953</v>
      </c>
      <c r="T84" s="58">
        <f t="shared" si="6"/>
        <v>3</v>
      </c>
      <c r="U84" s="483">
        <f t="shared" si="8"/>
        <v>0.0006976744186046512</v>
      </c>
    </row>
    <row r="85" spans="1:21" s="484" customFormat="1" ht="19.5" customHeight="1">
      <c r="A85" s="479"/>
      <c r="B85" s="479"/>
      <c r="C85" s="479"/>
      <c r="D85" s="480" t="s">
        <v>584</v>
      </c>
      <c r="E85" s="58">
        <v>500</v>
      </c>
      <c r="F85" s="58">
        <f t="shared" si="11"/>
        <v>0</v>
      </c>
      <c r="G85" s="58">
        <f t="shared" si="10"/>
        <v>500</v>
      </c>
      <c r="H85" s="58"/>
      <c r="I85" s="58"/>
      <c r="J85" s="58"/>
      <c r="K85" s="58"/>
      <c r="L85" s="58"/>
      <c r="M85" s="58"/>
      <c r="N85" s="58"/>
      <c r="O85" s="58"/>
      <c r="P85" s="58"/>
      <c r="Q85" s="170"/>
      <c r="R85" s="58">
        <v>500</v>
      </c>
      <c r="S85" s="483">
        <f t="shared" si="7"/>
        <v>1</v>
      </c>
      <c r="T85" s="58">
        <f t="shared" si="6"/>
        <v>0</v>
      </c>
      <c r="U85" s="483">
        <f t="shared" si="8"/>
        <v>0</v>
      </c>
    </row>
    <row r="86" spans="1:21" s="484" customFormat="1" ht="19.5" customHeight="1">
      <c r="A86" s="479"/>
      <c r="B86" s="479"/>
      <c r="C86" s="479"/>
      <c r="D86" s="480" t="s">
        <v>587</v>
      </c>
      <c r="E86" s="58">
        <v>500</v>
      </c>
      <c r="F86" s="58">
        <f t="shared" si="11"/>
        <v>0</v>
      </c>
      <c r="G86" s="58">
        <f t="shared" si="10"/>
        <v>500</v>
      </c>
      <c r="H86" s="58"/>
      <c r="I86" s="58"/>
      <c r="J86" s="58"/>
      <c r="K86" s="58"/>
      <c r="L86" s="58"/>
      <c r="M86" s="58"/>
      <c r="N86" s="58"/>
      <c r="O86" s="58"/>
      <c r="P86" s="58"/>
      <c r="Q86" s="170"/>
      <c r="R86" s="58">
        <v>500</v>
      </c>
      <c r="S86" s="483">
        <f t="shared" si="7"/>
        <v>1</v>
      </c>
      <c r="T86" s="58">
        <f t="shared" si="6"/>
        <v>0</v>
      </c>
      <c r="U86" s="483">
        <f t="shared" si="8"/>
        <v>0</v>
      </c>
    </row>
    <row r="87" spans="1:21" s="484" customFormat="1" ht="19.5" customHeight="1">
      <c r="A87" s="479"/>
      <c r="B87" s="479"/>
      <c r="C87" s="479"/>
      <c r="D87" s="480" t="s">
        <v>588</v>
      </c>
      <c r="E87" s="58">
        <v>500</v>
      </c>
      <c r="F87" s="58">
        <f t="shared" si="11"/>
        <v>0</v>
      </c>
      <c r="G87" s="58">
        <f t="shared" si="10"/>
        <v>500</v>
      </c>
      <c r="H87" s="58"/>
      <c r="I87" s="58"/>
      <c r="J87" s="58"/>
      <c r="K87" s="58"/>
      <c r="L87" s="58"/>
      <c r="M87" s="58"/>
      <c r="N87" s="58"/>
      <c r="O87" s="58"/>
      <c r="P87" s="58"/>
      <c r="Q87" s="170"/>
      <c r="R87" s="58">
        <v>500</v>
      </c>
      <c r="S87" s="483">
        <f t="shared" si="7"/>
        <v>1</v>
      </c>
      <c r="T87" s="58">
        <f t="shared" si="6"/>
        <v>0</v>
      </c>
      <c r="U87" s="483">
        <f t="shared" si="8"/>
        <v>0</v>
      </c>
    </row>
    <row r="88" spans="1:21" s="484" customFormat="1" ht="19.5" customHeight="1">
      <c r="A88" s="479"/>
      <c r="B88" s="479"/>
      <c r="C88" s="479"/>
      <c r="D88" s="480" t="s">
        <v>597</v>
      </c>
      <c r="E88" s="58">
        <v>1000</v>
      </c>
      <c r="F88" s="58">
        <f t="shared" si="11"/>
        <v>0</v>
      </c>
      <c r="G88" s="58">
        <f t="shared" si="10"/>
        <v>1000</v>
      </c>
      <c r="H88" s="58"/>
      <c r="I88" s="58"/>
      <c r="J88" s="58"/>
      <c r="K88" s="58"/>
      <c r="L88" s="58"/>
      <c r="M88" s="58"/>
      <c r="N88" s="58"/>
      <c r="O88" s="58"/>
      <c r="P88" s="58"/>
      <c r="Q88" s="170"/>
      <c r="R88" s="58">
        <v>999.57</v>
      </c>
      <c r="S88" s="483">
        <f t="shared" si="7"/>
        <v>0.9995700000000001</v>
      </c>
      <c r="T88" s="58">
        <f t="shared" si="6"/>
        <v>0.42999999999995</v>
      </c>
      <c r="U88" s="483">
        <f t="shared" si="8"/>
        <v>0.00042999999999994995</v>
      </c>
    </row>
    <row r="89" spans="1:21" s="484" customFormat="1" ht="19.5" customHeight="1">
      <c r="A89" s="479"/>
      <c r="B89" s="479"/>
      <c r="C89" s="479"/>
      <c r="D89" s="480" t="s">
        <v>590</v>
      </c>
      <c r="E89" s="58">
        <v>3000</v>
      </c>
      <c r="F89" s="58">
        <f t="shared" si="11"/>
        <v>0</v>
      </c>
      <c r="G89" s="58">
        <f t="shared" si="10"/>
        <v>3000</v>
      </c>
      <c r="H89" s="58"/>
      <c r="I89" s="58"/>
      <c r="J89" s="58"/>
      <c r="K89" s="58"/>
      <c r="L89" s="58"/>
      <c r="M89" s="58"/>
      <c r="N89" s="58"/>
      <c r="O89" s="58"/>
      <c r="P89" s="58"/>
      <c r="Q89" s="170"/>
      <c r="R89" s="58">
        <v>2997.66</v>
      </c>
      <c r="S89" s="483">
        <f t="shared" si="7"/>
        <v>0.99922</v>
      </c>
      <c r="T89" s="58">
        <f t="shared" si="6"/>
        <v>2.3400000000001455</v>
      </c>
      <c r="U89" s="483">
        <f t="shared" si="8"/>
        <v>0.0007800000000000486</v>
      </c>
    </row>
    <row r="90" spans="1:21" ht="24.75" customHeight="1">
      <c r="A90" s="37" t="s">
        <v>95</v>
      </c>
      <c r="B90" s="6"/>
      <c r="C90" s="6"/>
      <c r="D90" s="24" t="s">
        <v>96</v>
      </c>
      <c r="E90" s="21">
        <f>SUM(E91,E105,E114,E117)</f>
        <v>10500</v>
      </c>
      <c r="F90" s="21">
        <f>SUM(F91,F105,F114,F117)</f>
        <v>-500</v>
      </c>
      <c r="G90" s="21">
        <f>SUM(E90:F90)</f>
        <v>10000</v>
      </c>
      <c r="H90" s="492"/>
      <c r="I90" s="492"/>
      <c r="J90" s="492"/>
      <c r="K90" s="492"/>
      <c r="L90" s="492"/>
      <c r="M90" s="492"/>
      <c r="N90" s="492"/>
      <c r="O90" s="492"/>
      <c r="P90" s="492"/>
      <c r="Q90" s="493"/>
      <c r="R90" s="213">
        <f>SUM(R91,R105,R114,R117)</f>
        <v>10000</v>
      </c>
      <c r="S90" s="494">
        <f t="shared" si="7"/>
        <v>1</v>
      </c>
      <c r="T90" s="118">
        <f t="shared" si="6"/>
        <v>0</v>
      </c>
      <c r="U90" s="477">
        <f t="shared" si="8"/>
        <v>0</v>
      </c>
    </row>
    <row r="91" spans="1:21" ht="19.5" customHeight="1">
      <c r="A91" s="495"/>
      <c r="B91" s="76" t="s">
        <v>97</v>
      </c>
      <c r="C91" s="59"/>
      <c r="D91" s="16" t="s">
        <v>52</v>
      </c>
      <c r="E91" s="87">
        <f>SUM(E92,E101)</f>
        <v>7300</v>
      </c>
      <c r="F91" s="87">
        <f>SUM(F92,F101)</f>
        <v>0</v>
      </c>
      <c r="G91" s="87">
        <f t="shared" si="10"/>
        <v>7300</v>
      </c>
      <c r="H91" s="492"/>
      <c r="I91" s="492"/>
      <c r="J91" s="492"/>
      <c r="K91" s="492"/>
      <c r="L91" s="492"/>
      <c r="M91" s="492"/>
      <c r="N91" s="492"/>
      <c r="O91" s="492"/>
      <c r="P91" s="492"/>
      <c r="Q91" s="493"/>
      <c r="R91" s="87">
        <f>SUM(R92,R101)</f>
        <v>7300</v>
      </c>
      <c r="S91" s="478">
        <f t="shared" si="7"/>
        <v>1</v>
      </c>
      <c r="T91" s="87">
        <f aca="true" t="shared" si="12" ref="T91:T154">G91-R91</f>
        <v>0</v>
      </c>
      <c r="U91" s="478">
        <f t="shared" si="8"/>
        <v>0</v>
      </c>
    </row>
    <row r="92" spans="1:21" ht="18" customHeight="1">
      <c r="A92" s="495"/>
      <c r="B92" s="92"/>
      <c r="C92" s="76">
        <v>4210</v>
      </c>
      <c r="D92" s="16" t="s">
        <v>69</v>
      </c>
      <c r="E92" s="87">
        <f>SUM(E93,E94,E95,E96,E97,E98,E99,E100)</f>
        <v>6800</v>
      </c>
      <c r="F92" s="87">
        <f>SUM(F93,F94,F95,F96,F97,F98,F99,F100)</f>
        <v>-1700</v>
      </c>
      <c r="G92" s="87">
        <f t="shared" si="10"/>
        <v>5100</v>
      </c>
      <c r="H92" s="492"/>
      <c r="I92" s="492"/>
      <c r="J92" s="492"/>
      <c r="K92" s="492"/>
      <c r="L92" s="492"/>
      <c r="M92" s="492"/>
      <c r="N92" s="492"/>
      <c r="O92" s="492"/>
      <c r="P92" s="492"/>
      <c r="Q92" s="493"/>
      <c r="R92" s="87">
        <f>SUM(R93,R94,R95,R96,R97,R98,R99,R100)</f>
        <v>5100</v>
      </c>
      <c r="S92" s="478">
        <f t="shared" si="7"/>
        <v>1</v>
      </c>
      <c r="T92" s="87">
        <f t="shared" si="12"/>
        <v>0</v>
      </c>
      <c r="U92" s="478">
        <f t="shared" si="8"/>
        <v>0</v>
      </c>
    </row>
    <row r="93" spans="1:21" ht="19.5" customHeight="1">
      <c r="A93" s="495"/>
      <c r="B93" s="495"/>
      <c r="C93" s="496"/>
      <c r="D93" s="480" t="s">
        <v>602</v>
      </c>
      <c r="E93" s="58">
        <v>200</v>
      </c>
      <c r="F93" s="58">
        <f>SUM(H93:Q93)</f>
        <v>0</v>
      </c>
      <c r="G93" s="58">
        <f t="shared" si="10"/>
        <v>200</v>
      </c>
      <c r="H93" s="492"/>
      <c r="I93" s="492"/>
      <c r="J93" s="492"/>
      <c r="K93" s="492"/>
      <c r="L93" s="492"/>
      <c r="M93" s="492"/>
      <c r="N93" s="492"/>
      <c r="O93" s="492"/>
      <c r="P93" s="492"/>
      <c r="Q93" s="493"/>
      <c r="R93" s="58">
        <v>200</v>
      </c>
      <c r="S93" s="483">
        <f t="shared" si="7"/>
        <v>1</v>
      </c>
      <c r="T93" s="58">
        <f t="shared" si="12"/>
        <v>0</v>
      </c>
      <c r="U93" s="483">
        <f t="shared" si="8"/>
        <v>0</v>
      </c>
    </row>
    <row r="94" spans="1:21" ht="19.5" customHeight="1">
      <c r="A94" s="495"/>
      <c r="B94" s="495"/>
      <c r="C94" s="496"/>
      <c r="D94" s="480" t="s">
        <v>582</v>
      </c>
      <c r="E94" s="58">
        <v>200</v>
      </c>
      <c r="F94" s="58">
        <f>SUM(H94:Q94)</f>
        <v>0</v>
      </c>
      <c r="G94" s="58">
        <f t="shared" si="10"/>
        <v>200</v>
      </c>
      <c r="H94" s="492"/>
      <c r="I94" s="492"/>
      <c r="J94" s="492"/>
      <c r="K94" s="492"/>
      <c r="L94" s="492"/>
      <c r="M94" s="492"/>
      <c r="N94" s="492"/>
      <c r="O94" s="492"/>
      <c r="P94" s="492"/>
      <c r="Q94" s="493"/>
      <c r="R94" s="58">
        <v>200</v>
      </c>
      <c r="S94" s="483">
        <f t="shared" si="7"/>
        <v>1</v>
      </c>
      <c r="T94" s="58">
        <f t="shared" si="12"/>
        <v>0</v>
      </c>
      <c r="U94" s="483">
        <f t="shared" si="8"/>
        <v>0</v>
      </c>
    </row>
    <row r="95" spans="1:21" ht="19.5" customHeight="1">
      <c r="A95" s="495"/>
      <c r="B95" s="495"/>
      <c r="C95" s="496"/>
      <c r="D95" s="480" t="s">
        <v>583</v>
      </c>
      <c r="E95" s="58">
        <v>2000</v>
      </c>
      <c r="F95" s="58">
        <f aca="true" t="shared" si="13" ref="F95:F100">SUM(H95:Q95)</f>
        <v>0</v>
      </c>
      <c r="G95" s="58">
        <f t="shared" si="10"/>
        <v>2000</v>
      </c>
      <c r="H95" s="492"/>
      <c r="I95" s="492"/>
      <c r="J95" s="492"/>
      <c r="K95" s="492"/>
      <c r="L95" s="492"/>
      <c r="M95" s="492"/>
      <c r="N95" s="492"/>
      <c r="O95" s="492"/>
      <c r="P95" s="492"/>
      <c r="Q95" s="493"/>
      <c r="R95" s="58">
        <v>2000</v>
      </c>
      <c r="S95" s="483">
        <f t="shared" si="7"/>
        <v>1</v>
      </c>
      <c r="T95" s="58">
        <f t="shared" si="12"/>
        <v>0</v>
      </c>
      <c r="U95" s="483">
        <f t="shared" si="8"/>
        <v>0</v>
      </c>
    </row>
    <row r="96" spans="1:21" ht="19.5" customHeight="1">
      <c r="A96" s="495"/>
      <c r="B96" s="495"/>
      <c r="C96" s="496"/>
      <c r="D96" s="480" t="s">
        <v>595</v>
      </c>
      <c r="E96" s="58">
        <v>2000</v>
      </c>
      <c r="F96" s="58">
        <f t="shared" si="13"/>
        <v>-1500</v>
      </c>
      <c r="G96" s="58">
        <f t="shared" si="10"/>
        <v>500</v>
      </c>
      <c r="H96" s="58">
        <v>-1500</v>
      </c>
      <c r="I96" s="492"/>
      <c r="J96" s="492"/>
      <c r="K96" s="492"/>
      <c r="L96" s="492"/>
      <c r="M96" s="492"/>
      <c r="N96" s="492"/>
      <c r="O96" s="492"/>
      <c r="P96" s="492"/>
      <c r="Q96" s="493"/>
      <c r="R96" s="58">
        <v>500</v>
      </c>
      <c r="S96" s="483">
        <f t="shared" si="7"/>
        <v>1</v>
      </c>
      <c r="T96" s="58">
        <f t="shared" si="12"/>
        <v>0</v>
      </c>
      <c r="U96" s="483">
        <f t="shared" si="8"/>
        <v>0</v>
      </c>
    </row>
    <row r="97" spans="1:21" ht="19.5" customHeight="1">
      <c r="A97" s="495"/>
      <c r="B97" s="495"/>
      <c r="C97" s="497"/>
      <c r="D97" s="480" t="s">
        <v>584</v>
      </c>
      <c r="E97" s="58">
        <v>200</v>
      </c>
      <c r="F97" s="58">
        <f t="shared" si="13"/>
        <v>-200</v>
      </c>
      <c r="G97" s="58">
        <f t="shared" si="10"/>
        <v>0</v>
      </c>
      <c r="H97" s="58">
        <v>-200</v>
      </c>
      <c r="I97" s="492"/>
      <c r="J97" s="492"/>
      <c r="K97" s="492"/>
      <c r="L97" s="492"/>
      <c r="M97" s="492"/>
      <c r="N97" s="492"/>
      <c r="O97" s="492"/>
      <c r="P97" s="492"/>
      <c r="Q97" s="493"/>
      <c r="R97" s="58">
        <v>0</v>
      </c>
      <c r="S97" s="483">
        <v>0</v>
      </c>
      <c r="T97" s="58">
        <f t="shared" si="12"/>
        <v>0</v>
      </c>
      <c r="U97" s="483"/>
    </row>
    <row r="98" spans="1:21" ht="19.5" customHeight="1">
      <c r="A98" s="495"/>
      <c r="B98" s="495"/>
      <c r="C98" s="497"/>
      <c r="D98" s="480" t="s">
        <v>585</v>
      </c>
      <c r="E98" s="58">
        <v>1000</v>
      </c>
      <c r="F98" s="58">
        <f t="shared" si="13"/>
        <v>0</v>
      </c>
      <c r="G98" s="58">
        <f t="shared" si="10"/>
        <v>1000</v>
      </c>
      <c r="H98" s="492"/>
      <c r="I98" s="492"/>
      <c r="J98" s="492"/>
      <c r="K98" s="492"/>
      <c r="L98" s="492"/>
      <c r="M98" s="492"/>
      <c r="N98" s="492"/>
      <c r="O98" s="492"/>
      <c r="P98" s="492"/>
      <c r="Q98" s="493"/>
      <c r="R98" s="58">
        <v>1000</v>
      </c>
      <c r="S98" s="483">
        <f aca="true" t="shared" si="14" ref="S98:S161">R98/G98</f>
        <v>1</v>
      </c>
      <c r="T98" s="58">
        <f t="shared" si="12"/>
        <v>0</v>
      </c>
      <c r="U98" s="483">
        <f aca="true" t="shared" si="15" ref="U98:U161">T98/G98</f>
        <v>0</v>
      </c>
    </row>
    <row r="99" spans="1:21" ht="19.5" customHeight="1">
      <c r="A99" s="495"/>
      <c r="B99" s="495"/>
      <c r="C99" s="497"/>
      <c r="D99" s="480" t="s">
        <v>586</v>
      </c>
      <c r="E99" s="58">
        <v>200</v>
      </c>
      <c r="F99" s="58">
        <f t="shared" si="13"/>
        <v>0</v>
      </c>
      <c r="G99" s="58">
        <f t="shared" si="10"/>
        <v>200</v>
      </c>
      <c r="H99" s="492"/>
      <c r="I99" s="492"/>
      <c r="J99" s="492"/>
      <c r="K99" s="492"/>
      <c r="L99" s="492"/>
      <c r="M99" s="492"/>
      <c r="N99" s="492"/>
      <c r="O99" s="492"/>
      <c r="P99" s="492"/>
      <c r="Q99" s="493"/>
      <c r="R99" s="58">
        <v>200</v>
      </c>
      <c r="S99" s="483">
        <f t="shared" si="14"/>
        <v>1</v>
      </c>
      <c r="T99" s="58">
        <f t="shared" si="12"/>
        <v>0</v>
      </c>
      <c r="U99" s="483">
        <f t="shared" si="15"/>
        <v>0</v>
      </c>
    </row>
    <row r="100" spans="1:21" ht="19.5" customHeight="1">
      <c r="A100" s="495"/>
      <c r="B100" s="495"/>
      <c r="C100" s="497"/>
      <c r="D100" s="480" t="s">
        <v>590</v>
      </c>
      <c r="E100" s="58">
        <v>1000</v>
      </c>
      <c r="F100" s="58">
        <f t="shared" si="13"/>
        <v>0</v>
      </c>
      <c r="G100" s="58">
        <f t="shared" si="10"/>
        <v>1000</v>
      </c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8">
        <v>1000</v>
      </c>
      <c r="S100" s="483">
        <f t="shared" si="14"/>
        <v>1</v>
      </c>
      <c r="T100" s="58">
        <f t="shared" si="12"/>
        <v>0</v>
      </c>
      <c r="U100" s="483">
        <f t="shared" si="15"/>
        <v>0</v>
      </c>
    </row>
    <row r="101" spans="1:21" ht="30" customHeight="1">
      <c r="A101" s="496"/>
      <c r="B101" s="496"/>
      <c r="C101" s="76">
        <v>4240</v>
      </c>
      <c r="D101" s="480" t="s">
        <v>102</v>
      </c>
      <c r="E101" s="58">
        <f>SUM(E102,E103,E104)</f>
        <v>500</v>
      </c>
      <c r="F101" s="87">
        <f>SUM(F102,F103,F104)</f>
        <v>1700</v>
      </c>
      <c r="G101" s="87">
        <f t="shared" si="10"/>
        <v>2200</v>
      </c>
      <c r="H101" s="492"/>
      <c r="I101" s="492"/>
      <c r="J101" s="492"/>
      <c r="K101" s="492"/>
      <c r="L101" s="492"/>
      <c r="M101" s="492"/>
      <c r="N101" s="492"/>
      <c r="O101" s="492"/>
      <c r="P101" s="492"/>
      <c r="Q101" s="493"/>
      <c r="R101" s="87">
        <f>SUM(R102,R103,R104)</f>
        <v>2200</v>
      </c>
      <c r="S101" s="478">
        <f t="shared" si="14"/>
        <v>1</v>
      </c>
      <c r="T101" s="87">
        <f t="shared" si="12"/>
        <v>0</v>
      </c>
      <c r="U101" s="478">
        <f t="shared" si="15"/>
        <v>0</v>
      </c>
    </row>
    <row r="102" spans="1:21" ht="19.5" customHeight="1">
      <c r="A102" s="496"/>
      <c r="B102" s="496"/>
      <c r="C102" s="76"/>
      <c r="D102" s="480" t="s">
        <v>595</v>
      </c>
      <c r="E102" s="58">
        <v>0</v>
      </c>
      <c r="F102" s="87">
        <f>SUM(H102:Q102)</f>
        <v>1500</v>
      </c>
      <c r="G102" s="87">
        <f>SUM(E102:F102)</f>
        <v>1500</v>
      </c>
      <c r="H102" s="58">
        <v>1500</v>
      </c>
      <c r="I102" s="492"/>
      <c r="J102" s="492"/>
      <c r="K102" s="492"/>
      <c r="L102" s="492"/>
      <c r="M102" s="492"/>
      <c r="N102" s="492"/>
      <c r="O102" s="492"/>
      <c r="P102" s="492"/>
      <c r="Q102" s="493"/>
      <c r="R102" s="87">
        <v>1500</v>
      </c>
      <c r="S102" s="478">
        <f>R102/G102</f>
        <v>1</v>
      </c>
      <c r="T102" s="87">
        <f>G102-R102</f>
        <v>0</v>
      </c>
      <c r="U102" s="478">
        <f>T102/G102</f>
        <v>0</v>
      </c>
    </row>
    <row r="103" spans="1:21" ht="19.5" customHeight="1">
      <c r="A103" s="496"/>
      <c r="B103" s="496"/>
      <c r="C103" s="76"/>
      <c r="D103" s="480" t="s">
        <v>584</v>
      </c>
      <c r="E103" s="58">
        <v>0</v>
      </c>
      <c r="F103" s="87">
        <f>SUM(H103:Q103)</f>
        <v>200</v>
      </c>
      <c r="G103" s="87">
        <f>SUM(E103:F103)</f>
        <v>200</v>
      </c>
      <c r="H103" s="58">
        <v>200</v>
      </c>
      <c r="I103" s="492"/>
      <c r="J103" s="492"/>
      <c r="K103" s="492"/>
      <c r="L103" s="492"/>
      <c r="M103" s="492"/>
      <c r="N103" s="492"/>
      <c r="O103" s="492"/>
      <c r="P103" s="492"/>
      <c r="Q103" s="493"/>
      <c r="R103" s="87">
        <v>200</v>
      </c>
      <c r="S103" s="478">
        <f>R103/G103</f>
        <v>1</v>
      </c>
      <c r="T103" s="87">
        <f>G103-R103</f>
        <v>0</v>
      </c>
      <c r="U103" s="478">
        <f>T103/G103</f>
        <v>0</v>
      </c>
    </row>
    <row r="104" spans="1:21" ht="19.5" customHeight="1">
      <c r="A104" s="497"/>
      <c r="B104" s="497"/>
      <c r="C104" s="497"/>
      <c r="D104" s="480" t="s">
        <v>596</v>
      </c>
      <c r="E104" s="58">
        <v>500</v>
      </c>
      <c r="F104" s="58">
        <f>SUM(H104:Q104)</f>
        <v>0</v>
      </c>
      <c r="G104" s="58">
        <f>SUM(E104:F104)</f>
        <v>500</v>
      </c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8">
        <v>500</v>
      </c>
      <c r="S104" s="483">
        <f t="shared" si="14"/>
        <v>1</v>
      </c>
      <c r="T104" s="58">
        <f t="shared" si="12"/>
        <v>0</v>
      </c>
      <c r="U104" s="483">
        <f t="shared" si="15"/>
        <v>0</v>
      </c>
    </row>
    <row r="105" spans="1:21" ht="29.25" customHeight="1">
      <c r="A105" s="495"/>
      <c r="B105" s="76">
        <v>80103</v>
      </c>
      <c r="C105" s="59"/>
      <c r="D105" s="16" t="s">
        <v>605</v>
      </c>
      <c r="E105" s="87">
        <f>SUM(E106,E110)</f>
        <v>1700</v>
      </c>
      <c r="F105" s="87">
        <f>SUM(F106,F110)</f>
        <v>0</v>
      </c>
      <c r="G105" s="87">
        <f>SUM(E105:F105)</f>
        <v>1700</v>
      </c>
      <c r="H105" s="492"/>
      <c r="I105" s="492"/>
      <c r="J105" s="492"/>
      <c r="K105" s="492"/>
      <c r="L105" s="492"/>
      <c r="M105" s="492"/>
      <c r="N105" s="492"/>
      <c r="O105" s="492"/>
      <c r="P105" s="492"/>
      <c r="Q105" s="493"/>
      <c r="R105" s="87">
        <f>SUM(R106,R110)</f>
        <v>1700</v>
      </c>
      <c r="S105" s="478">
        <f t="shared" si="14"/>
        <v>1</v>
      </c>
      <c r="T105" s="87">
        <f t="shared" si="12"/>
        <v>0</v>
      </c>
      <c r="U105" s="478">
        <f t="shared" si="15"/>
        <v>0</v>
      </c>
    </row>
    <row r="106" spans="1:21" ht="19.5" customHeight="1">
      <c r="A106" s="496"/>
      <c r="B106" s="76"/>
      <c r="C106" s="59">
        <v>4210</v>
      </c>
      <c r="D106" s="16" t="s">
        <v>69</v>
      </c>
      <c r="E106" s="87">
        <f>SUM(E107,E108,E109)</f>
        <v>1700</v>
      </c>
      <c r="F106" s="87">
        <f>SUM(F107,F108,F109)</f>
        <v>-1400</v>
      </c>
      <c r="G106" s="87">
        <f t="shared" si="10"/>
        <v>300</v>
      </c>
      <c r="H106" s="492"/>
      <c r="I106" s="492"/>
      <c r="J106" s="492"/>
      <c r="K106" s="492"/>
      <c r="L106" s="492"/>
      <c r="M106" s="492"/>
      <c r="N106" s="492"/>
      <c r="O106" s="492"/>
      <c r="P106" s="492"/>
      <c r="Q106" s="493"/>
      <c r="R106" s="87">
        <f>SUM(R107,R108,R109)</f>
        <v>300</v>
      </c>
      <c r="S106" s="478">
        <f t="shared" si="14"/>
        <v>1</v>
      </c>
      <c r="T106" s="87">
        <f t="shared" si="12"/>
        <v>0</v>
      </c>
      <c r="U106" s="478">
        <f t="shared" si="15"/>
        <v>0</v>
      </c>
    </row>
    <row r="107" spans="1:21" ht="19.5" customHeight="1">
      <c r="A107" s="498"/>
      <c r="B107" s="498"/>
      <c r="C107" s="499"/>
      <c r="D107" s="480" t="s">
        <v>595</v>
      </c>
      <c r="E107" s="58">
        <v>1000</v>
      </c>
      <c r="F107" s="58">
        <f>SUM(H107:Q107)</f>
        <v>-700</v>
      </c>
      <c r="G107" s="58">
        <f t="shared" si="10"/>
        <v>300</v>
      </c>
      <c r="H107" s="58">
        <v>-700</v>
      </c>
      <c r="I107" s="492"/>
      <c r="J107" s="492"/>
      <c r="K107" s="492"/>
      <c r="L107" s="492"/>
      <c r="M107" s="492"/>
      <c r="N107" s="492"/>
      <c r="O107" s="492"/>
      <c r="P107" s="492"/>
      <c r="Q107" s="493"/>
      <c r="R107" s="58">
        <v>300</v>
      </c>
      <c r="S107" s="483">
        <f t="shared" si="14"/>
        <v>1</v>
      </c>
      <c r="T107" s="58">
        <f t="shared" si="12"/>
        <v>0</v>
      </c>
      <c r="U107" s="483">
        <f t="shared" si="15"/>
        <v>0</v>
      </c>
    </row>
    <row r="108" spans="1:21" ht="19.5" customHeight="1">
      <c r="A108" s="498"/>
      <c r="B108" s="498"/>
      <c r="C108" s="499"/>
      <c r="D108" s="480" t="s">
        <v>584</v>
      </c>
      <c r="E108" s="58">
        <v>200</v>
      </c>
      <c r="F108" s="58">
        <f>SUM(H108:Q108)</f>
        <v>-200</v>
      </c>
      <c r="G108" s="58">
        <f t="shared" si="10"/>
        <v>0</v>
      </c>
      <c r="H108" s="58">
        <v>-200</v>
      </c>
      <c r="I108" s="492"/>
      <c r="J108" s="492"/>
      <c r="K108" s="492"/>
      <c r="L108" s="492"/>
      <c r="M108" s="492"/>
      <c r="N108" s="492"/>
      <c r="O108" s="492"/>
      <c r="P108" s="492"/>
      <c r="Q108" s="493"/>
      <c r="R108" s="58">
        <v>0</v>
      </c>
      <c r="S108" s="483">
        <v>0</v>
      </c>
      <c r="T108" s="58">
        <f t="shared" si="12"/>
        <v>0</v>
      </c>
      <c r="U108" s="483"/>
    </row>
    <row r="109" spans="1:21" ht="19.5" customHeight="1">
      <c r="A109" s="498"/>
      <c r="B109" s="498"/>
      <c r="C109" s="499"/>
      <c r="D109" s="480" t="s">
        <v>596</v>
      </c>
      <c r="E109" s="58">
        <v>500</v>
      </c>
      <c r="F109" s="58">
        <f>SUM(H109:Q109)</f>
        <v>-500</v>
      </c>
      <c r="G109" s="58">
        <f t="shared" si="10"/>
        <v>0</v>
      </c>
      <c r="H109" s="58">
        <v>-500</v>
      </c>
      <c r="I109" s="492"/>
      <c r="J109" s="492"/>
      <c r="K109" s="492"/>
      <c r="L109" s="492"/>
      <c r="M109" s="492"/>
      <c r="N109" s="492"/>
      <c r="O109" s="492"/>
      <c r="P109" s="492"/>
      <c r="Q109" s="493"/>
      <c r="R109" s="58">
        <v>0</v>
      </c>
      <c r="S109" s="483">
        <v>0</v>
      </c>
      <c r="T109" s="58">
        <f t="shared" si="12"/>
        <v>0</v>
      </c>
      <c r="U109" s="483"/>
    </row>
    <row r="110" spans="1:21" ht="30" customHeight="1">
      <c r="A110" s="498"/>
      <c r="B110" s="498"/>
      <c r="C110" s="76" t="s">
        <v>606</v>
      </c>
      <c r="D110" s="16" t="s">
        <v>102</v>
      </c>
      <c r="E110" s="58">
        <f>SUM(E111,E112,E113)</f>
        <v>0</v>
      </c>
      <c r="F110" s="58">
        <f>SUM(F111,F112,F113)</f>
        <v>1400</v>
      </c>
      <c r="G110" s="58">
        <f>SUM(E110:F110)</f>
        <v>1400</v>
      </c>
      <c r="H110" s="492"/>
      <c r="I110" s="492"/>
      <c r="J110" s="492"/>
      <c r="K110" s="492"/>
      <c r="L110" s="492"/>
      <c r="M110" s="492"/>
      <c r="N110" s="492"/>
      <c r="O110" s="492"/>
      <c r="P110" s="492"/>
      <c r="Q110" s="493"/>
      <c r="R110" s="58">
        <f>SUM(R111,R112,R113)</f>
        <v>1400</v>
      </c>
      <c r="S110" s="483">
        <f>R110/G110</f>
        <v>1</v>
      </c>
      <c r="T110" s="58">
        <f>G110-R110</f>
        <v>0</v>
      </c>
      <c r="U110" s="483">
        <f t="shared" si="15"/>
        <v>0</v>
      </c>
    </row>
    <row r="111" spans="1:21" ht="19.5" customHeight="1">
      <c r="A111" s="498"/>
      <c r="B111" s="498"/>
      <c r="C111" s="76"/>
      <c r="D111" s="480" t="s">
        <v>595</v>
      </c>
      <c r="E111" s="58">
        <v>0</v>
      </c>
      <c r="F111" s="58">
        <f>SUM(H111:Q111)</f>
        <v>700</v>
      </c>
      <c r="G111" s="58">
        <f>SUM(E111:F111)</f>
        <v>700</v>
      </c>
      <c r="H111" s="58">
        <v>700</v>
      </c>
      <c r="I111" s="492"/>
      <c r="J111" s="492"/>
      <c r="K111" s="492"/>
      <c r="L111" s="492"/>
      <c r="M111" s="492"/>
      <c r="N111" s="492"/>
      <c r="O111" s="492"/>
      <c r="P111" s="492"/>
      <c r="Q111" s="493"/>
      <c r="R111" s="58">
        <v>700</v>
      </c>
      <c r="S111" s="483">
        <f>R111/G111</f>
        <v>1</v>
      </c>
      <c r="T111" s="58">
        <f>G111-R111</f>
        <v>0</v>
      </c>
      <c r="U111" s="483">
        <f t="shared" si="15"/>
        <v>0</v>
      </c>
    </row>
    <row r="112" spans="1:21" ht="19.5" customHeight="1">
      <c r="A112" s="498"/>
      <c r="B112" s="498"/>
      <c r="C112" s="76"/>
      <c r="D112" s="480" t="s">
        <v>584</v>
      </c>
      <c r="E112" s="58">
        <v>0</v>
      </c>
      <c r="F112" s="58">
        <f>SUM(H112:Q112)</f>
        <v>200</v>
      </c>
      <c r="G112" s="58">
        <f>SUM(E112:F112)</f>
        <v>200</v>
      </c>
      <c r="H112" s="58">
        <v>200</v>
      </c>
      <c r="I112" s="492"/>
      <c r="J112" s="492"/>
      <c r="K112" s="492"/>
      <c r="L112" s="492"/>
      <c r="M112" s="492"/>
      <c r="N112" s="492"/>
      <c r="O112" s="492"/>
      <c r="P112" s="492"/>
      <c r="Q112" s="493"/>
      <c r="R112" s="58">
        <v>200</v>
      </c>
      <c r="S112" s="483">
        <f>R112/G112</f>
        <v>1</v>
      </c>
      <c r="T112" s="58">
        <f>G112-R112</f>
        <v>0</v>
      </c>
      <c r="U112" s="483">
        <f t="shared" si="15"/>
        <v>0</v>
      </c>
    </row>
    <row r="113" spans="1:21" ht="19.5" customHeight="1">
      <c r="A113" s="498"/>
      <c r="B113" s="498"/>
      <c r="C113" s="76"/>
      <c r="D113" s="480" t="s">
        <v>596</v>
      </c>
      <c r="E113" s="58">
        <v>0</v>
      </c>
      <c r="F113" s="58">
        <f>SUM(H113:Q113)</f>
        <v>500</v>
      </c>
      <c r="G113" s="58">
        <f>SUM(E113:F113)</f>
        <v>500</v>
      </c>
      <c r="H113" s="58">
        <v>500</v>
      </c>
      <c r="I113" s="492"/>
      <c r="J113" s="492"/>
      <c r="K113" s="492"/>
      <c r="L113" s="492"/>
      <c r="M113" s="492"/>
      <c r="N113" s="492"/>
      <c r="O113" s="492"/>
      <c r="P113" s="492"/>
      <c r="Q113" s="493"/>
      <c r="R113" s="58">
        <v>500</v>
      </c>
      <c r="S113" s="483">
        <f>R113/G113</f>
        <v>1</v>
      </c>
      <c r="T113" s="58">
        <f>G113-R113</f>
        <v>0</v>
      </c>
      <c r="U113" s="483">
        <f>T113/G113</f>
        <v>0</v>
      </c>
    </row>
    <row r="114" spans="1:21" ht="21" customHeight="1">
      <c r="A114" s="495"/>
      <c r="B114" s="76">
        <v>80104</v>
      </c>
      <c r="C114" s="59"/>
      <c r="D114" s="16" t="s">
        <v>243</v>
      </c>
      <c r="E114" s="87">
        <f>SUM(E115)</f>
        <v>500</v>
      </c>
      <c r="F114" s="87">
        <f>SUM(F115)</f>
        <v>-500</v>
      </c>
      <c r="G114" s="87">
        <f t="shared" si="10"/>
        <v>0</v>
      </c>
      <c r="H114" s="492"/>
      <c r="I114" s="492"/>
      <c r="J114" s="492"/>
      <c r="K114" s="492"/>
      <c r="L114" s="492"/>
      <c r="M114" s="492"/>
      <c r="N114" s="492"/>
      <c r="O114" s="492"/>
      <c r="P114" s="492"/>
      <c r="Q114" s="493"/>
      <c r="R114" s="87">
        <f>SUM(R115)</f>
        <v>0</v>
      </c>
      <c r="S114" s="478">
        <v>0</v>
      </c>
      <c r="T114" s="87">
        <f t="shared" si="12"/>
        <v>0</v>
      </c>
      <c r="U114" s="478"/>
    </row>
    <row r="115" spans="1:21" ht="21" customHeight="1">
      <c r="A115" s="496"/>
      <c r="B115" s="76"/>
      <c r="C115" s="59">
        <v>4210</v>
      </c>
      <c r="D115" s="16" t="s">
        <v>69</v>
      </c>
      <c r="E115" s="87">
        <f>SUM(E116)</f>
        <v>500</v>
      </c>
      <c r="F115" s="87">
        <f>SUM(F116)</f>
        <v>-500</v>
      </c>
      <c r="G115" s="87">
        <f t="shared" si="10"/>
        <v>0</v>
      </c>
      <c r="H115" s="492"/>
      <c r="I115" s="492"/>
      <c r="J115" s="492"/>
      <c r="K115" s="492"/>
      <c r="L115" s="492"/>
      <c r="M115" s="492"/>
      <c r="N115" s="492"/>
      <c r="O115" s="492"/>
      <c r="P115" s="492"/>
      <c r="Q115" s="493"/>
      <c r="R115" s="87">
        <f>SUM(R116)</f>
        <v>0</v>
      </c>
      <c r="S115" s="478">
        <v>0</v>
      </c>
      <c r="T115" s="87">
        <f t="shared" si="12"/>
        <v>0</v>
      </c>
      <c r="U115" s="478"/>
    </row>
    <row r="116" spans="1:21" ht="19.5" customHeight="1">
      <c r="A116" s="498"/>
      <c r="B116" s="498"/>
      <c r="C116" s="499"/>
      <c r="D116" s="480" t="s">
        <v>590</v>
      </c>
      <c r="E116" s="58">
        <v>500</v>
      </c>
      <c r="F116" s="58">
        <f>SUM(H116:Q116)</f>
        <v>-500</v>
      </c>
      <c r="G116" s="58">
        <f t="shared" si="10"/>
        <v>0</v>
      </c>
      <c r="H116" s="58">
        <v>-500</v>
      </c>
      <c r="I116" s="492"/>
      <c r="J116" s="492"/>
      <c r="K116" s="492"/>
      <c r="L116" s="492"/>
      <c r="M116" s="492"/>
      <c r="N116" s="492"/>
      <c r="O116" s="492"/>
      <c r="P116" s="492"/>
      <c r="Q116" s="493"/>
      <c r="R116" s="58">
        <v>0</v>
      </c>
      <c r="S116" s="483">
        <v>0</v>
      </c>
      <c r="T116" s="58">
        <f t="shared" si="12"/>
        <v>0</v>
      </c>
      <c r="U116" s="483"/>
    </row>
    <row r="117" spans="1:21" ht="18.75" customHeight="1">
      <c r="A117" s="495"/>
      <c r="B117" s="76">
        <v>80110</v>
      </c>
      <c r="C117" s="59"/>
      <c r="D117" s="16" t="s">
        <v>53</v>
      </c>
      <c r="E117" s="87">
        <f>SUM(E118)</f>
        <v>1000</v>
      </c>
      <c r="F117" s="87">
        <f>SUM(F118)</f>
        <v>0</v>
      </c>
      <c r="G117" s="87">
        <f t="shared" si="10"/>
        <v>1000</v>
      </c>
      <c r="H117" s="492"/>
      <c r="I117" s="492"/>
      <c r="J117" s="492"/>
      <c r="K117" s="492"/>
      <c r="L117" s="492"/>
      <c r="M117" s="492"/>
      <c r="N117" s="492"/>
      <c r="O117" s="492"/>
      <c r="P117" s="492"/>
      <c r="Q117" s="493"/>
      <c r="R117" s="87">
        <f>SUM(R118)</f>
        <v>1000</v>
      </c>
      <c r="S117" s="478">
        <f t="shared" si="14"/>
        <v>1</v>
      </c>
      <c r="T117" s="87">
        <f t="shared" si="12"/>
        <v>0</v>
      </c>
      <c r="U117" s="478">
        <f t="shared" si="15"/>
        <v>0</v>
      </c>
    </row>
    <row r="118" spans="1:21" ht="18.75" customHeight="1">
      <c r="A118" s="496"/>
      <c r="B118" s="76"/>
      <c r="C118" s="59">
        <v>4210</v>
      </c>
      <c r="D118" s="16" t="s">
        <v>69</v>
      </c>
      <c r="E118" s="87">
        <f>SUM(E119)</f>
        <v>1000</v>
      </c>
      <c r="F118" s="87">
        <f>SUM(F119)</f>
        <v>0</v>
      </c>
      <c r="G118" s="87">
        <f t="shared" si="10"/>
        <v>1000</v>
      </c>
      <c r="H118" s="492"/>
      <c r="I118" s="492"/>
      <c r="J118" s="492"/>
      <c r="K118" s="492"/>
      <c r="L118" s="492"/>
      <c r="M118" s="492"/>
      <c r="N118" s="492"/>
      <c r="O118" s="492"/>
      <c r="P118" s="492"/>
      <c r="Q118" s="493"/>
      <c r="R118" s="87">
        <f>SUM(R119)</f>
        <v>1000</v>
      </c>
      <c r="S118" s="478">
        <f t="shared" si="14"/>
        <v>1</v>
      </c>
      <c r="T118" s="87">
        <f t="shared" si="12"/>
        <v>0</v>
      </c>
      <c r="U118" s="478">
        <f t="shared" si="15"/>
        <v>0</v>
      </c>
    </row>
    <row r="119" spans="1:21" ht="19.5" customHeight="1">
      <c r="A119" s="498"/>
      <c r="B119" s="498"/>
      <c r="C119" s="499"/>
      <c r="D119" s="480" t="s">
        <v>590</v>
      </c>
      <c r="E119" s="58">
        <v>1000</v>
      </c>
      <c r="F119" s="58">
        <f>SUM(H119:Q119)</f>
        <v>0</v>
      </c>
      <c r="G119" s="58">
        <f t="shared" si="10"/>
        <v>1000</v>
      </c>
      <c r="H119" s="492"/>
      <c r="I119" s="492"/>
      <c r="J119" s="492"/>
      <c r="K119" s="492"/>
      <c r="L119" s="492"/>
      <c r="M119" s="492"/>
      <c r="N119" s="492"/>
      <c r="O119" s="492"/>
      <c r="P119" s="492"/>
      <c r="Q119" s="493"/>
      <c r="R119" s="58">
        <v>1000</v>
      </c>
      <c r="S119" s="483">
        <f t="shared" si="14"/>
        <v>1</v>
      </c>
      <c r="T119" s="58">
        <f t="shared" si="12"/>
        <v>0</v>
      </c>
      <c r="U119" s="483">
        <f t="shared" si="15"/>
        <v>0</v>
      </c>
    </row>
    <row r="120" spans="1:21" s="67" customFormat="1" ht="23.25" customHeight="1">
      <c r="A120" s="37">
        <v>851</v>
      </c>
      <c r="B120" s="500"/>
      <c r="C120" s="501"/>
      <c r="D120" s="502" t="s">
        <v>54</v>
      </c>
      <c r="E120" s="45">
        <f aca="true" t="shared" si="16" ref="E120:F122">SUM(E121)</f>
        <v>1200</v>
      </c>
      <c r="F120" s="21">
        <f t="shared" si="16"/>
        <v>32</v>
      </c>
      <c r="G120" s="21">
        <f t="shared" si="10"/>
        <v>1232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88"/>
      <c r="R120" s="213">
        <f>SUM(R121)</f>
        <v>1223.6</v>
      </c>
      <c r="S120" s="476">
        <f t="shared" si="14"/>
        <v>0.993181818181818</v>
      </c>
      <c r="T120" s="118">
        <f t="shared" si="12"/>
        <v>8.400000000000091</v>
      </c>
      <c r="U120" s="477">
        <f t="shared" si="15"/>
        <v>0.006818181818181892</v>
      </c>
    </row>
    <row r="121" spans="1:21" s="101" customFormat="1" ht="23.25" customHeight="1">
      <c r="A121" s="76"/>
      <c r="B121" s="76">
        <v>85154</v>
      </c>
      <c r="C121" s="59"/>
      <c r="D121" s="503" t="s">
        <v>55</v>
      </c>
      <c r="E121" s="66">
        <f t="shared" si="16"/>
        <v>1200</v>
      </c>
      <c r="F121" s="87">
        <f t="shared" si="16"/>
        <v>32</v>
      </c>
      <c r="G121" s="87">
        <f t="shared" si="10"/>
        <v>1232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174"/>
      <c r="R121" s="87">
        <f>SUM(R122)</f>
        <v>1223.6</v>
      </c>
      <c r="S121" s="478">
        <f t="shared" si="14"/>
        <v>0.993181818181818</v>
      </c>
      <c r="T121" s="87">
        <f t="shared" si="12"/>
        <v>8.400000000000091</v>
      </c>
      <c r="U121" s="478">
        <f t="shared" si="15"/>
        <v>0.006818181818181892</v>
      </c>
    </row>
    <row r="122" spans="1:21" s="101" customFormat="1" ht="30" customHeight="1">
      <c r="A122" s="76"/>
      <c r="B122" s="76"/>
      <c r="C122" s="59">
        <v>4350</v>
      </c>
      <c r="D122" s="503" t="s">
        <v>607</v>
      </c>
      <c r="E122" s="66">
        <f t="shared" si="16"/>
        <v>1200</v>
      </c>
      <c r="F122" s="87">
        <f t="shared" si="16"/>
        <v>32</v>
      </c>
      <c r="G122" s="87">
        <f t="shared" si="10"/>
        <v>1232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174"/>
      <c r="R122" s="87">
        <f>SUM(R123)</f>
        <v>1223.6</v>
      </c>
      <c r="S122" s="478">
        <f t="shared" si="14"/>
        <v>0.993181818181818</v>
      </c>
      <c r="T122" s="87">
        <f t="shared" si="12"/>
        <v>8.400000000000091</v>
      </c>
      <c r="U122" s="478">
        <f t="shared" si="15"/>
        <v>0.006818181818181892</v>
      </c>
    </row>
    <row r="123" spans="1:21" s="484" customFormat="1" ht="19.5" customHeight="1">
      <c r="A123" s="93"/>
      <c r="B123" s="93"/>
      <c r="C123" s="53"/>
      <c r="D123" s="480" t="s">
        <v>590</v>
      </c>
      <c r="E123" s="58">
        <v>1200</v>
      </c>
      <c r="F123" s="58">
        <f>SUM(H123:Q123)</f>
        <v>32</v>
      </c>
      <c r="G123" s="58">
        <f t="shared" si="10"/>
        <v>1232</v>
      </c>
      <c r="H123" s="58"/>
      <c r="I123" s="58"/>
      <c r="J123" s="58"/>
      <c r="K123" s="58"/>
      <c r="L123" s="58"/>
      <c r="M123" s="58"/>
      <c r="N123" s="58"/>
      <c r="O123" s="170">
        <v>32</v>
      </c>
      <c r="P123" s="58"/>
      <c r="Q123" s="170"/>
      <c r="R123" s="58">
        <v>1223.6</v>
      </c>
      <c r="S123" s="483">
        <f t="shared" si="14"/>
        <v>0.993181818181818</v>
      </c>
      <c r="T123" s="58">
        <f t="shared" si="12"/>
        <v>8.400000000000091</v>
      </c>
      <c r="U123" s="483">
        <f t="shared" si="15"/>
        <v>0.006818181818181892</v>
      </c>
    </row>
    <row r="124" spans="1:21" s="67" customFormat="1" ht="27" customHeight="1">
      <c r="A124" s="37">
        <v>854</v>
      </c>
      <c r="B124" s="6"/>
      <c r="C124" s="6"/>
      <c r="D124" s="24" t="s">
        <v>59</v>
      </c>
      <c r="E124" s="21">
        <f>SUM(E125)</f>
        <v>25890</v>
      </c>
      <c r="F124" s="21">
        <f>SUM(F125)</f>
        <v>-562</v>
      </c>
      <c r="G124" s="21">
        <f t="shared" si="10"/>
        <v>25328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88"/>
      <c r="R124" s="213">
        <f>SUM(R125)</f>
        <v>25326.67</v>
      </c>
      <c r="S124" s="476">
        <f t="shared" si="14"/>
        <v>0.999947488945041</v>
      </c>
      <c r="T124" s="118">
        <f t="shared" si="12"/>
        <v>1.3300000000017462</v>
      </c>
      <c r="U124" s="477">
        <f t="shared" si="15"/>
        <v>5.251105495900767E-05</v>
      </c>
    </row>
    <row r="125" spans="1:21" s="101" customFormat="1" ht="27" customHeight="1">
      <c r="A125" s="92"/>
      <c r="B125" s="76">
        <v>85412</v>
      </c>
      <c r="C125" s="59"/>
      <c r="D125" s="16" t="s">
        <v>608</v>
      </c>
      <c r="E125" s="87">
        <f>SUM(E126,E131,E137)</f>
        <v>25890</v>
      </c>
      <c r="F125" s="87">
        <f>SUM(F126,F131,F137)</f>
        <v>-562</v>
      </c>
      <c r="G125" s="87">
        <f t="shared" si="10"/>
        <v>25328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174"/>
      <c r="R125" s="87">
        <f>SUM(R126,R131,R137)</f>
        <v>25326.67</v>
      </c>
      <c r="S125" s="478">
        <f t="shared" si="14"/>
        <v>0.999947488945041</v>
      </c>
      <c r="T125" s="87">
        <f t="shared" si="12"/>
        <v>1.3300000000017462</v>
      </c>
      <c r="U125" s="478">
        <f t="shared" si="15"/>
        <v>5.251105495900767E-05</v>
      </c>
    </row>
    <row r="126" spans="1:21" s="101" customFormat="1" ht="21" customHeight="1">
      <c r="A126" s="92"/>
      <c r="B126" s="92"/>
      <c r="C126" s="59">
        <v>4210</v>
      </c>
      <c r="D126" s="16" t="s">
        <v>87</v>
      </c>
      <c r="E126" s="87">
        <f>SUM(E127,E128,E129,E130)</f>
        <v>2390</v>
      </c>
      <c r="F126" s="87">
        <f>SUM(F127,F128,F129,F130)</f>
        <v>568</v>
      </c>
      <c r="G126" s="87">
        <f t="shared" si="10"/>
        <v>2958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174"/>
      <c r="R126" s="87">
        <f>SUM(R127,R128,R129,R130)</f>
        <v>2957.19</v>
      </c>
      <c r="S126" s="478">
        <f t="shared" si="14"/>
        <v>0.9997261663286005</v>
      </c>
      <c r="T126" s="87">
        <f t="shared" si="12"/>
        <v>0.8099999999999454</v>
      </c>
      <c r="U126" s="478">
        <f t="shared" si="15"/>
        <v>0.0002738336713995759</v>
      </c>
    </row>
    <row r="127" spans="1:21" s="484" customFormat="1" ht="19.5" customHeight="1">
      <c r="A127" s="504"/>
      <c r="B127" s="504"/>
      <c r="C127" s="53"/>
      <c r="D127" s="480" t="s">
        <v>588</v>
      </c>
      <c r="E127" s="58">
        <v>2000</v>
      </c>
      <c r="F127" s="58">
        <f>SUM(H127:Q127)</f>
        <v>-32</v>
      </c>
      <c r="G127" s="58">
        <f t="shared" si="10"/>
        <v>1968</v>
      </c>
      <c r="H127" s="58"/>
      <c r="I127" s="58"/>
      <c r="J127" s="58"/>
      <c r="K127" s="58"/>
      <c r="L127" s="58"/>
      <c r="M127" s="58"/>
      <c r="N127" s="170">
        <v>-32</v>
      </c>
      <c r="O127" s="58"/>
      <c r="P127" s="58"/>
      <c r="Q127" s="170"/>
      <c r="R127" s="58">
        <v>1967.25</v>
      </c>
      <c r="S127" s="483">
        <f t="shared" si="14"/>
        <v>0.9996189024390244</v>
      </c>
      <c r="T127" s="58">
        <f t="shared" si="12"/>
        <v>0.75</v>
      </c>
      <c r="U127" s="483">
        <f t="shared" si="15"/>
        <v>0.00038109756097560977</v>
      </c>
    </row>
    <row r="128" spans="1:21" s="484" customFormat="1" ht="19.5" customHeight="1">
      <c r="A128" s="504"/>
      <c r="B128" s="504"/>
      <c r="C128" s="53"/>
      <c r="D128" s="480" t="s">
        <v>590</v>
      </c>
      <c r="E128" s="58">
        <v>190</v>
      </c>
      <c r="F128" s="58">
        <f>SUM(H128:Q128)</f>
        <v>0</v>
      </c>
      <c r="G128" s="58">
        <f t="shared" si="10"/>
        <v>190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170"/>
      <c r="R128" s="58">
        <v>189.86</v>
      </c>
      <c r="S128" s="483">
        <f t="shared" si="14"/>
        <v>0.999263157894737</v>
      </c>
      <c r="T128" s="58">
        <f t="shared" si="12"/>
        <v>0.13999999999998636</v>
      </c>
      <c r="U128" s="483">
        <f t="shared" si="15"/>
        <v>0.000736842105263086</v>
      </c>
    </row>
    <row r="129" spans="1:21" s="484" customFormat="1" ht="19.5" customHeight="1">
      <c r="A129" s="504"/>
      <c r="B129" s="504"/>
      <c r="C129" s="53"/>
      <c r="D129" s="480" t="s">
        <v>591</v>
      </c>
      <c r="E129" s="58">
        <v>200</v>
      </c>
      <c r="F129" s="58">
        <f>SUM(H129:Q129)</f>
        <v>0</v>
      </c>
      <c r="G129" s="58">
        <f t="shared" si="10"/>
        <v>200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170"/>
      <c r="R129" s="58">
        <v>200.08</v>
      </c>
      <c r="S129" s="483">
        <f t="shared" si="14"/>
        <v>1.0004</v>
      </c>
      <c r="T129" s="58">
        <f t="shared" si="12"/>
        <v>-0.0800000000000125</v>
      </c>
      <c r="U129" s="483">
        <f t="shared" si="15"/>
        <v>-0.0004000000000000625</v>
      </c>
    </row>
    <row r="130" spans="1:21" s="484" customFormat="1" ht="19.5" customHeight="1">
      <c r="A130" s="504"/>
      <c r="B130" s="504"/>
      <c r="C130" s="53"/>
      <c r="D130" s="480" t="s">
        <v>604</v>
      </c>
      <c r="E130" s="58">
        <v>0</v>
      </c>
      <c r="F130" s="58">
        <f>SUM(H130:Q130)</f>
        <v>600</v>
      </c>
      <c r="G130" s="58">
        <f>SUM(E130:F130)</f>
        <v>600</v>
      </c>
      <c r="H130" s="58"/>
      <c r="I130" s="58"/>
      <c r="J130" s="58"/>
      <c r="K130" s="58"/>
      <c r="L130" s="58"/>
      <c r="M130" s="58"/>
      <c r="N130" s="170">
        <v>600</v>
      </c>
      <c r="O130" s="58"/>
      <c r="P130" s="58"/>
      <c r="Q130" s="170"/>
      <c r="R130" s="58">
        <v>600</v>
      </c>
      <c r="S130" s="483">
        <f>R130/G130</f>
        <v>1</v>
      </c>
      <c r="T130" s="58">
        <f>G130-R130</f>
        <v>0</v>
      </c>
      <c r="U130" s="483">
        <f>T130/G130</f>
        <v>0</v>
      </c>
    </row>
    <row r="131" spans="1:21" s="101" customFormat="1" ht="19.5" customHeight="1">
      <c r="A131" s="76"/>
      <c r="B131" s="76"/>
      <c r="C131" s="59">
        <v>4300</v>
      </c>
      <c r="D131" s="16" t="s">
        <v>76</v>
      </c>
      <c r="E131" s="87">
        <f>SUM(E132,E133,E134,E135,E136)</f>
        <v>7500</v>
      </c>
      <c r="F131" s="87">
        <f>SUM(F132,F133,F134,F135,F136)</f>
        <v>-1032</v>
      </c>
      <c r="G131" s="87">
        <f t="shared" si="10"/>
        <v>6468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174"/>
      <c r="R131" s="87">
        <f>SUM(R132,R133,R134,R135,R136)</f>
        <v>6468</v>
      </c>
      <c r="S131" s="478">
        <f t="shared" si="14"/>
        <v>1</v>
      </c>
      <c r="T131" s="87">
        <f t="shared" si="12"/>
        <v>0</v>
      </c>
      <c r="U131" s="478">
        <f t="shared" si="15"/>
        <v>0</v>
      </c>
    </row>
    <row r="132" spans="1:21" s="484" customFormat="1" ht="19.5" customHeight="1">
      <c r="A132" s="93"/>
      <c r="B132" s="93"/>
      <c r="C132" s="53"/>
      <c r="D132" s="480" t="s">
        <v>584</v>
      </c>
      <c r="E132" s="58">
        <v>700</v>
      </c>
      <c r="F132" s="58">
        <f>SUM(H132:Q132)</f>
        <v>-92</v>
      </c>
      <c r="G132" s="58">
        <f t="shared" si="10"/>
        <v>608</v>
      </c>
      <c r="H132" s="58"/>
      <c r="I132" s="58"/>
      <c r="J132" s="58"/>
      <c r="K132" s="58"/>
      <c r="L132" s="58"/>
      <c r="M132" s="58"/>
      <c r="N132" s="170">
        <v>-92</v>
      </c>
      <c r="O132" s="58"/>
      <c r="P132" s="58"/>
      <c r="Q132" s="170"/>
      <c r="R132" s="58">
        <v>608</v>
      </c>
      <c r="S132" s="483">
        <f t="shared" si="14"/>
        <v>1</v>
      </c>
      <c r="T132" s="58">
        <f t="shared" si="12"/>
        <v>0</v>
      </c>
      <c r="U132" s="483">
        <f t="shared" si="15"/>
        <v>0</v>
      </c>
    </row>
    <row r="133" spans="1:21" s="484" customFormat="1" ht="19.5" customHeight="1">
      <c r="A133" s="93"/>
      <c r="B133" s="93"/>
      <c r="C133" s="53"/>
      <c r="D133" s="480" t="s">
        <v>587</v>
      </c>
      <c r="E133" s="58">
        <v>2000</v>
      </c>
      <c r="F133" s="58">
        <f>SUM(H133:Q133)</f>
        <v>0</v>
      </c>
      <c r="G133" s="58">
        <f t="shared" si="10"/>
        <v>2000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170"/>
      <c r="R133" s="58">
        <v>2000</v>
      </c>
      <c r="S133" s="483">
        <f t="shared" si="14"/>
        <v>1</v>
      </c>
      <c r="T133" s="58">
        <f t="shared" si="12"/>
        <v>0</v>
      </c>
      <c r="U133" s="483">
        <f t="shared" si="15"/>
        <v>0</v>
      </c>
    </row>
    <row r="134" spans="1:21" s="484" customFormat="1" ht="19.5" customHeight="1">
      <c r="A134" s="93"/>
      <c r="B134" s="93"/>
      <c r="C134" s="53"/>
      <c r="D134" s="480" t="s">
        <v>588</v>
      </c>
      <c r="E134" s="58">
        <v>2000</v>
      </c>
      <c r="F134" s="58">
        <f>SUM(H134:Q134)</f>
        <v>0</v>
      </c>
      <c r="G134" s="58">
        <f t="shared" si="10"/>
        <v>2000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170"/>
      <c r="R134" s="58">
        <v>2000</v>
      </c>
      <c r="S134" s="483">
        <f t="shared" si="14"/>
        <v>1</v>
      </c>
      <c r="T134" s="58">
        <f t="shared" si="12"/>
        <v>0</v>
      </c>
      <c r="U134" s="483">
        <f t="shared" si="15"/>
        <v>0</v>
      </c>
    </row>
    <row r="135" spans="1:21" s="484" customFormat="1" ht="19.5" customHeight="1">
      <c r="A135" s="93"/>
      <c r="B135" s="93"/>
      <c r="C135" s="53"/>
      <c r="D135" s="480" t="s">
        <v>591</v>
      </c>
      <c r="E135" s="58">
        <v>1500</v>
      </c>
      <c r="F135" s="58">
        <f>SUM(H135:Q135)</f>
        <v>0</v>
      </c>
      <c r="G135" s="58">
        <f t="shared" si="10"/>
        <v>1500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170"/>
      <c r="R135" s="58">
        <v>1500</v>
      </c>
      <c r="S135" s="483">
        <f t="shared" si="14"/>
        <v>1</v>
      </c>
      <c r="T135" s="58">
        <f t="shared" si="12"/>
        <v>0</v>
      </c>
      <c r="U135" s="483">
        <f t="shared" si="15"/>
        <v>0</v>
      </c>
    </row>
    <row r="136" spans="1:21" s="484" customFormat="1" ht="19.5" customHeight="1">
      <c r="A136" s="93"/>
      <c r="B136" s="93"/>
      <c r="C136" s="53"/>
      <c r="D136" s="480" t="s">
        <v>604</v>
      </c>
      <c r="E136" s="58">
        <v>1300</v>
      </c>
      <c r="F136" s="58">
        <f>SUM(H136:Q136)</f>
        <v>-940</v>
      </c>
      <c r="G136" s="58">
        <f t="shared" si="10"/>
        <v>360</v>
      </c>
      <c r="H136" s="58"/>
      <c r="I136" s="58"/>
      <c r="J136" s="58"/>
      <c r="K136" s="58"/>
      <c r="L136" s="58"/>
      <c r="M136" s="58"/>
      <c r="N136" s="170">
        <v>-940</v>
      </c>
      <c r="O136" s="58"/>
      <c r="P136" s="58"/>
      <c r="Q136" s="170"/>
      <c r="R136" s="58">
        <v>360</v>
      </c>
      <c r="S136" s="483">
        <f t="shared" si="14"/>
        <v>1</v>
      </c>
      <c r="T136" s="58">
        <f t="shared" si="12"/>
        <v>0</v>
      </c>
      <c r="U136" s="483">
        <f t="shared" si="15"/>
        <v>0</v>
      </c>
    </row>
    <row r="137" spans="1:21" s="101" customFormat="1" ht="34.5" customHeight="1">
      <c r="A137" s="76"/>
      <c r="B137" s="76"/>
      <c r="C137" s="505">
        <v>6050</v>
      </c>
      <c r="D137" s="506" t="s">
        <v>70</v>
      </c>
      <c r="E137" s="87">
        <f>SUM(E138)</f>
        <v>16000</v>
      </c>
      <c r="F137" s="87">
        <f>SUM(F138)</f>
        <v>-98</v>
      </c>
      <c r="G137" s="87">
        <f t="shared" si="10"/>
        <v>15902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174"/>
      <c r="R137" s="87">
        <f>SUM(R138)</f>
        <v>15901.48</v>
      </c>
      <c r="S137" s="478">
        <f t="shared" si="14"/>
        <v>0.9999672997107282</v>
      </c>
      <c r="T137" s="87">
        <f t="shared" si="12"/>
        <v>0.5200000000004366</v>
      </c>
      <c r="U137" s="478">
        <f t="shared" si="15"/>
        <v>3.270028927181717E-05</v>
      </c>
    </row>
    <row r="138" spans="1:21" s="101" customFormat="1" ht="19.5" customHeight="1">
      <c r="A138" s="76"/>
      <c r="B138" s="76"/>
      <c r="C138" s="53"/>
      <c r="D138" s="480" t="s">
        <v>597</v>
      </c>
      <c r="E138" s="58">
        <v>16000</v>
      </c>
      <c r="F138" s="58">
        <f>SUM(H138:Q138)</f>
        <v>-98</v>
      </c>
      <c r="G138" s="58">
        <f t="shared" si="10"/>
        <v>15902</v>
      </c>
      <c r="H138" s="87"/>
      <c r="I138" s="87"/>
      <c r="J138" s="87"/>
      <c r="K138" s="87"/>
      <c r="L138" s="87"/>
      <c r="M138" s="87"/>
      <c r="N138" s="87"/>
      <c r="O138" s="87"/>
      <c r="P138" s="170">
        <v>-98</v>
      </c>
      <c r="Q138" s="174"/>
      <c r="R138" s="58">
        <v>15901.48</v>
      </c>
      <c r="S138" s="483">
        <f t="shared" si="14"/>
        <v>0.9999672997107282</v>
      </c>
      <c r="T138" s="58">
        <f t="shared" si="12"/>
        <v>0.5200000000004366</v>
      </c>
      <c r="U138" s="483">
        <f t="shared" si="15"/>
        <v>3.270028927181717E-05</v>
      </c>
    </row>
    <row r="139" spans="1:21" s="67" customFormat="1" ht="24.75" customHeight="1">
      <c r="A139" s="37" t="s">
        <v>106</v>
      </c>
      <c r="B139" s="6"/>
      <c r="C139" s="6"/>
      <c r="D139" s="24" t="s">
        <v>60</v>
      </c>
      <c r="E139" s="21">
        <f>SUM(E140,E149,E175)</f>
        <v>37660</v>
      </c>
      <c r="F139" s="21">
        <f>SUM(F140,F149,F175)</f>
        <v>6719</v>
      </c>
      <c r="G139" s="21">
        <f t="shared" si="10"/>
        <v>44379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88"/>
      <c r="R139" s="213">
        <f>SUM(R140,R149,R175)</f>
        <v>40284.869999999995</v>
      </c>
      <c r="S139" s="476">
        <f t="shared" si="14"/>
        <v>0.9077462313256269</v>
      </c>
      <c r="T139" s="118">
        <f t="shared" si="12"/>
        <v>4094.1300000000047</v>
      </c>
      <c r="U139" s="477">
        <f t="shared" si="15"/>
        <v>0.09225376867437311</v>
      </c>
    </row>
    <row r="140" spans="1:21" s="101" customFormat="1" ht="18.75" customHeight="1">
      <c r="A140" s="92"/>
      <c r="B140" s="76" t="s">
        <v>108</v>
      </c>
      <c r="C140" s="59"/>
      <c r="D140" s="16" t="s">
        <v>109</v>
      </c>
      <c r="E140" s="87">
        <f>SUM(E141)</f>
        <v>2240</v>
      </c>
      <c r="F140" s="87">
        <f>SUM(F141)</f>
        <v>-348</v>
      </c>
      <c r="G140" s="87">
        <f t="shared" si="10"/>
        <v>1892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174"/>
      <c r="R140" s="87">
        <f>SUM(R141)</f>
        <v>1358.6999999999998</v>
      </c>
      <c r="S140" s="478">
        <f t="shared" si="14"/>
        <v>0.7181289640591966</v>
      </c>
      <c r="T140" s="87">
        <f t="shared" si="12"/>
        <v>533.3000000000002</v>
      </c>
      <c r="U140" s="478">
        <f t="shared" si="15"/>
        <v>0.2818710359408035</v>
      </c>
    </row>
    <row r="141" spans="1:21" s="101" customFormat="1" ht="20.25" customHeight="1">
      <c r="A141" s="76"/>
      <c r="B141" s="76"/>
      <c r="C141" s="59">
        <v>4300</v>
      </c>
      <c r="D141" s="507" t="s">
        <v>76</v>
      </c>
      <c r="E141" s="87">
        <f>SUM(E142,E143,E144,E145,E146,E147,E148)</f>
        <v>2240</v>
      </c>
      <c r="F141" s="87">
        <f>SUM(F142,F143,F144,F145,F146,F147,F148)</f>
        <v>-348</v>
      </c>
      <c r="G141" s="87">
        <f t="shared" si="10"/>
        <v>1892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174"/>
      <c r="R141" s="87">
        <f>SUM(R142,R143,R144,R145,R146,R147,R148)</f>
        <v>1358.6999999999998</v>
      </c>
      <c r="S141" s="478">
        <f t="shared" si="14"/>
        <v>0.7181289640591966</v>
      </c>
      <c r="T141" s="87">
        <f t="shared" si="12"/>
        <v>533.3000000000002</v>
      </c>
      <c r="U141" s="478">
        <f t="shared" si="15"/>
        <v>0.2818710359408035</v>
      </c>
    </row>
    <row r="142" spans="1:21" s="484" customFormat="1" ht="19.5" customHeight="1">
      <c r="A142" s="479"/>
      <c r="B142" s="479"/>
      <c r="C142" s="479"/>
      <c r="D142" s="480" t="s">
        <v>582</v>
      </c>
      <c r="E142" s="58">
        <v>300</v>
      </c>
      <c r="F142" s="58">
        <f aca="true" t="shared" si="17" ref="F142:F148">SUM(H142:Q142)</f>
        <v>0</v>
      </c>
      <c r="G142" s="58">
        <f t="shared" si="10"/>
        <v>300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170"/>
      <c r="R142" s="58">
        <v>300</v>
      </c>
      <c r="S142" s="483">
        <f t="shared" si="14"/>
        <v>1</v>
      </c>
      <c r="T142" s="58">
        <f t="shared" si="12"/>
        <v>0</v>
      </c>
      <c r="U142" s="483">
        <f t="shared" si="15"/>
        <v>0</v>
      </c>
    </row>
    <row r="143" spans="1:21" s="484" customFormat="1" ht="19.5" customHeight="1">
      <c r="A143" s="479"/>
      <c r="B143" s="479"/>
      <c r="C143" s="479"/>
      <c r="D143" s="480" t="s">
        <v>595</v>
      </c>
      <c r="E143" s="58">
        <v>0</v>
      </c>
      <c r="F143" s="58">
        <f>SUM(H143:Q143)</f>
        <v>250</v>
      </c>
      <c r="G143" s="58">
        <f>SUM(E143:F143)</f>
        <v>250</v>
      </c>
      <c r="H143" s="58"/>
      <c r="I143" s="58">
        <v>250</v>
      </c>
      <c r="J143" s="58"/>
      <c r="K143" s="58"/>
      <c r="L143" s="58"/>
      <c r="M143" s="58"/>
      <c r="N143" s="58"/>
      <c r="O143" s="58"/>
      <c r="P143" s="58"/>
      <c r="Q143" s="170"/>
      <c r="R143" s="58">
        <v>0</v>
      </c>
      <c r="S143" s="483">
        <f>R143/G143</f>
        <v>0</v>
      </c>
      <c r="T143" s="58">
        <f>G143-R143</f>
        <v>250</v>
      </c>
      <c r="U143" s="483">
        <f>T143/G143</f>
        <v>1</v>
      </c>
    </row>
    <row r="144" spans="1:21" s="484" customFormat="1" ht="19.5" customHeight="1">
      <c r="A144" s="479"/>
      <c r="B144" s="479"/>
      <c r="C144" s="479"/>
      <c r="D144" s="480" t="s">
        <v>584</v>
      </c>
      <c r="E144" s="58">
        <v>100</v>
      </c>
      <c r="F144" s="58">
        <f t="shared" si="17"/>
        <v>35</v>
      </c>
      <c r="G144" s="58">
        <f t="shared" si="10"/>
        <v>135</v>
      </c>
      <c r="H144" s="58"/>
      <c r="I144" s="58"/>
      <c r="J144" s="58"/>
      <c r="K144" s="58"/>
      <c r="L144" s="58"/>
      <c r="M144" s="58"/>
      <c r="N144" s="58">
        <v>35</v>
      </c>
      <c r="O144" s="58"/>
      <c r="P144" s="58"/>
      <c r="Q144" s="170"/>
      <c r="R144" s="58">
        <v>92.7</v>
      </c>
      <c r="S144" s="483">
        <f t="shared" si="14"/>
        <v>0.6866666666666666</v>
      </c>
      <c r="T144" s="58">
        <f t="shared" si="12"/>
        <v>42.3</v>
      </c>
      <c r="U144" s="483">
        <f t="shared" si="15"/>
        <v>0.3133333333333333</v>
      </c>
    </row>
    <row r="145" spans="1:21" s="484" customFormat="1" ht="19.5" customHeight="1">
      <c r="A145" s="479"/>
      <c r="B145" s="479"/>
      <c r="C145" s="479"/>
      <c r="D145" s="480" t="s">
        <v>596</v>
      </c>
      <c r="E145" s="58">
        <v>300</v>
      </c>
      <c r="F145" s="58">
        <f t="shared" si="17"/>
        <v>-52</v>
      </c>
      <c r="G145" s="58">
        <f t="shared" si="10"/>
        <v>248</v>
      </c>
      <c r="H145" s="58"/>
      <c r="I145" s="58"/>
      <c r="J145" s="58"/>
      <c r="K145" s="58"/>
      <c r="L145" s="58"/>
      <c r="M145" s="58"/>
      <c r="N145" s="58">
        <v>-52</v>
      </c>
      <c r="O145" s="58"/>
      <c r="P145" s="58"/>
      <c r="Q145" s="170"/>
      <c r="R145" s="58">
        <v>247.2</v>
      </c>
      <c r="S145" s="483">
        <f t="shared" si="14"/>
        <v>0.996774193548387</v>
      </c>
      <c r="T145" s="58">
        <f t="shared" si="12"/>
        <v>0.8000000000000114</v>
      </c>
      <c r="U145" s="483">
        <f t="shared" si="15"/>
        <v>0.003225806451612949</v>
      </c>
    </row>
    <row r="146" spans="1:21" s="484" customFormat="1" ht="19.5" customHeight="1">
      <c r="A146" s="479"/>
      <c r="B146" s="479"/>
      <c r="C146" s="479"/>
      <c r="D146" s="480" t="s">
        <v>588</v>
      </c>
      <c r="E146" s="58">
        <v>300</v>
      </c>
      <c r="F146" s="58">
        <f t="shared" si="17"/>
        <v>-95</v>
      </c>
      <c r="G146" s="58">
        <f t="shared" si="10"/>
        <v>205</v>
      </c>
      <c r="H146" s="58"/>
      <c r="I146" s="58"/>
      <c r="J146" s="58"/>
      <c r="K146" s="58"/>
      <c r="L146" s="58"/>
      <c r="M146" s="58"/>
      <c r="N146" s="58">
        <v>-95</v>
      </c>
      <c r="O146" s="58"/>
      <c r="P146" s="58"/>
      <c r="Q146" s="170"/>
      <c r="R146" s="58">
        <v>159</v>
      </c>
      <c r="S146" s="483">
        <f t="shared" si="14"/>
        <v>0.775609756097561</v>
      </c>
      <c r="T146" s="58">
        <f t="shared" si="12"/>
        <v>46</v>
      </c>
      <c r="U146" s="483">
        <f t="shared" si="15"/>
        <v>0.22439024390243903</v>
      </c>
    </row>
    <row r="147" spans="1:21" s="484" customFormat="1" ht="19.5" customHeight="1">
      <c r="A147" s="479"/>
      <c r="B147" s="479"/>
      <c r="C147" s="479"/>
      <c r="D147" s="480" t="s">
        <v>590</v>
      </c>
      <c r="E147" s="58">
        <v>1000</v>
      </c>
      <c r="F147" s="58">
        <f t="shared" si="17"/>
        <v>-516</v>
      </c>
      <c r="G147" s="58">
        <f t="shared" si="10"/>
        <v>484</v>
      </c>
      <c r="H147" s="58"/>
      <c r="I147" s="58"/>
      <c r="J147" s="58"/>
      <c r="K147" s="58"/>
      <c r="L147" s="58"/>
      <c r="M147" s="58"/>
      <c r="N147" s="58"/>
      <c r="O147" s="58">
        <v>-516</v>
      </c>
      <c r="P147" s="58"/>
      <c r="Q147" s="170"/>
      <c r="R147" s="58">
        <v>349.2</v>
      </c>
      <c r="S147" s="483">
        <f t="shared" si="14"/>
        <v>0.7214876033057851</v>
      </c>
      <c r="T147" s="58">
        <f t="shared" si="12"/>
        <v>134.8</v>
      </c>
      <c r="U147" s="483">
        <f t="shared" si="15"/>
        <v>0.2785123966942149</v>
      </c>
    </row>
    <row r="148" spans="1:21" s="484" customFormat="1" ht="19.5" customHeight="1">
      <c r="A148" s="479"/>
      <c r="B148" s="479"/>
      <c r="C148" s="479"/>
      <c r="D148" s="480" t="s">
        <v>597</v>
      </c>
      <c r="E148" s="58">
        <v>240</v>
      </c>
      <c r="F148" s="58">
        <f t="shared" si="17"/>
        <v>30</v>
      </c>
      <c r="G148" s="58">
        <f t="shared" si="10"/>
        <v>270</v>
      </c>
      <c r="H148" s="58"/>
      <c r="I148" s="58"/>
      <c r="J148" s="58"/>
      <c r="K148" s="58"/>
      <c r="L148" s="58"/>
      <c r="M148" s="58"/>
      <c r="N148" s="58"/>
      <c r="O148" s="58"/>
      <c r="P148" s="58">
        <v>30</v>
      </c>
      <c r="Q148" s="170"/>
      <c r="R148" s="58">
        <v>210.6</v>
      </c>
      <c r="S148" s="483">
        <f t="shared" si="14"/>
        <v>0.78</v>
      </c>
      <c r="T148" s="58">
        <f t="shared" si="12"/>
        <v>59.400000000000006</v>
      </c>
      <c r="U148" s="483">
        <f t="shared" si="15"/>
        <v>0.22000000000000003</v>
      </c>
    </row>
    <row r="149" spans="1:21" s="101" customFormat="1" ht="24.75" customHeight="1">
      <c r="A149" s="92"/>
      <c r="B149" s="76" t="s">
        <v>110</v>
      </c>
      <c r="C149" s="59"/>
      <c r="D149" s="16" t="s">
        <v>609</v>
      </c>
      <c r="E149" s="87">
        <f>SUM(E150,E166,E168)</f>
        <v>32420</v>
      </c>
      <c r="F149" s="87">
        <f>SUM(F150,F166,F168)</f>
        <v>5467</v>
      </c>
      <c r="G149" s="87">
        <f t="shared" si="10"/>
        <v>37887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174"/>
      <c r="R149" s="87">
        <f>SUM(R150,R166,R168)</f>
        <v>37767.17</v>
      </c>
      <c r="S149" s="478">
        <f t="shared" si="14"/>
        <v>0.9968371737007417</v>
      </c>
      <c r="T149" s="87">
        <f t="shared" si="12"/>
        <v>119.83000000000175</v>
      </c>
      <c r="U149" s="478">
        <f t="shared" si="15"/>
        <v>0.003162826299258367</v>
      </c>
    </row>
    <row r="150" spans="1:21" s="101" customFormat="1" ht="22.5" customHeight="1">
      <c r="A150" s="76"/>
      <c r="B150" s="76"/>
      <c r="C150" s="76" t="s">
        <v>601</v>
      </c>
      <c r="D150" s="16" t="s">
        <v>87</v>
      </c>
      <c r="E150" s="87">
        <f>SUM(E151,E152,E153,E154,E155,E156,E157,E158,E159,E160,E161,E162,E163,E164,E165)</f>
        <v>26220</v>
      </c>
      <c r="F150" s="87">
        <f>SUM(F151,F152,F153,F154,F155,F156,F157,F158,F159,F160,F161,F162,F163,F164,F165)</f>
        <v>6508</v>
      </c>
      <c r="G150" s="87">
        <f t="shared" si="10"/>
        <v>32728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174"/>
      <c r="R150" s="87">
        <f>SUM(R151,R152,R153,R154,R155,R156,R157,R158,R159,R160,R161,R162,R163,R164,R165)</f>
        <v>32611.21</v>
      </c>
      <c r="S150" s="478">
        <f t="shared" si="14"/>
        <v>0.9964314959667563</v>
      </c>
      <c r="T150" s="87">
        <f t="shared" si="12"/>
        <v>116.79000000000087</v>
      </c>
      <c r="U150" s="478">
        <f t="shared" si="15"/>
        <v>0.0035685040332437325</v>
      </c>
    </row>
    <row r="151" spans="1:21" s="484" customFormat="1" ht="19.5" customHeight="1">
      <c r="A151" s="479"/>
      <c r="B151" s="479"/>
      <c r="C151" s="479"/>
      <c r="D151" s="480" t="s">
        <v>594</v>
      </c>
      <c r="E151" s="58">
        <v>100</v>
      </c>
      <c r="F151" s="58">
        <f>SUM(H151:Q151)</f>
        <v>-100</v>
      </c>
      <c r="G151" s="58">
        <f t="shared" si="10"/>
        <v>0</v>
      </c>
      <c r="H151" s="58"/>
      <c r="I151" s="58"/>
      <c r="J151" s="58"/>
      <c r="K151" s="58"/>
      <c r="L151" s="58"/>
      <c r="M151" s="58">
        <v>-100</v>
      </c>
      <c r="N151" s="58"/>
      <c r="O151" s="58"/>
      <c r="P151" s="58"/>
      <c r="Q151" s="170"/>
      <c r="R151" s="58">
        <v>0</v>
      </c>
      <c r="S151" s="483">
        <v>0</v>
      </c>
      <c r="T151" s="58">
        <f t="shared" si="12"/>
        <v>0</v>
      </c>
      <c r="U151" s="483"/>
    </row>
    <row r="152" spans="1:21" s="484" customFormat="1" ht="19.5" customHeight="1">
      <c r="A152" s="479"/>
      <c r="B152" s="479"/>
      <c r="C152" s="479"/>
      <c r="D152" s="480" t="s">
        <v>602</v>
      </c>
      <c r="E152" s="58">
        <v>300</v>
      </c>
      <c r="F152" s="58">
        <f>SUM(H152:Q152)</f>
        <v>0</v>
      </c>
      <c r="G152" s="58">
        <f t="shared" si="10"/>
        <v>300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170"/>
      <c r="R152" s="58">
        <v>300</v>
      </c>
      <c r="S152" s="483">
        <f t="shared" si="14"/>
        <v>1</v>
      </c>
      <c r="T152" s="58">
        <f t="shared" si="12"/>
        <v>0</v>
      </c>
      <c r="U152" s="483">
        <f t="shared" si="15"/>
        <v>0</v>
      </c>
    </row>
    <row r="153" spans="1:21" s="484" customFormat="1" ht="19.5" customHeight="1">
      <c r="A153" s="479"/>
      <c r="B153" s="479"/>
      <c r="C153" s="479"/>
      <c r="D153" s="480" t="s">
        <v>582</v>
      </c>
      <c r="E153" s="58">
        <v>700</v>
      </c>
      <c r="F153" s="58">
        <f aca="true" t="shared" si="18" ref="F153:F165">SUM(H153:Q153)</f>
        <v>300</v>
      </c>
      <c r="G153" s="58">
        <f aca="true" t="shared" si="19" ref="G153:G224">SUM(E153:F153)</f>
        <v>1000</v>
      </c>
      <c r="H153" s="58"/>
      <c r="I153" s="58"/>
      <c r="J153" s="58">
        <v>-200</v>
      </c>
      <c r="K153" s="58"/>
      <c r="L153" s="58"/>
      <c r="M153" s="481">
        <v>500</v>
      </c>
      <c r="N153" s="58"/>
      <c r="O153" s="58"/>
      <c r="P153" s="58"/>
      <c r="Q153" s="170"/>
      <c r="R153" s="58">
        <v>999.59</v>
      </c>
      <c r="S153" s="483">
        <f t="shared" si="14"/>
        <v>0.99959</v>
      </c>
      <c r="T153" s="58">
        <f t="shared" si="12"/>
        <v>0.40999999999996817</v>
      </c>
      <c r="U153" s="483">
        <f t="shared" si="15"/>
        <v>0.00040999999999996817</v>
      </c>
    </row>
    <row r="154" spans="1:21" s="484" customFormat="1" ht="19.5" customHeight="1">
      <c r="A154" s="479"/>
      <c r="B154" s="479"/>
      <c r="C154" s="479"/>
      <c r="D154" s="480" t="s">
        <v>583</v>
      </c>
      <c r="E154" s="58">
        <v>1000</v>
      </c>
      <c r="F154" s="58">
        <f t="shared" si="18"/>
        <v>0</v>
      </c>
      <c r="G154" s="58">
        <f t="shared" si="19"/>
        <v>1000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170"/>
      <c r="R154" s="58">
        <v>1000</v>
      </c>
      <c r="S154" s="483">
        <f t="shared" si="14"/>
        <v>1</v>
      </c>
      <c r="T154" s="58">
        <f t="shared" si="12"/>
        <v>0</v>
      </c>
      <c r="U154" s="483">
        <f t="shared" si="15"/>
        <v>0</v>
      </c>
    </row>
    <row r="155" spans="1:21" s="484" customFormat="1" ht="19.5" customHeight="1">
      <c r="A155" s="479"/>
      <c r="B155" s="479"/>
      <c r="C155" s="479"/>
      <c r="D155" s="480" t="s">
        <v>595</v>
      </c>
      <c r="E155" s="58">
        <v>3500</v>
      </c>
      <c r="F155" s="58">
        <f t="shared" si="18"/>
        <v>-250</v>
      </c>
      <c r="G155" s="58">
        <f t="shared" si="19"/>
        <v>3250</v>
      </c>
      <c r="H155" s="58"/>
      <c r="I155" s="58">
        <v>-250</v>
      </c>
      <c r="J155" s="58"/>
      <c r="K155" s="58"/>
      <c r="L155" s="58"/>
      <c r="M155" s="58"/>
      <c r="N155" s="58"/>
      <c r="O155" s="58"/>
      <c r="P155" s="58"/>
      <c r="Q155" s="170"/>
      <c r="R155" s="58">
        <v>3249.99</v>
      </c>
      <c r="S155" s="483">
        <f t="shared" si="14"/>
        <v>0.999996923076923</v>
      </c>
      <c r="T155" s="58">
        <f aca="true" t="shared" si="20" ref="T155:T165">G155-R155</f>
        <v>0.010000000000218279</v>
      </c>
      <c r="U155" s="483">
        <f t="shared" si="15"/>
        <v>3.0769230769902395E-06</v>
      </c>
    </row>
    <row r="156" spans="1:21" s="484" customFormat="1" ht="19.5" customHeight="1">
      <c r="A156" s="479"/>
      <c r="B156" s="479"/>
      <c r="C156" s="479"/>
      <c r="D156" s="480" t="s">
        <v>584</v>
      </c>
      <c r="E156" s="58">
        <v>700</v>
      </c>
      <c r="F156" s="58">
        <f t="shared" si="18"/>
        <v>2040</v>
      </c>
      <c r="G156" s="58">
        <f t="shared" si="19"/>
        <v>2740</v>
      </c>
      <c r="H156" s="58"/>
      <c r="I156" s="58"/>
      <c r="J156" s="58"/>
      <c r="K156" s="58"/>
      <c r="L156" s="58"/>
      <c r="M156" s="58"/>
      <c r="N156" s="508">
        <v>2040</v>
      </c>
      <c r="O156" s="58"/>
      <c r="P156" s="58"/>
      <c r="Q156" s="170"/>
      <c r="R156" s="58">
        <v>2640</v>
      </c>
      <c r="S156" s="483">
        <f t="shared" si="14"/>
        <v>0.9635036496350365</v>
      </c>
      <c r="T156" s="58">
        <f t="shared" si="20"/>
        <v>100</v>
      </c>
      <c r="U156" s="483">
        <f t="shared" si="15"/>
        <v>0.0364963503649635</v>
      </c>
    </row>
    <row r="157" spans="1:21" s="484" customFormat="1" ht="19.5" customHeight="1">
      <c r="A157" s="479"/>
      <c r="B157" s="479"/>
      <c r="C157" s="479"/>
      <c r="D157" s="480" t="s">
        <v>585</v>
      </c>
      <c r="E157" s="58">
        <v>500</v>
      </c>
      <c r="F157" s="58">
        <f t="shared" si="18"/>
        <v>2100</v>
      </c>
      <c r="G157" s="58">
        <f t="shared" si="19"/>
        <v>2600</v>
      </c>
      <c r="H157" s="58"/>
      <c r="I157" s="58"/>
      <c r="J157" s="58"/>
      <c r="K157" s="58"/>
      <c r="L157" s="58"/>
      <c r="M157" s="481">
        <v>2100</v>
      </c>
      <c r="N157" s="58"/>
      <c r="O157" s="58"/>
      <c r="P157" s="58"/>
      <c r="Q157" s="170"/>
      <c r="R157" s="58">
        <v>2599.52</v>
      </c>
      <c r="S157" s="483">
        <f t="shared" si="14"/>
        <v>0.9998153846153847</v>
      </c>
      <c r="T157" s="58">
        <f t="shared" si="20"/>
        <v>0.4800000000000182</v>
      </c>
      <c r="U157" s="483">
        <f t="shared" si="15"/>
        <v>0.0001846153846153916</v>
      </c>
    </row>
    <row r="158" spans="1:21" s="484" customFormat="1" ht="19.5" customHeight="1">
      <c r="A158" s="479"/>
      <c r="B158" s="479"/>
      <c r="C158" s="479"/>
      <c r="D158" s="480" t="s">
        <v>586</v>
      </c>
      <c r="E158" s="58">
        <v>500</v>
      </c>
      <c r="F158" s="58">
        <f t="shared" si="18"/>
        <v>0</v>
      </c>
      <c r="G158" s="58">
        <f t="shared" si="19"/>
        <v>500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170"/>
      <c r="R158" s="58">
        <v>499.84</v>
      </c>
      <c r="S158" s="483">
        <f t="shared" si="14"/>
        <v>0.9996799999999999</v>
      </c>
      <c r="T158" s="58">
        <f t="shared" si="20"/>
        <v>0.160000000000025</v>
      </c>
      <c r="U158" s="483">
        <f t="shared" si="15"/>
        <v>0.00032000000000005</v>
      </c>
    </row>
    <row r="159" spans="1:21" s="484" customFormat="1" ht="19.5" customHeight="1">
      <c r="A159" s="479"/>
      <c r="B159" s="479"/>
      <c r="C159" s="479"/>
      <c r="D159" s="480" t="s">
        <v>596</v>
      </c>
      <c r="E159" s="58">
        <v>3000</v>
      </c>
      <c r="F159" s="58">
        <f t="shared" si="18"/>
        <v>118</v>
      </c>
      <c r="G159" s="58">
        <f t="shared" si="19"/>
        <v>3118</v>
      </c>
      <c r="H159" s="58"/>
      <c r="I159" s="58"/>
      <c r="J159" s="58"/>
      <c r="K159" s="58"/>
      <c r="L159" s="58"/>
      <c r="M159" s="58"/>
      <c r="N159" s="58">
        <v>118</v>
      </c>
      <c r="O159" s="58"/>
      <c r="P159" s="58"/>
      <c r="Q159" s="170"/>
      <c r="R159" s="58">
        <v>3113.06</v>
      </c>
      <c r="S159" s="483">
        <f t="shared" si="14"/>
        <v>0.9984156510583707</v>
      </c>
      <c r="T159" s="58">
        <f t="shared" si="20"/>
        <v>4.940000000000055</v>
      </c>
      <c r="U159" s="483">
        <f t="shared" si="15"/>
        <v>0.001584348941629267</v>
      </c>
    </row>
    <row r="160" spans="1:21" s="484" customFormat="1" ht="19.5" customHeight="1">
      <c r="A160" s="479"/>
      <c r="B160" s="479"/>
      <c r="C160" s="479"/>
      <c r="D160" s="480" t="s">
        <v>587</v>
      </c>
      <c r="E160" s="58">
        <v>1500</v>
      </c>
      <c r="F160" s="58">
        <f t="shared" si="18"/>
        <v>0</v>
      </c>
      <c r="G160" s="58">
        <f t="shared" si="19"/>
        <v>1500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170"/>
      <c r="R160" s="58">
        <v>1500</v>
      </c>
      <c r="S160" s="483">
        <f t="shared" si="14"/>
        <v>1</v>
      </c>
      <c r="T160" s="58">
        <f t="shared" si="20"/>
        <v>0</v>
      </c>
      <c r="U160" s="483">
        <f t="shared" si="15"/>
        <v>0</v>
      </c>
    </row>
    <row r="161" spans="1:21" s="484" customFormat="1" ht="19.5" customHeight="1">
      <c r="A161" s="479"/>
      <c r="B161" s="479"/>
      <c r="C161" s="479"/>
      <c r="D161" s="480" t="s">
        <v>588</v>
      </c>
      <c r="E161" s="58">
        <v>3300</v>
      </c>
      <c r="F161" s="58">
        <f t="shared" si="18"/>
        <v>0</v>
      </c>
      <c r="G161" s="58">
        <f t="shared" si="19"/>
        <v>3300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170"/>
      <c r="R161" s="58">
        <v>3298.55</v>
      </c>
      <c r="S161" s="483">
        <f t="shared" si="14"/>
        <v>0.9995606060606061</v>
      </c>
      <c r="T161" s="58">
        <f t="shared" si="20"/>
        <v>1.449999999999818</v>
      </c>
      <c r="U161" s="483">
        <f t="shared" si="15"/>
        <v>0.0004393939393938843</v>
      </c>
    </row>
    <row r="162" spans="1:21" s="484" customFormat="1" ht="19.5" customHeight="1">
      <c r="A162" s="479"/>
      <c r="B162" s="479"/>
      <c r="C162" s="479"/>
      <c r="D162" s="480" t="s">
        <v>590</v>
      </c>
      <c r="E162" s="58">
        <v>4320</v>
      </c>
      <c r="F162" s="58">
        <f t="shared" si="18"/>
        <v>0</v>
      </c>
      <c r="G162" s="58">
        <f t="shared" si="19"/>
        <v>4320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170"/>
      <c r="R162" s="58">
        <v>4312.99</v>
      </c>
      <c r="S162" s="483">
        <f>R162/G162</f>
        <v>0.9983773148148147</v>
      </c>
      <c r="T162" s="58">
        <f t="shared" si="20"/>
        <v>7.010000000000218</v>
      </c>
      <c r="U162" s="483">
        <f>T162/G162</f>
        <v>0.0016226851851852356</v>
      </c>
    </row>
    <row r="163" spans="1:21" s="484" customFormat="1" ht="19.5" customHeight="1">
      <c r="A163" s="479"/>
      <c r="B163" s="479"/>
      <c r="C163" s="479"/>
      <c r="D163" s="480" t="s">
        <v>591</v>
      </c>
      <c r="E163" s="58">
        <v>2300</v>
      </c>
      <c r="F163" s="58">
        <f t="shared" si="18"/>
        <v>300</v>
      </c>
      <c r="G163" s="58">
        <f t="shared" si="19"/>
        <v>2600</v>
      </c>
      <c r="H163" s="58"/>
      <c r="I163" s="58"/>
      <c r="J163" s="58"/>
      <c r="K163" s="170">
        <v>300</v>
      </c>
      <c r="L163" s="58"/>
      <c r="M163" s="58"/>
      <c r="N163" s="58"/>
      <c r="O163" s="58"/>
      <c r="P163" s="58"/>
      <c r="Q163" s="170"/>
      <c r="R163" s="58">
        <v>2597.69</v>
      </c>
      <c r="S163" s="483">
        <f>R163/G163</f>
        <v>0.9991115384615384</v>
      </c>
      <c r="T163" s="58">
        <f t="shared" si="20"/>
        <v>2.3099999999999454</v>
      </c>
      <c r="U163" s="483">
        <f>T163/G163</f>
        <v>0.0008884615384615175</v>
      </c>
    </row>
    <row r="164" spans="1:21" s="484" customFormat="1" ht="19.5" customHeight="1">
      <c r="A164" s="479"/>
      <c r="B164" s="479"/>
      <c r="C164" s="479"/>
      <c r="D164" s="480" t="s">
        <v>597</v>
      </c>
      <c r="E164" s="58">
        <v>3000</v>
      </c>
      <c r="F164" s="58">
        <f t="shared" si="18"/>
        <v>0</v>
      </c>
      <c r="G164" s="58">
        <f t="shared" si="19"/>
        <v>3000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170"/>
      <c r="R164" s="58">
        <v>3000.03</v>
      </c>
      <c r="S164" s="483">
        <f>R164/G164</f>
        <v>1.00001</v>
      </c>
      <c r="T164" s="58">
        <f t="shared" si="20"/>
        <v>-0.03000000000020009</v>
      </c>
      <c r="U164" s="483">
        <f>T164/G164</f>
        <v>-1.0000000000066696E-05</v>
      </c>
    </row>
    <row r="165" spans="1:21" s="484" customFormat="1" ht="19.5" customHeight="1">
      <c r="A165" s="479"/>
      <c r="B165" s="479"/>
      <c r="C165" s="479"/>
      <c r="D165" s="480" t="s">
        <v>604</v>
      </c>
      <c r="E165" s="58">
        <v>1500</v>
      </c>
      <c r="F165" s="58">
        <f t="shared" si="18"/>
        <v>2000</v>
      </c>
      <c r="G165" s="58">
        <f t="shared" si="19"/>
        <v>3500</v>
      </c>
      <c r="H165" s="58"/>
      <c r="I165" s="58"/>
      <c r="J165" s="58"/>
      <c r="K165" s="58"/>
      <c r="L165" s="58"/>
      <c r="M165" s="58"/>
      <c r="N165" s="508">
        <v>2000</v>
      </c>
      <c r="O165" s="58"/>
      <c r="P165" s="58"/>
      <c r="Q165" s="170"/>
      <c r="R165" s="58">
        <v>3499.95</v>
      </c>
      <c r="S165" s="483">
        <f>R165/G165</f>
        <v>0.9999857142857143</v>
      </c>
      <c r="T165" s="58">
        <f t="shared" si="20"/>
        <v>0.0500000000001819</v>
      </c>
      <c r="U165" s="483">
        <f>T165/G165</f>
        <v>1.4285714285766258E-05</v>
      </c>
    </row>
    <row r="166" spans="1:21" s="101" customFormat="1" ht="20.25" customHeight="1">
      <c r="A166" s="76"/>
      <c r="B166" s="76"/>
      <c r="C166" s="76" t="s">
        <v>610</v>
      </c>
      <c r="D166" s="16" t="s">
        <v>89</v>
      </c>
      <c r="E166" s="87">
        <f>SUM(E167)</f>
        <v>0</v>
      </c>
      <c r="F166" s="87">
        <f>SUM(F167)</f>
        <v>32</v>
      </c>
      <c r="G166" s="87">
        <f>SUM(E166:F166)</f>
        <v>32</v>
      </c>
      <c r="H166" s="87"/>
      <c r="I166" s="87"/>
      <c r="J166" s="87"/>
      <c r="K166" s="87"/>
      <c r="L166" s="87"/>
      <c r="M166" s="87"/>
      <c r="N166" s="87"/>
      <c r="O166" s="87"/>
      <c r="P166" s="87"/>
      <c r="Q166" s="174"/>
      <c r="R166" s="87">
        <f>SUM(R167)</f>
        <v>30.5</v>
      </c>
      <c r="S166" s="478">
        <f>R166/G166</f>
        <v>0.953125</v>
      </c>
      <c r="T166" s="87">
        <f>G166-R166</f>
        <v>1.5</v>
      </c>
      <c r="U166" s="478">
        <f>T166/G166</f>
        <v>0.046875</v>
      </c>
    </row>
    <row r="167" spans="1:21" s="484" customFormat="1" ht="19.5" customHeight="1">
      <c r="A167" s="479"/>
      <c r="B167" s="479"/>
      <c r="C167" s="479"/>
      <c r="D167" s="480" t="s">
        <v>596</v>
      </c>
      <c r="E167" s="58">
        <v>0</v>
      </c>
      <c r="F167" s="58">
        <f>SUM(H167:Q167)</f>
        <v>32</v>
      </c>
      <c r="G167" s="58">
        <f>SUM(E167:F167)</f>
        <v>32</v>
      </c>
      <c r="H167" s="58"/>
      <c r="I167" s="58"/>
      <c r="J167" s="58"/>
      <c r="K167" s="58"/>
      <c r="L167" s="58"/>
      <c r="M167" s="58"/>
      <c r="N167" s="508">
        <v>32</v>
      </c>
      <c r="O167" s="58"/>
      <c r="P167" s="58"/>
      <c r="Q167" s="170"/>
      <c r="R167" s="58">
        <v>30.5</v>
      </c>
      <c r="S167" s="483">
        <f>R167/G167</f>
        <v>0.953125</v>
      </c>
      <c r="T167" s="58">
        <f>G167-R167</f>
        <v>1.5</v>
      </c>
      <c r="U167" s="483">
        <f>T167/G167</f>
        <v>0.046875</v>
      </c>
    </row>
    <row r="168" spans="1:21" s="101" customFormat="1" ht="18.75" customHeight="1">
      <c r="A168" s="76"/>
      <c r="B168" s="76"/>
      <c r="C168" s="76" t="s">
        <v>611</v>
      </c>
      <c r="D168" s="16" t="s">
        <v>76</v>
      </c>
      <c r="E168" s="87">
        <f>SUM(E169,E170,E171,E172,E173,E174)</f>
        <v>6200</v>
      </c>
      <c r="F168" s="87">
        <f>SUM(F169,F170,F171,F172,F173,F174)</f>
        <v>-1073</v>
      </c>
      <c r="G168" s="87">
        <f t="shared" si="19"/>
        <v>5127</v>
      </c>
      <c r="H168" s="87"/>
      <c r="I168" s="87"/>
      <c r="J168" s="87"/>
      <c r="K168" s="87"/>
      <c r="L168" s="87"/>
      <c r="M168" s="87"/>
      <c r="N168" s="87"/>
      <c r="O168" s="87"/>
      <c r="P168" s="87"/>
      <c r="Q168" s="174"/>
      <c r="R168" s="87">
        <f>SUM(R169,R170,R171,R172,R173,R174)</f>
        <v>5125.46</v>
      </c>
      <c r="S168" s="478">
        <f aca="true" t="shared" si="21" ref="S168:S196">R168/G168</f>
        <v>0.999699629412912</v>
      </c>
      <c r="T168" s="87">
        <f aca="true" t="shared" si="22" ref="T168:T196">G168-R168</f>
        <v>1.5399999999999636</v>
      </c>
      <c r="U168" s="478">
        <f aca="true" t="shared" si="23" ref="U168:U195">T168/G168</f>
        <v>0.0003003705870879586</v>
      </c>
    </row>
    <row r="169" spans="1:21" s="101" customFormat="1" ht="19.5" customHeight="1">
      <c r="A169" s="76"/>
      <c r="B169" s="76"/>
      <c r="C169" s="76"/>
      <c r="D169" s="480" t="s">
        <v>594</v>
      </c>
      <c r="E169" s="87">
        <v>0</v>
      </c>
      <c r="F169" s="87">
        <f aca="true" t="shared" si="24" ref="F169:F174">SUM(H169:Q169)</f>
        <v>227</v>
      </c>
      <c r="G169" s="87">
        <f>SUM(E169:F169)</f>
        <v>227</v>
      </c>
      <c r="H169" s="87"/>
      <c r="I169" s="87"/>
      <c r="J169" s="87"/>
      <c r="K169" s="87"/>
      <c r="L169" s="87"/>
      <c r="M169" s="58">
        <v>227</v>
      </c>
      <c r="N169" s="87"/>
      <c r="O169" s="87"/>
      <c r="P169" s="87"/>
      <c r="Q169" s="174"/>
      <c r="R169" s="87">
        <v>225.46</v>
      </c>
      <c r="S169" s="478">
        <f>R169/G169</f>
        <v>0.9932158590308371</v>
      </c>
      <c r="T169" s="87">
        <f>G169-R169</f>
        <v>1.539999999999992</v>
      </c>
      <c r="U169" s="478">
        <f>T169/G169</f>
        <v>0.006784140969162961</v>
      </c>
    </row>
    <row r="170" spans="1:21" s="484" customFormat="1" ht="19.5" customHeight="1">
      <c r="A170" s="93"/>
      <c r="B170" s="93"/>
      <c r="C170" s="93"/>
      <c r="D170" s="480" t="s">
        <v>582</v>
      </c>
      <c r="E170" s="58">
        <v>300</v>
      </c>
      <c r="F170" s="58">
        <f t="shared" si="24"/>
        <v>0</v>
      </c>
      <c r="G170" s="58">
        <f t="shared" si="19"/>
        <v>300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170"/>
      <c r="R170" s="58">
        <v>300</v>
      </c>
      <c r="S170" s="483">
        <f t="shared" si="21"/>
        <v>1</v>
      </c>
      <c r="T170" s="58">
        <f t="shared" si="22"/>
        <v>0</v>
      </c>
      <c r="U170" s="483">
        <f t="shared" si="23"/>
        <v>0</v>
      </c>
    </row>
    <row r="171" spans="1:21" s="484" customFormat="1" ht="19.5" customHeight="1">
      <c r="A171" s="479"/>
      <c r="B171" s="479"/>
      <c r="C171" s="479"/>
      <c r="D171" s="480" t="s">
        <v>585</v>
      </c>
      <c r="E171" s="58">
        <v>1000</v>
      </c>
      <c r="F171" s="58">
        <f t="shared" si="24"/>
        <v>-1000</v>
      </c>
      <c r="G171" s="58">
        <f t="shared" si="19"/>
        <v>0</v>
      </c>
      <c r="H171" s="58"/>
      <c r="I171" s="58"/>
      <c r="J171" s="58"/>
      <c r="K171" s="58"/>
      <c r="L171" s="58"/>
      <c r="M171" s="58">
        <v>-1000</v>
      </c>
      <c r="N171" s="58"/>
      <c r="O171" s="58"/>
      <c r="P171" s="58"/>
      <c r="Q171" s="170"/>
      <c r="R171" s="58">
        <v>0</v>
      </c>
      <c r="S171" s="483">
        <v>0</v>
      </c>
      <c r="T171" s="58">
        <f t="shared" si="22"/>
        <v>0</v>
      </c>
      <c r="U171" s="483"/>
    </row>
    <row r="172" spans="1:21" s="484" customFormat="1" ht="19.5" customHeight="1">
      <c r="A172" s="479"/>
      <c r="B172" s="479"/>
      <c r="C172" s="479"/>
      <c r="D172" s="480" t="s">
        <v>586</v>
      </c>
      <c r="E172" s="58">
        <v>900</v>
      </c>
      <c r="F172" s="58">
        <f t="shared" si="24"/>
        <v>0</v>
      </c>
      <c r="G172" s="58">
        <f t="shared" si="19"/>
        <v>900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170"/>
      <c r="R172" s="58">
        <v>900</v>
      </c>
      <c r="S172" s="483">
        <f t="shared" si="21"/>
        <v>1</v>
      </c>
      <c r="T172" s="58">
        <f t="shared" si="22"/>
        <v>0</v>
      </c>
      <c r="U172" s="483">
        <f t="shared" si="23"/>
        <v>0</v>
      </c>
    </row>
    <row r="173" spans="1:21" s="484" customFormat="1" ht="19.5" customHeight="1">
      <c r="A173" s="479"/>
      <c r="B173" s="479"/>
      <c r="C173" s="479"/>
      <c r="D173" s="480" t="s">
        <v>587</v>
      </c>
      <c r="E173" s="58">
        <v>3000</v>
      </c>
      <c r="F173" s="58">
        <f t="shared" si="24"/>
        <v>0</v>
      </c>
      <c r="G173" s="58">
        <f t="shared" si="19"/>
        <v>3000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170"/>
      <c r="R173" s="58">
        <v>3000</v>
      </c>
      <c r="S173" s="483">
        <f t="shared" si="21"/>
        <v>1</v>
      </c>
      <c r="T173" s="58">
        <f t="shared" si="22"/>
        <v>0</v>
      </c>
      <c r="U173" s="483">
        <f t="shared" si="23"/>
        <v>0</v>
      </c>
    </row>
    <row r="174" spans="1:21" s="484" customFormat="1" ht="19.5" customHeight="1">
      <c r="A174" s="479"/>
      <c r="B174" s="479"/>
      <c r="C174" s="479"/>
      <c r="D174" s="480" t="s">
        <v>590</v>
      </c>
      <c r="E174" s="58">
        <v>1000</v>
      </c>
      <c r="F174" s="58">
        <f t="shared" si="24"/>
        <v>-300</v>
      </c>
      <c r="G174" s="58">
        <f t="shared" si="19"/>
        <v>700</v>
      </c>
      <c r="H174" s="58"/>
      <c r="I174" s="58"/>
      <c r="J174" s="58">
        <v>-300</v>
      </c>
      <c r="K174" s="58"/>
      <c r="L174" s="58"/>
      <c r="M174" s="58"/>
      <c r="N174" s="58"/>
      <c r="O174" s="58"/>
      <c r="P174" s="58"/>
      <c r="Q174" s="170"/>
      <c r="R174" s="58">
        <v>700</v>
      </c>
      <c r="S174" s="483">
        <f t="shared" si="21"/>
        <v>1</v>
      </c>
      <c r="T174" s="58">
        <f t="shared" si="22"/>
        <v>0</v>
      </c>
      <c r="U174" s="483">
        <f t="shared" si="23"/>
        <v>0</v>
      </c>
    </row>
    <row r="175" spans="1:21" s="101" customFormat="1" ht="18" customHeight="1">
      <c r="A175" s="92"/>
      <c r="B175" s="76" t="s">
        <v>111</v>
      </c>
      <c r="C175" s="59"/>
      <c r="D175" s="16" t="s">
        <v>112</v>
      </c>
      <c r="E175" s="87">
        <f>SUM(E176)</f>
        <v>3000</v>
      </c>
      <c r="F175" s="87">
        <f>SUM(F176)</f>
        <v>1600</v>
      </c>
      <c r="G175" s="87">
        <f t="shared" si="19"/>
        <v>4600</v>
      </c>
      <c r="H175" s="87"/>
      <c r="I175" s="87"/>
      <c r="J175" s="87"/>
      <c r="K175" s="87"/>
      <c r="L175" s="87"/>
      <c r="M175" s="87"/>
      <c r="N175" s="87"/>
      <c r="O175" s="87"/>
      <c r="P175" s="87"/>
      <c r="Q175" s="174"/>
      <c r="R175" s="87">
        <f>SUM(R176)</f>
        <v>1159</v>
      </c>
      <c r="S175" s="478">
        <f t="shared" si="21"/>
        <v>0.2519565217391304</v>
      </c>
      <c r="T175" s="87">
        <f t="shared" si="22"/>
        <v>3441</v>
      </c>
      <c r="U175" s="478">
        <f t="shared" si="23"/>
        <v>0.7480434782608696</v>
      </c>
    </row>
    <row r="176" spans="1:21" s="101" customFormat="1" ht="18.75" customHeight="1">
      <c r="A176" s="76"/>
      <c r="B176" s="59"/>
      <c r="C176" s="76">
        <v>4300</v>
      </c>
      <c r="D176" s="16" t="s">
        <v>76</v>
      </c>
      <c r="E176" s="87">
        <f>SUM(E177,E178,E179)</f>
        <v>3000</v>
      </c>
      <c r="F176" s="87">
        <f>SUM(F177,F178,F179)</f>
        <v>1600</v>
      </c>
      <c r="G176" s="87">
        <f t="shared" si="19"/>
        <v>4600</v>
      </c>
      <c r="H176" s="87"/>
      <c r="I176" s="87"/>
      <c r="J176" s="87"/>
      <c r="K176" s="87"/>
      <c r="L176" s="87"/>
      <c r="M176" s="87"/>
      <c r="N176" s="87"/>
      <c r="O176" s="87"/>
      <c r="P176" s="87"/>
      <c r="Q176" s="174"/>
      <c r="R176" s="87">
        <f>SUM(R177,R178,R179)</f>
        <v>1159</v>
      </c>
      <c r="S176" s="478">
        <f t="shared" si="21"/>
        <v>0.2519565217391304</v>
      </c>
      <c r="T176" s="87">
        <f t="shared" si="22"/>
        <v>3441</v>
      </c>
      <c r="U176" s="478">
        <f t="shared" si="23"/>
        <v>0.7480434782608696</v>
      </c>
    </row>
    <row r="177" spans="1:21" s="101" customFormat="1" ht="19.5" customHeight="1">
      <c r="A177" s="76"/>
      <c r="B177" s="59"/>
      <c r="C177" s="76"/>
      <c r="D177" s="480" t="s">
        <v>582</v>
      </c>
      <c r="E177" s="87">
        <v>0</v>
      </c>
      <c r="F177" s="87">
        <f>SUM(H177:Q177)</f>
        <v>1000</v>
      </c>
      <c r="G177" s="87">
        <f>SUM(E177:F177)</f>
        <v>1000</v>
      </c>
      <c r="H177" s="87"/>
      <c r="I177" s="87"/>
      <c r="J177" s="58">
        <v>1000</v>
      </c>
      <c r="K177" s="87"/>
      <c r="L177" s="87"/>
      <c r="M177" s="87"/>
      <c r="N177" s="87"/>
      <c r="O177" s="87"/>
      <c r="P177" s="87"/>
      <c r="Q177" s="174"/>
      <c r="R177" s="87">
        <v>854</v>
      </c>
      <c r="S177" s="478">
        <f>R177/G177</f>
        <v>0.854</v>
      </c>
      <c r="T177" s="87">
        <f>G177-R177</f>
        <v>146</v>
      </c>
      <c r="U177" s="478">
        <f>T177/G177</f>
        <v>0.146</v>
      </c>
    </row>
    <row r="178" spans="1:21" s="484" customFormat="1" ht="19.5" customHeight="1">
      <c r="A178" s="479"/>
      <c r="B178" s="479"/>
      <c r="C178" s="479"/>
      <c r="D178" s="480" t="s">
        <v>583</v>
      </c>
      <c r="E178" s="58">
        <v>2000</v>
      </c>
      <c r="F178" s="58">
        <f>SUM(H178:Q178)</f>
        <v>1600</v>
      </c>
      <c r="G178" s="58">
        <f t="shared" si="19"/>
        <v>3600</v>
      </c>
      <c r="H178" s="58"/>
      <c r="I178" s="58"/>
      <c r="J178" s="58"/>
      <c r="K178" s="58"/>
      <c r="L178" s="58"/>
      <c r="M178" s="58">
        <v>1600</v>
      </c>
      <c r="N178" s="58"/>
      <c r="O178" s="58"/>
      <c r="P178" s="58"/>
      <c r="Q178" s="170"/>
      <c r="R178" s="58">
        <v>305</v>
      </c>
      <c r="S178" s="483">
        <f t="shared" si="21"/>
        <v>0.08472222222222223</v>
      </c>
      <c r="T178" s="58">
        <f t="shared" si="22"/>
        <v>3295</v>
      </c>
      <c r="U178" s="483">
        <f t="shared" si="23"/>
        <v>0.9152777777777777</v>
      </c>
    </row>
    <row r="179" spans="1:21" s="484" customFormat="1" ht="19.5" customHeight="1">
      <c r="A179" s="479"/>
      <c r="B179" s="479"/>
      <c r="C179" s="479"/>
      <c r="D179" s="480" t="s">
        <v>586</v>
      </c>
      <c r="E179" s="58">
        <v>1000</v>
      </c>
      <c r="F179" s="58">
        <f>SUM(H179:Q179)</f>
        <v>-1000</v>
      </c>
      <c r="G179" s="58">
        <f t="shared" si="19"/>
        <v>0</v>
      </c>
      <c r="H179" s="58"/>
      <c r="I179" s="58"/>
      <c r="J179" s="58"/>
      <c r="K179" s="58"/>
      <c r="L179" s="58"/>
      <c r="M179" s="58"/>
      <c r="N179" s="170">
        <v>-1000</v>
      </c>
      <c r="O179" s="58"/>
      <c r="P179" s="58"/>
      <c r="Q179" s="170"/>
      <c r="R179" s="58">
        <v>0</v>
      </c>
      <c r="S179" s="483">
        <v>0</v>
      </c>
      <c r="T179" s="58">
        <f t="shared" si="22"/>
        <v>0</v>
      </c>
      <c r="U179" s="483"/>
    </row>
    <row r="180" spans="1:21" s="67" customFormat="1" ht="28.5" customHeight="1">
      <c r="A180" s="37" t="s">
        <v>62</v>
      </c>
      <c r="B180" s="6"/>
      <c r="C180" s="6"/>
      <c r="D180" s="24" t="s">
        <v>113</v>
      </c>
      <c r="E180" s="21">
        <f>SUM(E181)</f>
        <v>112975</v>
      </c>
      <c r="F180" s="21">
        <f>SUM(F181)</f>
        <v>98</v>
      </c>
      <c r="G180" s="21">
        <f t="shared" si="19"/>
        <v>113073</v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88"/>
      <c r="R180" s="213">
        <f>SUM(R181)</f>
        <v>104298.67</v>
      </c>
      <c r="S180" s="476">
        <f t="shared" si="21"/>
        <v>0.9224011921502039</v>
      </c>
      <c r="T180" s="118">
        <f t="shared" si="22"/>
        <v>8774.330000000002</v>
      </c>
      <c r="U180" s="477">
        <f t="shared" si="23"/>
        <v>0.07759880784979617</v>
      </c>
    </row>
    <row r="181" spans="1:21" s="101" customFormat="1" ht="27" customHeight="1">
      <c r="A181" s="92"/>
      <c r="B181" s="76" t="s">
        <v>114</v>
      </c>
      <c r="C181" s="59"/>
      <c r="D181" s="16" t="s">
        <v>612</v>
      </c>
      <c r="E181" s="87">
        <f>SUM(E182,E197,E213,E220,E227)</f>
        <v>112975</v>
      </c>
      <c r="F181" s="87">
        <f>SUM(F182,F197,F213,F220,F227)</f>
        <v>98</v>
      </c>
      <c r="G181" s="87">
        <f t="shared" si="19"/>
        <v>113073</v>
      </c>
      <c r="H181" s="87"/>
      <c r="I181" s="87"/>
      <c r="J181" s="87"/>
      <c r="K181" s="87"/>
      <c r="L181" s="87"/>
      <c r="M181" s="87"/>
      <c r="N181" s="87"/>
      <c r="O181" s="87"/>
      <c r="P181" s="87"/>
      <c r="Q181" s="174"/>
      <c r="R181" s="87">
        <f>SUM(R182,R197,R213,R220,R227)</f>
        <v>104298.67</v>
      </c>
      <c r="S181" s="478">
        <f t="shared" si="21"/>
        <v>0.9224011921502039</v>
      </c>
      <c r="T181" s="87">
        <f t="shared" si="22"/>
        <v>8774.330000000002</v>
      </c>
      <c r="U181" s="478">
        <f t="shared" si="23"/>
        <v>0.07759880784979617</v>
      </c>
    </row>
    <row r="182" spans="1:21" s="101" customFormat="1" ht="20.25" customHeight="1">
      <c r="A182" s="76"/>
      <c r="B182" s="76"/>
      <c r="C182" s="76" t="s">
        <v>601</v>
      </c>
      <c r="D182" s="16" t="s">
        <v>87</v>
      </c>
      <c r="E182" s="87">
        <f>SUM(E183,E184,E185,E186,E187,E188,E189,E190,E191,E192,E193,E194,E195,E196)</f>
        <v>33580</v>
      </c>
      <c r="F182" s="87">
        <f>SUM(F183,F184,F185,F186,F187,F188,F189,F190,F191,F192,F193,F194,F195,F196)</f>
        <v>-1044</v>
      </c>
      <c r="G182" s="87">
        <f t="shared" si="19"/>
        <v>32536</v>
      </c>
      <c r="H182" s="87"/>
      <c r="I182" s="87"/>
      <c r="J182" s="87"/>
      <c r="K182" s="87"/>
      <c r="L182" s="87"/>
      <c r="M182" s="87"/>
      <c r="N182" s="87"/>
      <c r="O182" s="87"/>
      <c r="P182" s="87"/>
      <c r="Q182" s="174"/>
      <c r="R182" s="87">
        <f>SUM(R183,R184,R185,R186,R187,R188,R189,R190,R191,R192,R193,R194,R195,R196)</f>
        <v>28966.809999999998</v>
      </c>
      <c r="S182" s="478">
        <f t="shared" si="21"/>
        <v>0.8903002827637079</v>
      </c>
      <c r="T182" s="87">
        <f t="shared" si="22"/>
        <v>3569.1900000000023</v>
      </c>
      <c r="U182" s="478">
        <f t="shared" si="23"/>
        <v>0.10969971723629218</v>
      </c>
    </row>
    <row r="183" spans="1:21" s="484" customFormat="1" ht="19.5" customHeight="1">
      <c r="A183" s="479"/>
      <c r="B183" s="479"/>
      <c r="C183" s="479"/>
      <c r="D183" s="480" t="s">
        <v>594</v>
      </c>
      <c r="E183" s="58">
        <v>500</v>
      </c>
      <c r="F183" s="58">
        <f>SUM(H183:Q183)</f>
        <v>50</v>
      </c>
      <c r="G183" s="58">
        <f t="shared" si="19"/>
        <v>550</v>
      </c>
      <c r="H183" s="58"/>
      <c r="I183" s="58">
        <v>50</v>
      </c>
      <c r="J183" s="58"/>
      <c r="K183" s="58"/>
      <c r="L183" s="58"/>
      <c r="M183" s="58"/>
      <c r="N183" s="58"/>
      <c r="O183" s="58"/>
      <c r="P183" s="58"/>
      <c r="Q183" s="170"/>
      <c r="R183" s="58">
        <v>550</v>
      </c>
      <c r="S183" s="483">
        <f t="shared" si="21"/>
        <v>1</v>
      </c>
      <c r="T183" s="58">
        <f t="shared" si="22"/>
        <v>0</v>
      </c>
      <c r="U183" s="483">
        <f t="shared" si="23"/>
        <v>0</v>
      </c>
    </row>
    <row r="184" spans="1:21" s="484" customFormat="1" ht="19.5" customHeight="1">
      <c r="A184" s="479"/>
      <c r="B184" s="479"/>
      <c r="C184" s="479"/>
      <c r="D184" s="503" t="s">
        <v>602</v>
      </c>
      <c r="E184" s="58">
        <v>0</v>
      </c>
      <c r="F184" s="58">
        <f>SUM(H184:Q184)</f>
        <v>795</v>
      </c>
      <c r="G184" s="58">
        <f>SUM(E184:F184)</f>
        <v>795</v>
      </c>
      <c r="H184" s="58"/>
      <c r="I184" s="58"/>
      <c r="J184" s="58"/>
      <c r="K184" s="58"/>
      <c r="L184" s="58"/>
      <c r="M184" s="58">
        <v>1000</v>
      </c>
      <c r="N184" s="486">
        <v>-205</v>
      </c>
      <c r="O184" s="58"/>
      <c r="P184" s="58"/>
      <c r="Q184" s="170"/>
      <c r="R184" s="58">
        <v>789.66</v>
      </c>
      <c r="S184" s="483">
        <f>R184/G184</f>
        <v>0.9932830188679245</v>
      </c>
      <c r="T184" s="58">
        <f>G184-R184</f>
        <v>5.340000000000032</v>
      </c>
      <c r="U184" s="483">
        <f>T184/G184</f>
        <v>0.0067169811320755115</v>
      </c>
    </row>
    <row r="185" spans="1:21" s="484" customFormat="1" ht="19.5" customHeight="1">
      <c r="A185" s="479"/>
      <c r="B185" s="479"/>
      <c r="C185" s="479"/>
      <c r="D185" s="480" t="s">
        <v>583</v>
      </c>
      <c r="E185" s="58">
        <v>3000</v>
      </c>
      <c r="F185" s="58">
        <f>SUM(H185:Q185)</f>
        <v>-1466</v>
      </c>
      <c r="G185" s="58">
        <f t="shared" si="19"/>
        <v>1534</v>
      </c>
      <c r="H185" s="58"/>
      <c r="I185" s="58"/>
      <c r="J185" s="58"/>
      <c r="K185" s="58"/>
      <c r="L185" s="58"/>
      <c r="M185" s="481">
        <v>-2000</v>
      </c>
      <c r="N185" s="58"/>
      <c r="O185" s="58"/>
      <c r="P185" s="170">
        <v>534</v>
      </c>
      <c r="Q185" s="170"/>
      <c r="R185" s="58">
        <v>1500</v>
      </c>
      <c r="S185" s="483">
        <f t="shared" si="21"/>
        <v>0.9778357235984355</v>
      </c>
      <c r="T185" s="58">
        <f t="shared" si="22"/>
        <v>34</v>
      </c>
      <c r="U185" s="483">
        <f t="shared" si="23"/>
        <v>0.02216427640156454</v>
      </c>
    </row>
    <row r="186" spans="1:21" s="484" customFormat="1" ht="19.5" customHeight="1">
      <c r="A186" s="479"/>
      <c r="B186" s="479"/>
      <c r="C186" s="479"/>
      <c r="D186" s="480" t="s">
        <v>595</v>
      </c>
      <c r="E186" s="58">
        <v>3520</v>
      </c>
      <c r="F186" s="58">
        <f aca="true" t="shared" si="25" ref="F186:F196">SUM(H186:Q186)</f>
        <v>0</v>
      </c>
      <c r="G186" s="58">
        <f t="shared" si="19"/>
        <v>3520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170"/>
      <c r="R186" s="58">
        <v>260</v>
      </c>
      <c r="S186" s="483">
        <f t="shared" si="21"/>
        <v>0.07386363636363637</v>
      </c>
      <c r="T186" s="58">
        <f t="shared" si="22"/>
        <v>3260</v>
      </c>
      <c r="U186" s="483">
        <f t="shared" si="23"/>
        <v>0.9261363636363636</v>
      </c>
    </row>
    <row r="187" spans="1:21" s="484" customFormat="1" ht="19.5" customHeight="1">
      <c r="A187" s="479"/>
      <c r="B187" s="479"/>
      <c r="C187" s="479"/>
      <c r="D187" s="480" t="s">
        <v>584</v>
      </c>
      <c r="E187" s="58">
        <v>1280</v>
      </c>
      <c r="F187" s="58">
        <f t="shared" si="25"/>
        <v>-1022</v>
      </c>
      <c r="G187" s="58">
        <f t="shared" si="19"/>
        <v>258</v>
      </c>
      <c r="H187" s="58"/>
      <c r="I187" s="58"/>
      <c r="J187" s="58"/>
      <c r="K187" s="58"/>
      <c r="L187" s="58"/>
      <c r="M187" s="58"/>
      <c r="N187" s="486">
        <v>-1000</v>
      </c>
      <c r="O187" s="58"/>
      <c r="P187" s="486">
        <v>-22</v>
      </c>
      <c r="Q187" s="170"/>
      <c r="R187" s="58">
        <v>0</v>
      </c>
      <c r="S187" s="483">
        <f t="shared" si="21"/>
        <v>0</v>
      </c>
      <c r="T187" s="58">
        <f t="shared" si="22"/>
        <v>258</v>
      </c>
      <c r="U187" s="483">
        <f t="shared" si="23"/>
        <v>1</v>
      </c>
    </row>
    <row r="188" spans="1:21" s="484" customFormat="1" ht="19.5" customHeight="1">
      <c r="A188" s="479"/>
      <c r="B188" s="479"/>
      <c r="C188" s="479"/>
      <c r="D188" s="480" t="s">
        <v>585</v>
      </c>
      <c r="E188" s="58">
        <v>2600</v>
      </c>
      <c r="F188" s="58">
        <f t="shared" si="25"/>
        <v>-900</v>
      </c>
      <c r="G188" s="58">
        <f t="shared" si="19"/>
        <v>1700</v>
      </c>
      <c r="H188" s="58"/>
      <c r="I188" s="58"/>
      <c r="J188" s="58"/>
      <c r="K188" s="58"/>
      <c r="L188" s="58"/>
      <c r="M188" s="481">
        <v>-900</v>
      </c>
      <c r="N188" s="58"/>
      <c r="O188" s="58"/>
      <c r="P188" s="58"/>
      <c r="Q188" s="170"/>
      <c r="R188" s="58">
        <v>1699.03</v>
      </c>
      <c r="S188" s="483">
        <f t="shared" si="21"/>
        <v>0.9994294117647059</v>
      </c>
      <c r="T188" s="58">
        <f t="shared" si="22"/>
        <v>0.9700000000000273</v>
      </c>
      <c r="U188" s="483">
        <f t="shared" si="23"/>
        <v>0.0005705882352941337</v>
      </c>
    </row>
    <row r="189" spans="1:21" s="484" customFormat="1" ht="19.5" customHeight="1">
      <c r="A189" s="479"/>
      <c r="B189" s="479"/>
      <c r="C189" s="479"/>
      <c r="D189" s="480" t="s">
        <v>586</v>
      </c>
      <c r="E189" s="58">
        <v>5280</v>
      </c>
      <c r="F189" s="58">
        <f t="shared" si="25"/>
        <v>-4280</v>
      </c>
      <c r="G189" s="58">
        <f t="shared" si="19"/>
        <v>1000</v>
      </c>
      <c r="H189" s="58"/>
      <c r="I189" s="58"/>
      <c r="J189" s="58"/>
      <c r="K189" s="58"/>
      <c r="L189" s="58">
        <v>-5280</v>
      </c>
      <c r="M189" s="58"/>
      <c r="N189" s="170">
        <v>1000</v>
      </c>
      <c r="O189" s="58"/>
      <c r="P189" s="58"/>
      <c r="Q189" s="170"/>
      <c r="R189" s="58">
        <v>1000</v>
      </c>
      <c r="S189" s="483">
        <f>R189/G189</f>
        <v>1</v>
      </c>
      <c r="T189" s="58">
        <f t="shared" si="22"/>
        <v>0</v>
      </c>
      <c r="U189" s="483">
        <f>T189/G189</f>
        <v>0</v>
      </c>
    </row>
    <row r="190" spans="1:21" s="484" customFormat="1" ht="19.5" customHeight="1">
      <c r="A190" s="479"/>
      <c r="B190" s="479"/>
      <c r="C190" s="479"/>
      <c r="D190" s="480" t="s">
        <v>596</v>
      </c>
      <c r="E190" s="58">
        <v>2450</v>
      </c>
      <c r="F190" s="58">
        <f t="shared" si="25"/>
        <v>-19</v>
      </c>
      <c r="G190" s="58">
        <f t="shared" si="19"/>
        <v>2431</v>
      </c>
      <c r="H190" s="58"/>
      <c r="I190" s="58"/>
      <c r="J190" s="58"/>
      <c r="K190" s="58"/>
      <c r="L190" s="58"/>
      <c r="M190" s="58"/>
      <c r="N190" s="486">
        <v>-19</v>
      </c>
      <c r="O190" s="58"/>
      <c r="P190" s="58"/>
      <c r="Q190" s="170"/>
      <c r="R190" s="58">
        <v>2428.02</v>
      </c>
      <c r="S190" s="483">
        <f t="shared" si="21"/>
        <v>0.9987741670094611</v>
      </c>
      <c r="T190" s="58">
        <f t="shared" si="22"/>
        <v>2.980000000000018</v>
      </c>
      <c r="U190" s="483">
        <f t="shared" si="23"/>
        <v>0.0012258329905388804</v>
      </c>
    </row>
    <row r="191" spans="1:21" s="484" customFormat="1" ht="19.5" customHeight="1">
      <c r="A191" s="479"/>
      <c r="B191" s="479"/>
      <c r="C191" s="479"/>
      <c r="D191" s="480" t="s">
        <v>587</v>
      </c>
      <c r="E191" s="58">
        <v>4000</v>
      </c>
      <c r="F191" s="58">
        <f t="shared" si="25"/>
        <v>1410</v>
      </c>
      <c r="G191" s="58">
        <f t="shared" si="19"/>
        <v>5410</v>
      </c>
      <c r="H191" s="58"/>
      <c r="I191" s="58"/>
      <c r="J191" s="58"/>
      <c r="K191" s="58"/>
      <c r="L191" s="58"/>
      <c r="M191" s="58"/>
      <c r="N191" s="170">
        <v>1410</v>
      </c>
      <c r="O191" s="58"/>
      <c r="P191" s="58"/>
      <c r="Q191" s="170"/>
      <c r="R191" s="58">
        <v>5409.09</v>
      </c>
      <c r="S191" s="483">
        <f t="shared" si="21"/>
        <v>0.9998317929759705</v>
      </c>
      <c r="T191" s="58">
        <f t="shared" si="22"/>
        <v>0.9099999999998545</v>
      </c>
      <c r="U191" s="483">
        <f t="shared" si="23"/>
        <v>0.00016820702402954796</v>
      </c>
    </row>
    <row r="192" spans="1:21" s="484" customFormat="1" ht="19.5" customHeight="1">
      <c r="A192" s="479"/>
      <c r="B192" s="479"/>
      <c r="C192" s="479"/>
      <c r="D192" s="480" t="s">
        <v>590</v>
      </c>
      <c r="E192" s="58">
        <v>500</v>
      </c>
      <c r="F192" s="58">
        <f t="shared" si="25"/>
        <v>0</v>
      </c>
      <c r="G192" s="58">
        <f t="shared" si="19"/>
        <v>500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170"/>
      <c r="R192" s="58">
        <v>499.96</v>
      </c>
      <c r="S192" s="483">
        <f t="shared" si="21"/>
        <v>0.9999199999999999</v>
      </c>
      <c r="T192" s="58">
        <f t="shared" si="22"/>
        <v>0.040000000000020464</v>
      </c>
      <c r="U192" s="483">
        <f t="shared" si="23"/>
        <v>8.000000000004092E-05</v>
      </c>
    </row>
    <row r="193" spans="1:21" s="484" customFormat="1" ht="19.5" customHeight="1">
      <c r="A193" s="479"/>
      <c r="B193" s="479"/>
      <c r="C193" s="479"/>
      <c r="D193" s="480" t="s">
        <v>597</v>
      </c>
      <c r="E193" s="58">
        <v>2250</v>
      </c>
      <c r="F193" s="58">
        <f t="shared" si="25"/>
        <v>146</v>
      </c>
      <c r="G193" s="58">
        <f t="shared" si="19"/>
        <v>2396</v>
      </c>
      <c r="H193" s="58"/>
      <c r="I193" s="58"/>
      <c r="J193" s="58"/>
      <c r="K193" s="58"/>
      <c r="L193" s="58"/>
      <c r="M193" s="58">
        <v>167</v>
      </c>
      <c r="N193" s="58"/>
      <c r="O193" s="58"/>
      <c r="P193" s="486">
        <v>-21</v>
      </c>
      <c r="Q193" s="170"/>
      <c r="R193" s="58">
        <v>2394.84</v>
      </c>
      <c r="S193" s="483">
        <f t="shared" si="21"/>
        <v>0.9995158597662772</v>
      </c>
      <c r="T193" s="58">
        <f t="shared" si="22"/>
        <v>1.1599999999998545</v>
      </c>
      <c r="U193" s="483">
        <f t="shared" si="23"/>
        <v>0.00048414023372281073</v>
      </c>
    </row>
    <row r="194" spans="1:21" s="484" customFormat="1" ht="19.5" customHeight="1">
      <c r="A194" s="479"/>
      <c r="B194" s="479"/>
      <c r="C194" s="479"/>
      <c r="D194" s="480" t="s">
        <v>598</v>
      </c>
      <c r="E194" s="58">
        <v>3700</v>
      </c>
      <c r="F194" s="58">
        <f t="shared" si="25"/>
        <v>0</v>
      </c>
      <c r="G194" s="58">
        <f t="shared" si="19"/>
        <v>3700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170"/>
      <c r="R194" s="58">
        <v>3694.27</v>
      </c>
      <c r="S194" s="483">
        <f t="shared" si="21"/>
        <v>0.9984513513513513</v>
      </c>
      <c r="T194" s="58">
        <f t="shared" si="22"/>
        <v>5.730000000000018</v>
      </c>
      <c r="U194" s="483">
        <f t="shared" si="23"/>
        <v>0.0015486486486486536</v>
      </c>
    </row>
    <row r="195" spans="1:21" s="484" customFormat="1" ht="19.5" customHeight="1">
      <c r="A195" s="479"/>
      <c r="B195" s="479"/>
      <c r="C195" s="479"/>
      <c r="D195" s="480" t="s">
        <v>592</v>
      </c>
      <c r="E195" s="58">
        <v>2000</v>
      </c>
      <c r="F195" s="58">
        <f t="shared" si="25"/>
        <v>2040</v>
      </c>
      <c r="G195" s="58">
        <f t="shared" si="19"/>
        <v>4040</v>
      </c>
      <c r="H195" s="58"/>
      <c r="I195" s="58"/>
      <c r="J195" s="58"/>
      <c r="K195" s="58"/>
      <c r="L195" s="58"/>
      <c r="M195" s="58"/>
      <c r="N195" s="170">
        <v>2040</v>
      </c>
      <c r="O195" s="58"/>
      <c r="P195" s="58"/>
      <c r="Q195" s="170"/>
      <c r="R195" s="58">
        <v>4040</v>
      </c>
      <c r="S195" s="483">
        <f t="shared" si="21"/>
        <v>1</v>
      </c>
      <c r="T195" s="58">
        <f t="shared" si="22"/>
        <v>0</v>
      </c>
      <c r="U195" s="483">
        <f t="shared" si="23"/>
        <v>0</v>
      </c>
    </row>
    <row r="196" spans="1:21" s="484" customFormat="1" ht="19.5" customHeight="1">
      <c r="A196" s="479"/>
      <c r="B196" s="479"/>
      <c r="C196" s="479"/>
      <c r="D196" s="480" t="s">
        <v>604</v>
      </c>
      <c r="E196" s="58">
        <v>2500</v>
      </c>
      <c r="F196" s="58">
        <f t="shared" si="25"/>
        <v>2202</v>
      </c>
      <c r="G196" s="58">
        <f t="shared" si="19"/>
        <v>4702</v>
      </c>
      <c r="H196" s="58"/>
      <c r="I196" s="58"/>
      <c r="J196" s="58"/>
      <c r="K196" s="58"/>
      <c r="L196" s="58"/>
      <c r="M196" s="58"/>
      <c r="N196" s="170">
        <v>2220</v>
      </c>
      <c r="O196" s="58"/>
      <c r="P196" s="486">
        <v>-18</v>
      </c>
      <c r="Q196" s="170"/>
      <c r="R196" s="58">
        <v>4701.94</v>
      </c>
      <c r="S196" s="483">
        <f t="shared" si="21"/>
        <v>0.9999872394725647</v>
      </c>
      <c r="T196" s="58">
        <f t="shared" si="22"/>
        <v>0.06000000000040018</v>
      </c>
      <c r="U196" s="483">
        <f>T196/G196</f>
        <v>1.2760527435219094E-05</v>
      </c>
    </row>
    <row r="197" spans="1:21" s="101" customFormat="1" ht="20.25" customHeight="1">
      <c r="A197" s="76"/>
      <c r="B197" s="76"/>
      <c r="C197" s="76" t="s">
        <v>610</v>
      </c>
      <c r="D197" s="16" t="s">
        <v>89</v>
      </c>
      <c r="E197" s="87">
        <f>SUM(E198,E199,E200,E201,E202,E203,E204,E205,E206,E207,E208,E209,E210,E211,E212)</f>
        <v>12650</v>
      </c>
      <c r="F197" s="87">
        <f>SUM(F198,F199,F200,F201,F202,F203,F204,F205,F206,F207,F208,F209,F210,F211,F212)</f>
        <v>4009</v>
      </c>
      <c r="G197" s="87">
        <f t="shared" si="19"/>
        <v>16659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174"/>
      <c r="R197" s="87">
        <f>SUM(R198,R199,R200,R201,R202,R203,R204,R205,R206,R207,R208,R209,R210,R211,R212)</f>
        <v>15275.32</v>
      </c>
      <c r="S197" s="478">
        <f>R197/G197</f>
        <v>0.916940992856714</v>
      </c>
      <c r="T197" s="87">
        <f>G197-R197</f>
        <v>1383.6800000000003</v>
      </c>
      <c r="U197" s="478">
        <f>T197/G197</f>
        <v>0.08305900714328593</v>
      </c>
    </row>
    <row r="198" spans="1:21" s="484" customFormat="1" ht="19.5" customHeight="1">
      <c r="A198" s="479"/>
      <c r="B198" s="479"/>
      <c r="C198" s="479"/>
      <c r="D198" s="480" t="s">
        <v>594</v>
      </c>
      <c r="E198" s="58">
        <v>800</v>
      </c>
      <c r="F198" s="58">
        <f>SUM(H198:Q198)</f>
        <v>1200</v>
      </c>
      <c r="G198" s="58">
        <f t="shared" si="19"/>
        <v>2000</v>
      </c>
      <c r="H198" s="58"/>
      <c r="I198" s="58">
        <v>-50</v>
      </c>
      <c r="J198" s="58">
        <v>500</v>
      </c>
      <c r="K198" s="58"/>
      <c r="L198" s="58"/>
      <c r="M198" s="58"/>
      <c r="N198" s="58">
        <v>750</v>
      </c>
      <c r="O198" s="58"/>
      <c r="P198" s="58"/>
      <c r="Q198" s="170"/>
      <c r="R198" s="58">
        <v>1792.96</v>
      </c>
      <c r="S198" s="483">
        <f>R198/G198</f>
        <v>0.89648</v>
      </c>
      <c r="T198" s="58">
        <f>G198-R198</f>
        <v>207.03999999999996</v>
      </c>
      <c r="U198" s="483">
        <f>T198/G198</f>
        <v>0.10351999999999999</v>
      </c>
    </row>
    <row r="199" spans="1:21" s="484" customFormat="1" ht="19.5" customHeight="1">
      <c r="A199" s="479"/>
      <c r="B199" s="479"/>
      <c r="C199" s="479"/>
      <c r="D199" s="480" t="s">
        <v>602</v>
      </c>
      <c r="E199" s="58">
        <v>500</v>
      </c>
      <c r="F199" s="58">
        <f>SUM(H199:Q199)</f>
        <v>227</v>
      </c>
      <c r="G199" s="58">
        <f t="shared" si="19"/>
        <v>727</v>
      </c>
      <c r="H199" s="58"/>
      <c r="I199" s="58"/>
      <c r="J199" s="58"/>
      <c r="K199" s="58"/>
      <c r="L199" s="58"/>
      <c r="M199" s="58"/>
      <c r="N199" s="486">
        <v>227</v>
      </c>
      <c r="O199" s="58"/>
      <c r="P199" s="58"/>
      <c r="Q199" s="170"/>
      <c r="R199" s="58">
        <v>693.46</v>
      </c>
      <c r="S199" s="483">
        <f>R199/G199</f>
        <v>0.9538651994497938</v>
      </c>
      <c r="T199" s="58">
        <f>G199-R199</f>
        <v>33.539999999999964</v>
      </c>
      <c r="U199" s="483">
        <f>T199/G199</f>
        <v>0.04613480055020628</v>
      </c>
    </row>
    <row r="200" spans="1:21" s="484" customFormat="1" ht="19.5" customHeight="1">
      <c r="A200" s="479"/>
      <c r="B200" s="479"/>
      <c r="C200" s="479"/>
      <c r="D200" s="480" t="s">
        <v>583</v>
      </c>
      <c r="E200" s="58">
        <v>2000</v>
      </c>
      <c r="F200" s="58">
        <f aca="true" t="shared" si="26" ref="F200:F212">SUM(H200:Q200)</f>
        <v>-534</v>
      </c>
      <c r="G200" s="58">
        <f t="shared" si="19"/>
        <v>1466</v>
      </c>
      <c r="H200" s="58"/>
      <c r="I200" s="58"/>
      <c r="J200" s="58"/>
      <c r="K200" s="58"/>
      <c r="L200" s="58"/>
      <c r="M200" s="58"/>
      <c r="N200" s="58"/>
      <c r="O200" s="58"/>
      <c r="P200" s="486">
        <v>-534</v>
      </c>
      <c r="Q200" s="170"/>
      <c r="R200" s="58">
        <v>1434.49</v>
      </c>
      <c r="S200" s="483">
        <f aca="true" t="shared" si="27" ref="S200:S262">R200/G200</f>
        <v>0.978506139154161</v>
      </c>
      <c r="T200" s="58">
        <f aca="true" t="shared" si="28" ref="T200:T263">G200-R200</f>
        <v>31.50999999999999</v>
      </c>
      <c r="U200" s="483">
        <f aca="true" t="shared" si="29" ref="U200:U263">T200/G200</f>
        <v>0.02149386084583901</v>
      </c>
    </row>
    <row r="201" spans="1:21" s="484" customFormat="1" ht="19.5" customHeight="1">
      <c r="A201" s="479"/>
      <c r="B201" s="479"/>
      <c r="C201" s="479"/>
      <c r="D201" s="480" t="s">
        <v>595</v>
      </c>
      <c r="E201" s="58">
        <v>800</v>
      </c>
      <c r="F201" s="58">
        <f t="shared" si="26"/>
        <v>0</v>
      </c>
      <c r="G201" s="58">
        <f t="shared" si="19"/>
        <v>800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170"/>
      <c r="R201" s="58">
        <v>676.72</v>
      </c>
      <c r="S201" s="483">
        <f t="shared" si="27"/>
        <v>0.8459</v>
      </c>
      <c r="T201" s="58">
        <f t="shared" si="28"/>
        <v>123.27999999999997</v>
      </c>
      <c r="U201" s="483">
        <f t="shared" si="29"/>
        <v>0.15409999999999996</v>
      </c>
    </row>
    <row r="202" spans="1:21" s="484" customFormat="1" ht="19.5" customHeight="1">
      <c r="A202" s="479"/>
      <c r="B202" s="479"/>
      <c r="C202" s="479"/>
      <c r="D202" s="480" t="s">
        <v>584</v>
      </c>
      <c r="E202" s="58">
        <v>800</v>
      </c>
      <c r="F202" s="58">
        <f t="shared" si="26"/>
        <v>287</v>
      </c>
      <c r="G202" s="58">
        <f t="shared" si="19"/>
        <v>1087</v>
      </c>
      <c r="H202" s="58"/>
      <c r="I202" s="58"/>
      <c r="J202" s="58"/>
      <c r="K202" s="58"/>
      <c r="L202" s="58"/>
      <c r="M202" s="58"/>
      <c r="N202" s="58">
        <v>265</v>
      </c>
      <c r="O202" s="58"/>
      <c r="P202" s="58">
        <v>22</v>
      </c>
      <c r="Q202" s="170"/>
      <c r="R202" s="58">
        <v>1044.31</v>
      </c>
      <c r="S202" s="483">
        <f t="shared" si="27"/>
        <v>0.9607267709291628</v>
      </c>
      <c r="T202" s="58">
        <f t="shared" si="28"/>
        <v>42.690000000000055</v>
      </c>
      <c r="U202" s="483">
        <f t="shared" si="29"/>
        <v>0.03927322907083722</v>
      </c>
    </row>
    <row r="203" spans="1:21" s="484" customFormat="1" ht="19.5" customHeight="1">
      <c r="A203" s="479"/>
      <c r="B203" s="479"/>
      <c r="C203" s="479"/>
      <c r="D203" s="480" t="s">
        <v>585</v>
      </c>
      <c r="E203" s="58">
        <v>700</v>
      </c>
      <c r="F203" s="58">
        <f t="shared" si="26"/>
        <v>0</v>
      </c>
      <c r="G203" s="58">
        <f t="shared" si="19"/>
        <v>700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170"/>
      <c r="R203" s="58">
        <v>530.75</v>
      </c>
      <c r="S203" s="483">
        <f t="shared" si="27"/>
        <v>0.7582142857142857</v>
      </c>
      <c r="T203" s="58">
        <f t="shared" si="28"/>
        <v>169.25</v>
      </c>
      <c r="U203" s="483">
        <f t="shared" si="29"/>
        <v>0.2417857142857143</v>
      </c>
    </row>
    <row r="204" spans="1:21" s="484" customFormat="1" ht="19.5" customHeight="1">
      <c r="A204" s="479"/>
      <c r="B204" s="479"/>
      <c r="C204" s="479"/>
      <c r="D204" s="480" t="s">
        <v>586</v>
      </c>
      <c r="E204" s="58">
        <v>1100</v>
      </c>
      <c r="F204" s="58">
        <f t="shared" si="26"/>
        <v>0</v>
      </c>
      <c r="G204" s="58">
        <f t="shared" si="19"/>
        <v>1100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170"/>
      <c r="R204" s="58">
        <v>1032.82</v>
      </c>
      <c r="S204" s="483">
        <f t="shared" si="27"/>
        <v>0.9389272727272727</v>
      </c>
      <c r="T204" s="58">
        <f t="shared" si="28"/>
        <v>67.18000000000006</v>
      </c>
      <c r="U204" s="483">
        <f t="shared" si="29"/>
        <v>0.061072727272727334</v>
      </c>
    </row>
    <row r="205" spans="1:21" s="484" customFormat="1" ht="19.5" customHeight="1">
      <c r="A205" s="479"/>
      <c r="B205" s="479"/>
      <c r="C205" s="479"/>
      <c r="D205" s="480" t="s">
        <v>596</v>
      </c>
      <c r="E205" s="58">
        <v>500</v>
      </c>
      <c r="F205" s="58">
        <f t="shared" si="26"/>
        <v>-500</v>
      </c>
      <c r="G205" s="58">
        <f t="shared" si="19"/>
        <v>0</v>
      </c>
      <c r="H205" s="58"/>
      <c r="I205" s="58"/>
      <c r="J205" s="58"/>
      <c r="K205" s="58"/>
      <c r="L205" s="58"/>
      <c r="M205" s="58"/>
      <c r="N205" s="486">
        <v>-500</v>
      </c>
      <c r="O205" s="58"/>
      <c r="P205" s="58"/>
      <c r="Q205" s="170"/>
      <c r="R205" s="58">
        <v>0</v>
      </c>
      <c r="S205" s="483">
        <v>0</v>
      </c>
      <c r="T205" s="58">
        <f t="shared" si="28"/>
        <v>0</v>
      </c>
      <c r="U205" s="483"/>
    </row>
    <row r="206" spans="1:21" s="484" customFormat="1" ht="19.5" customHeight="1">
      <c r="A206" s="479"/>
      <c r="B206" s="479"/>
      <c r="C206" s="479"/>
      <c r="D206" s="480" t="s">
        <v>587</v>
      </c>
      <c r="E206" s="58">
        <v>600</v>
      </c>
      <c r="F206" s="58">
        <f t="shared" si="26"/>
        <v>1780</v>
      </c>
      <c r="G206" s="58">
        <f t="shared" si="19"/>
        <v>2380</v>
      </c>
      <c r="H206" s="58"/>
      <c r="I206" s="58">
        <v>1990</v>
      </c>
      <c r="J206" s="58"/>
      <c r="K206" s="58"/>
      <c r="L206" s="58"/>
      <c r="M206" s="58"/>
      <c r="N206" s="486">
        <v>-210</v>
      </c>
      <c r="O206" s="58"/>
      <c r="P206" s="58"/>
      <c r="Q206" s="170"/>
      <c r="R206" s="58">
        <v>2016.21</v>
      </c>
      <c r="S206" s="483">
        <f t="shared" si="27"/>
        <v>0.8471470588235295</v>
      </c>
      <c r="T206" s="58">
        <f t="shared" si="28"/>
        <v>363.78999999999996</v>
      </c>
      <c r="U206" s="483">
        <f t="shared" si="29"/>
        <v>0.15285294117647058</v>
      </c>
    </row>
    <row r="207" spans="1:21" s="484" customFormat="1" ht="19.5" customHeight="1">
      <c r="A207" s="479"/>
      <c r="B207" s="479"/>
      <c r="C207" s="479"/>
      <c r="D207" s="480" t="s">
        <v>590</v>
      </c>
      <c r="E207" s="58">
        <v>1400</v>
      </c>
      <c r="F207" s="58">
        <f t="shared" si="26"/>
        <v>50</v>
      </c>
      <c r="G207" s="58">
        <f t="shared" si="19"/>
        <v>1450</v>
      </c>
      <c r="H207" s="58"/>
      <c r="I207" s="58"/>
      <c r="J207" s="58"/>
      <c r="K207" s="58"/>
      <c r="L207" s="58"/>
      <c r="M207" s="58"/>
      <c r="N207" s="58"/>
      <c r="O207" s="58">
        <v>50</v>
      </c>
      <c r="P207" s="58"/>
      <c r="Q207" s="170"/>
      <c r="R207" s="58">
        <v>1316.65</v>
      </c>
      <c r="S207" s="483">
        <f t="shared" si="27"/>
        <v>0.9080344827586208</v>
      </c>
      <c r="T207" s="58">
        <f t="shared" si="28"/>
        <v>133.3499999999999</v>
      </c>
      <c r="U207" s="483">
        <f t="shared" si="29"/>
        <v>0.09196551724137925</v>
      </c>
    </row>
    <row r="208" spans="1:21" s="484" customFormat="1" ht="19.5" customHeight="1">
      <c r="A208" s="479"/>
      <c r="B208" s="479"/>
      <c r="C208" s="479"/>
      <c r="D208" s="480" t="s">
        <v>597</v>
      </c>
      <c r="E208" s="58">
        <v>1000</v>
      </c>
      <c r="F208" s="58">
        <f t="shared" si="26"/>
        <v>320</v>
      </c>
      <c r="G208" s="58">
        <f t="shared" si="19"/>
        <v>1320</v>
      </c>
      <c r="H208" s="488"/>
      <c r="I208" s="58"/>
      <c r="J208" s="58"/>
      <c r="K208" s="58"/>
      <c r="L208" s="58"/>
      <c r="M208" s="58"/>
      <c r="N208" s="58"/>
      <c r="O208" s="58"/>
      <c r="P208" s="58">
        <v>320</v>
      </c>
      <c r="Q208" s="170"/>
      <c r="R208" s="489">
        <v>1169.98</v>
      </c>
      <c r="S208" s="483">
        <f t="shared" si="27"/>
        <v>0.8863484848484848</v>
      </c>
      <c r="T208" s="58">
        <f t="shared" si="28"/>
        <v>150.01999999999998</v>
      </c>
      <c r="U208" s="483">
        <f t="shared" si="29"/>
        <v>0.11365151515151514</v>
      </c>
    </row>
    <row r="209" spans="1:21" s="484" customFormat="1" ht="19.5" customHeight="1">
      <c r="A209" s="479"/>
      <c r="B209" s="479"/>
      <c r="C209" s="479"/>
      <c r="D209" s="480" t="s">
        <v>598</v>
      </c>
      <c r="E209" s="58">
        <v>1300</v>
      </c>
      <c r="F209" s="58">
        <f t="shared" si="26"/>
        <v>1000</v>
      </c>
      <c r="G209" s="58">
        <f t="shared" si="19"/>
        <v>2300</v>
      </c>
      <c r="H209" s="58"/>
      <c r="I209" s="58"/>
      <c r="J209" s="58"/>
      <c r="K209" s="58"/>
      <c r="L209" s="58"/>
      <c r="M209" s="58"/>
      <c r="N209" s="58"/>
      <c r="O209" s="58"/>
      <c r="P209" s="58">
        <v>1000</v>
      </c>
      <c r="Q209" s="170"/>
      <c r="R209" s="58">
        <v>2325.82</v>
      </c>
      <c r="S209" s="483">
        <f t="shared" si="27"/>
        <v>1.0112260869565217</v>
      </c>
      <c r="T209" s="58">
        <f t="shared" si="28"/>
        <v>-25.820000000000164</v>
      </c>
      <c r="U209" s="483">
        <f t="shared" si="29"/>
        <v>-0.011226086956521811</v>
      </c>
    </row>
    <row r="210" spans="1:21" s="484" customFormat="1" ht="19.5" customHeight="1">
      <c r="A210" s="479"/>
      <c r="B210" s="479"/>
      <c r="C210" s="479"/>
      <c r="D210" s="480" t="s">
        <v>603</v>
      </c>
      <c r="E210" s="58">
        <v>250</v>
      </c>
      <c r="F210" s="58">
        <f t="shared" si="26"/>
        <v>79</v>
      </c>
      <c r="G210" s="58">
        <f t="shared" si="19"/>
        <v>329</v>
      </c>
      <c r="H210" s="58"/>
      <c r="I210" s="58"/>
      <c r="J210" s="58"/>
      <c r="K210" s="58"/>
      <c r="L210" s="58"/>
      <c r="M210" s="58"/>
      <c r="N210" s="58">
        <v>79</v>
      </c>
      <c r="O210" s="58"/>
      <c r="P210" s="58"/>
      <c r="Q210" s="170"/>
      <c r="R210" s="58">
        <v>315.96</v>
      </c>
      <c r="S210" s="483">
        <f t="shared" si="27"/>
        <v>0.9603647416413373</v>
      </c>
      <c r="T210" s="58">
        <f t="shared" si="28"/>
        <v>13.04000000000002</v>
      </c>
      <c r="U210" s="483">
        <f t="shared" si="29"/>
        <v>0.039635258358662676</v>
      </c>
    </row>
    <row r="211" spans="1:21" s="484" customFormat="1" ht="19.5" customHeight="1">
      <c r="A211" s="479"/>
      <c r="B211" s="479"/>
      <c r="C211" s="479"/>
      <c r="D211" s="480" t="s">
        <v>592</v>
      </c>
      <c r="E211" s="58">
        <v>300</v>
      </c>
      <c r="F211" s="58">
        <f t="shared" si="26"/>
        <v>80</v>
      </c>
      <c r="G211" s="58">
        <f t="shared" si="19"/>
        <v>380</v>
      </c>
      <c r="H211" s="58"/>
      <c r="I211" s="58"/>
      <c r="J211" s="58"/>
      <c r="K211" s="58"/>
      <c r="L211" s="58"/>
      <c r="M211" s="58"/>
      <c r="N211" s="58">
        <v>80</v>
      </c>
      <c r="O211" s="58"/>
      <c r="P211" s="58"/>
      <c r="Q211" s="170"/>
      <c r="R211" s="58">
        <v>325.98</v>
      </c>
      <c r="S211" s="483">
        <f t="shared" si="27"/>
        <v>0.857842105263158</v>
      </c>
      <c r="T211" s="58">
        <f t="shared" si="28"/>
        <v>54.01999999999998</v>
      </c>
      <c r="U211" s="483">
        <f t="shared" si="29"/>
        <v>0.14215789473684207</v>
      </c>
    </row>
    <row r="212" spans="1:21" s="484" customFormat="1" ht="19.5" customHeight="1">
      <c r="A212" s="479"/>
      <c r="B212" s="479"/>
      <c r="C212" s="479"/>
      <c r="D212" s="480" t="s">
        <v>604</v>
      </c>
      <c r="E212" s="58">
        <v>600</v>
      </c>
      <c r="F212" s="58">
        <f t="shared" si="26"/>
        <v>20</v>
      </c>
      <c r="G212" s="58">
        <f t="shared" si="19"/>
        <v>620</v>
      </c>
      <c r="H212" s="58"/>
      <c r="I212" s="58"/>
      <c r="J212" s="58"/>
      <c r="K212" s="58"/>
      <c r="L212" s="58"/>
      <c r="M212" s="58"/>
      <c r="N212" s="58"/>
      <c r="O212" s="58"/>
      <c r="P212" s="58">
        <v>20</v>
      </c>
      <c r="Q212" s="170"/>
      <c r="R212" s="58">
        <v>599.21</v>
      </c>
      <c r="S212" s="483">
        <f t="shared" si="27"/>
        <v>0.9664677419354839</v>
      </c>
      <c r="T212" s="58">
        <f t="shared" si="28"/>
        <v>20.789999999999964</v>
      </c>
      <c r="U212" s="483">
        <f t="shared" si="29"/>
        <v>0.03353225806451607</v>
      </c>
    </row>
    <row r="213" spans="1:21" s="101" customFormat="1" ht="18" customHeight="1">
      <c r="A213" s="76"/>
      <c r="B213" s="76"/>
      <c r="C213" s="59">
        <v>4270</v>
      </c>
      <c r="D213" s="507" t="s">
        <v>75</v>
      </c>
      <c r="E213" s="87">
        <f>SUM(E214,E215,E216,E217,E218,E219)</f>
        <v>56770</v>
      </c>
      <c r="F213" s="87">
        <f>SUM(F214,F215,F216,F217,F218,F219)</f>
        <v>-178</v>
      </c>
      <c r="G213" s="87">
        <f t="shared" si="19"/>
        <v>56592</v>
      </c>
      <c r="H213" s="87"/>
      <c r="I213" s="87"/>
      <c r="J213" s="87"/>
      <c r="K213" s="87"/>
      <c r="L213" s="87"/>
      <c r="M213" s="87"/>
      <c r="N213" s="87"/>
      <c r="O213" s="87"/>
      <c r="P213" s="87"/>
      <c r="Q213" s="174"/>
      <c r="R213" s="87">
        <f>SUM(R214,R215,R216,R217,R218,R219)</f>
        <v>53634.54</v>
      </c>
      <c r="S213" s="478">
        <f t="shared" si="27"/>
        <v>0.9477406700593723</v>
      </c>
      <c r="T213" s="87">
        <f t="shared" si="28"/>
        <v>2957.459999999999</v>
      </c>
      <c r="U213" s="478">
        <f t="shared" si="29"/>
        <v>0.05225932994062764</v>
      </c>
    </row>
    <row r="214" spans="1:21" s="484" customFormat="1" ht="19.5" customHeight="1">
      <c r="A214" s="93"/>
      <c r="B214" s="93"/>
      <c r="C214" s="53"/>
      <c r="D214" s="480" t="s">
        <v>594</v>
      </c>
      <c r="E214" s="58">
        <v>38400</v>
      </c>
      <c r="F214" s="58">
        <f aca="true" t="shared" si="30" ref="F214:F219">SUM(H214:Q214)</f>
        <v>623</v>
      </c>
      <c r="G214" s="58">
        <f t="shared" si="19"/>
        <v>39023</v>
      </c>
      <c r="H214" s="58"/>
      <c r="I214" s="58"/>
      <c r="J214" s="58">
        <v>-500</v>
      </c>
      <c r="K214" s="58"/>
      <c r="L214" s="58"/>
      <c r="M214" s="58">
        <v>1873</v>
      </c>
      <c r="N214" s="486">
        <v>-750</v>
      </c>
      <c r="O214" s="58"/>
      <c r="P214" s="58"/>
      <c r="Q214" s="170"/>
      <c r="R214" s="58">
        <v>38872.01</v>
      </c>
      <c r="S214" s="483">
        <f t="shared" si="27"/>
        <v>0.996130743407734</v>
      </c>
      <c r="T214" s="58">
        <f t="shared" si="28"/>
        <v>150.98999999999796</v>
      </c>
      <c r="U214" s="483">
        <f t="shared" si="29"/>
        <v>0.003869256592266047</v>
      </c>
    </row>
    <row r="215" spans="1:21" s="484" customFormat="1" ht="19.5" customHeight="1">
      <c r="A215" s="93"/>
      <c r="B215" s="93"/>
      <c r="C215" s="53"/>
      <c r="D215" s="480" t="s">
        <v>602</v>
      </c>
      <c r="E215" s="58">
        <v>8390</v>
      </c>
      <c r="F215" s="58">
        <f t="shared" si="30"/>
        <v>0</v>
      </c>
      <c r="G215" s="58">
        <f t="shared" si="19"/>
        <v>8390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170"/>
      <c r="R215" s="58">
        <v>8238.53</v>
      </c>
      <c r="S215" s="483">
        <f t="shared" si="27"/>
        <v>0.9819463647199047</v>
      </c>
      <c r="T215" s="58">
        <f t="shared" si="28"/>
        <v>151.46999999999935</v>
      </c>
      <c r="U215" s="483">
        <f t="shared" si="29"/>
        <v>0.018053635280095275</v>
      </c>
    </row>
    <row r="216" spans="1:21" s="484" customFormat="1" ht="19.5" customHeight="1">
      <c r="A216" s="93"/>
      <c r="B216" s="93"/>
      <c r="C216" s="53"/>
      <c r="D216" s="480" t="s">
        <v>586</v>
      </c>
      <c r="E216" s="58">
        <v>0</v>
      </c>
      <c r="F216" s="58">
        <f t="shared" si="30"/>
        <v>5280</v>
      </c>
      <c r="G216" s="58">
        <f t="shared" si="19"/>
        <v>5280</v>
      </c>
      <c r="H216" s="58"/>
      <c r="I216" s="58"/>
      <c r="J216" s="58"/>
      <c r="K216" s="58"/>
      <c r="L216" s="58">
        <v>5280</v>
      </c>
      <c r="M216" s="58"/>
      <c r="N216" s="58"/>
      <c r="O216" s="58"/>
      <c r="P216" s="58"/>
      <c r="Q216" s="170"/>
      <c r="R216" s="58">
        <v>5124</v>
      </c>
      <c r="S216" s="483">
        <f>R216/G216</f>
        <v>0.9704545454545455</v>
      </c>
      <c r="T216" s="58">
        <f>G216-R216</f>
        <v>156</v>
      </c>
      <c r="U216" s="483">
        <f>T216/G216</f>
        <v>0.029545454545454545</v>
      </c>
    </row>
    <row r="217" spans="1:21" s="484" customFormat="1" ht="19.5" customHeight="1">
      <c r="A217" s="479"/>
      <c r="B217" s="479"/>
      <c r="C217" s="479"/>
      <c r="D217" s="480" t="s">
        <v>587</v>
      </c>
      <c r="E217" s="58">
        <v>1990</v>
      </c>
      <c r="F217" s="58">
        <f t="shared" si="30"/>
        <v>-1990</v>
      </c>
      <c r="G217" s="58">
        <f t="shared" si="19"/>
        <v>0</v>
      </c>
      <c r="H217" s="58"/>
      <c r="I217" s="58">
        <v>-1990</v>
      </c>
      <c r="J217" s="58"/>
      <c r="K217" s="58"/>
      <c r="L217" s="58"/>
      <c r="M217" s="58"/>
      <c r="N217" s="58"/>
      <c r="O217" s="58"/>
      <c r="P217" s="58"/>
      <c r="Q217" s="170"/>
      <c r="R217" s="58">
        <v>0</v>
      </c>
      <c r="S217" s="483">
        <v>0</v>
      </c>
      <c r="T217" s="58">
        <f t="shared" si="28"/>
        <v>0</v>
      </c>
      <c r="U217" s="483"/>
    </row>
    <row r="218" spans="1:21" s="484" customFormat="1" ht="19.5" customHeight="1">
      <c r="A218" s="479"/>
      <c r="B218" s="479"/>
      <c r="C218" s="479"/>
      <c r="D218" s="480" t="s">
        <v>598</v>
      </c>
      <c r="E218" s="58">
        <v>4110</v>
      </c>
      <c r="F218" s="58">
        <f t="shared" si="30"/>
        <v>-211</v>
      </c>
      <c r="G218" s="58">
        <f t="shared" si="19"/>
        <v>3899</v>
      </c>
      <c r="H218" s="58"/>
      <c r="I218" s="58"/>
      <c r="J218" s="58"/>
      <c r="K218" s="58"/>
      <c r="L218" s="58">
        <v>-211</v>
      </c>
      <c r="M218" s="58"/>
      <c r="N218" s="58"/>
      <c r="O218" s="58"/>
      <c r="P218" s="58"/>
      <c r="Q218" s="170"/>
      <c r="R218" s="58">
        <v>1400</v>
      </c>
      <c r="S218" s="483">
        <f t="shared" si="27"/>
        <v>0.3590664272890485</v>
      </c>
      <c r="T218" s="58">
        <f t="shared" si="28"/>
        <v>2499</v>
      </c>
      <c r="U218" s="483">
        <f t="shared" si="29"/>
        <v>0.6409335727109515</v>
      </c>
    </row>
    <row r="219" spans="1:21" s="484" customFormat="1" ht="19.5" customHeight="1">
      <c r="A219" s="479"/>
      <c r="B219" s="479"/>
      <c r="C219" s="479"/>
      <c r="D219" s="480" t="s">
        <v>604</v>
      </c>
      <c r="E219" s="58">
        <v>3880</v>
      </c>
      <c r="F219" s="58">
        <f t="shared" si="30"/>
        <v>-3880</v>
      </c>
      <c r="G219" s="58">
        <f t="shared" si="19"/>
        <v>0</v>
      </c>
      <c r="H219" s="58"/>
      <c r="I219" s="58"/>
      <c r="J219" s="58"/>
      <c r="K219" s="58"/>
      <c r="L219" s="58"/>
      <c r="M219" s="58"/>
      <c r="N219" s="486">
        <v>-3880</v>
      </c>
      <c r="O219" s="58"/>
      <c r="P219" s="58"/>
      <c r="Q219" s="170"/>
      <c r="R219" s="58">
        <v>0</v>
      </c>
      <c r="S219" s="483">
        <v>0</v>
      </c>
      <c r="T219" s="58">
        <f t="shared" si="28"/>
        <v>0</v>
      </c>
      <c r="U219" s="483"/>
    </row>
    <row r="220" spans="1:21" s="101" customFormat="1" ht="21.75" customHeight="1">
      <c r="A220" s="76"/>
      <c r="B220" s="76"/>
      <c r="C220" s="59">
        <v>4300</v>
      </c>
      <c r="D220" s="507" t="s">
        <v>76</v>
      </c>
      <c r="E220" s="87">
        <f>SUM(E221,E222,E223,E224,E225,E226)</f>
        <v>8340</v>
      </c>
      <c r="F220" s="87">
        <f>SUM(F221,F222,F223,F224,F225,F226)</f>
        <v>-2689</v>
      </c>
      <c r="G220" s="87">
        <f t="shared" si="19"/>
        <v>5651</v>
      </c>
      <c r="H220" s="87"/>
      <c r="I220" s="87"/>
      <c r="J220" s="87"/>
      <c r="K220" s="87"/>
      <c r="L220" s="87"/>
      <c r="M220" s="87"/>
      <c r="N220" s="87"/>
      <c r="O220" s="87"/>
      <c r="P220" s="87"/>
      <c r="Q220" s="174"/>
      <c r="R220" s="87">
        <f>SUM(R221,R222,R223,R224,R225,R226)</f>
        <v>5651</v>
      </c>
      <c r="S220" s="478">
        <f t="shared" si="27"/>
        <v>1</v>
      </c>
      <c r="T220" s="87">
        <f t="shared" si="28"/>
        <v>0</v>
      </c>
      <c r="U220" s="478">
        <f t="shared" si="29"/>
        <v>0</v>
      </c>
    </row>
    <row r="221" spans="1:21" s="101" customFormat="1" ht="19.5" customHeight="1">
      <c r="A221" s="76"/>
      <c r="B221" s="76"/>
      <c r="C221" s="59"/>
      <c r="D221" s="480" t="s">
        <v>585</v>
      </c>
      <c r="E221" s="87">
        <v>0</v>
      </c>
      <c r="F221" s="87">
        <f aca="true" t="shared" si="31" ref="F221:F226">SUM(H221:Q221)</f>
        <v>720</v>
      </c>
      <c r="G221" s="87">
        <f>SUM(E221:F221)</f>
        <v>720</v>
      </c>
      <c r="H221" s="87"/>
      <c r="I221" s="87"/>
      <c r="J221" s="87"/>
      <c r="K221" s="87"/>
      <c r="L221" s="87"/>
      <c r="M221" s="58">
        <v>720</v>
      </c>
      <c r="N221" s="87"/>
      <c r="O221" s="87"/>
      <c r="P221" s="87"/>
      <c r="Q221" s="174"/>
      <c r="R221" s="87">
        <v>715.03</v>
      </c>
      <c r="S221" s="478">
        <f>R221/G221</f>
        <v>0.9930972222222222</v>
      </c>
      <c r="T221" s="87">
        <f>G221-R221</f>
        <v>4.970000000000027</v>
      </c>
      <c r="U221" s="478">
        <f>T221/G221</f>
        <v>0.006902777777777816</v>
      </c>
    </row>
    <row r="222" spans="1:21" s="484" customFormat="1" ht="19.5" customHeight="1">
      <c r="A222" s="479"/>
      <c r="B222" s="479"/>
      <c r="C222" s="479"/>
      <c r="D222" s="480" t="s">
        <v>586</v>
      </c>
      <c r="E222" s="58">
        <v>220</v>
      </c>
      <c r="F222" s="58">
        <f t="shared" si="31"/>
        <v>0</v>
      </c>
      <c r="G222" s="58">
        <f t="shared" si="19"/>
        <v>220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170"/>
      <c r="R222" s="58">
        <v>225.96</v>
      </c>
      <c r="S222" s="483">
        <f t="shared" si="27"/>
        <v>1.027090909090909</v>
      </c>
      <c r="T222" s="58">
        <f t="shared" si="28"/>
        <v>-5.960000000000008</v>
      </c>
      <c r="U222" s="483">
        <f t="shared" si="29"/>
        <v>-0.027090909090909127</v>
      </c>
    </row>
    <row r="223" spans="1:21" s="484" customFormat="1" ht="19.5" customHeight="1">
      <c r="A223" s="479"/>
      <c r="B223" s="479"/>
      <c r="C223" s="479"/>
      <c r="D223" s="480" t="s">
        <v>596</v>
      </c>
      <c r="E223" s="58">
        <v>4000</v>
      </c>
      <c r="F223" s="58">
        <f t="shared" si="31"/>
        <v>-1500</v>
      </c>
      <c r="G223" s="58">
        <f t="shared" si="19"/>
        <v>2500</v>
      </c>
      <c r="H223" s="58"/>
      <c r="I223" s="58"/>
      <c r="J223" s="58"/>
      <c r="K223" s="58"/>
      <c r="L223" s="58"/>
      <c r="M223" s="58"/>
      <c r="N223" s="486">
        <v>-1500</v>
      </c>
      <c r="O223" s="58"/>
      <c r="P223" s="58"/>
      <c r="Q223" s="170"/>
      <c r="R223" s="58">
        <v>2500</v>
      </c>
      <c r="S223" s="483">
        <f t="shared" si="27"/>
        <v>1</v>
      </c>
      <c r="T223" s="58">
        <f t="shared" si="28"/>
        <v>0</v>
      </c>
      <c r="U223" s="483">
        <f t="shared" si="29"/>
        <v>0</v>
      </c>
    </row>
    <row r="224" spans="1:21" s="484" customFormat="1" ht="19.5" customHeight="1">
      <c r="A224" s="479"/>
      <c r="B224" s="479"/>
      <c r="C224" s="479"/>
      <c r="D224" s="480" t="s">
        <v>598</v>
      </c>
      <c r="E224" s="58">
        <v>0</v>
      </c>
      <c r="F224" s="58">
        <f t="shared" si="31"/>
        <v>211</v>
      </c>
      <c r="G224" s="58">
        <f t="shared" si="19"/>
        <v>211</v>
      </c>
      <c r="H224" s="58"/>
      <c r="I224" s="58"/>
      <c r="J224" s="58"/>
      <c r="K224" s="58"/>
      <c r="L224" s="58">
        <v>211</v>
      </c>
      <c r="M224" s="58"/>
      <c r="N224" s="58"/>
      <c r="O224" s="58"/>
      <c r="P224" s="58"/>
      <c r="Q224" s="170"/>
      <c r="R224" s="58">
        <v>210.02</v>
      </c>
      <c r="S224" s="483">
        <f t="shared" si="27"/>
        <v>0.9953554502369669</v>
      </c>
      <c r="T224" s="58">
        <f t="shared" si="28"/>
        <v>0.9799999999999898</v>
      </c>
      <c r="U224" s="483">
        <f t="shared" si="29"/>
        <v>0.004644549763033127</v>
      </c>
    </row>
    <row r="225" spans="1:21" s="484" customFormat="1" ht="19.5" customHeight="1">
      <c r="A225" s="479"/>
      <c r="B225" s="479"/>
      <c r="C225" s="479"/>
      <c r="D225" s="480" t="s">
        <v>603</v>
      </c>
      <c r="E225" s="58">
        <v>2000</v>
      </c>
      <c r="F225" s="58">
        <f t="shared" si="31"/>
        <v>0</v>
      </c>
      <c r="G225" s="58">
        <f aca="true" t="shared" si="32" ref="G225:G263">SUM(E225:F225)</f>
        <v>2000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170"/>
      <c r="R225" s="58">
        <v>1999.99</v>
      </c>
      <c r="S225" s="483">
        <f t="shared" si="27"/>
        <v>0.999995</v>
      </c>
      <c r="T225" s="58">
        <f t="shared" si="28"/>
        <v>0.009999999999990905</v>
      </c>
      <c r="U225" s="483">
        <f t="shared" si="29"/>
        <v>4.999999999995453E-06</v>
      </c>
    </row>
    <row r="226" spans="1:21" s="484" customFormat="1" ht="19.5" customHeight="1">
      <c r="A226" s="479"/>
      <c r="B226" s="479"/>
      <c r="C226" s="479"/>
      <c r="D226" s="480" t="s">
        <v>592</v>
      </c>
      <c r="E226" s="58">
        <v>2120</v>
      </c>
      <c r="F226" s="58">
        <f t="shared" si="31"/>
        <v>-2120</v>
      </c>
      <c r="G226" s="58">
        <f t="shared" si="32"/>
        <v>0</v>
      </c>
      <c r="H226" s="58"/>
      <c r="I226" s="58"/>
      <c r="J226" s="58"/>
      <c r="K226" s="58"/>
      <c r="L226" s="58"/>
      <c r="M226" s="58"/>
      <c r="N226" s="486">
        <v>-2120</v>
      </c>
      <c r="O226" s="58"/>
      <c r="P226" s="58"/>
      <c r="Q226" s="170"/>
      <c r="R226" s="58">
        <v>0</v>
      </c>
      <c r="S226" s="483">
        <v>0</v>
      </c>
      <c r="T226" s="58">
        <f t="shared" si="28"/>
        <v>0</v>
      </c>
      <c r="U226" s="483"/>
    </row>
    <row r="227" spans="1:21" s="101" customFormat="1" ht="18" customHeight="1">
      <c r="A227" s="76"/>
      <c r="B227" s="76"/>
      <c r="C227" s="59">
        <v>4430</v>
      </c>
      <c r="D227" s="507" t="s">
        <v>88</v>
      </c>
      <c r="E227" s="87">
        <f>SUM(E228,E229,E230,E231,E232,E233,E234,E235,E236,E237,E238,E239,E240,E241,E242,E243)</f>
        <v>1635</v>
      </c>
      <c r="F227" s="87">
        <f>SUM(F228,F229,F230,F231,F232,F233,F234,F235,F236,F237,F238,F239,F240,F241,F242,F243)</f>
        <v>0</v>
      </c>
      <c r="G227" s="87">
        <f t="shared" si="32"/>
        <v>1635</v>
      </c>
      <c r="H227" s="87"/>
      <c r="I227" s="87"/>
      <c r="J227" s="87"/>
      <c r="K227" s="87"/>
      <c r="L227" s="87"/>
      <c r="M227" s="87"/>
      <c r="N227" s="87"/>
      <c r="O227" s="87"/>
      <c r="P227" s="87"/>
      <c r="Q227" s="174"/>
      <c r="R227" s="87">
        <f>SUM(R228,R229,R230,R231,R232,R233,R234,R235,R236,R237,R238,R239,R240,R241,R242,R243)</f>
        <v>771</v>
      </c>
      <c r="S227" s="478">
        <f t="shared" si="27"/>
        <v>0.47155963302752296</v>
      </c>
      <c r="T227" s="87">
        <f t="shared" si="28"/>
        <v>864</v>
      </c>
      <c r="U227" s="478">
        <f t="shared" si="29"/>
        <v>0.5284403669724771</v>
      </c>
    </row>
    <row r="228" spans="1:21" s="484" customFormat="1" ht="19.5" customHeight="1">
      <c r="A228" s="479"/>
      <c r="B228" s="479"/>
      <c r="C228" s="479"/>
      <c r="D228" s="480" t="s">
        <v>594</v>
      </c>
      <c r="E228" s="58">
        <v>220</v>
      </c>
      <c r="F228" s="58">
        <f>SUM(H228:Q228)</f>
        <v>0</v>
      </c>
      <c r="G228" s="58">
        <f t="shared" si="32"/>
        <v>220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170"/>
      <c r="R228" s="58">
        <v>51</v>
      </c>
      <c r="S228" s="483">
        <f t="shared" si="27"/>
        <v>0.2318181818181818</v>
      </c>
      <c r="T228" s="58">
        <f t="shared" si="28"/>
        <v>169</v>
      </c>
      <c r="U228" s="483">
        <f t="shared" si="29"/>
        <v>0.7681818181818182</v>
      </c>
    </row>
    <row r="229" spans="1:21" s="484" customFormat="1" ht="19.5" customHeight="1">
      <c r="A229" s="479"/>
      <c r="B229" s="479"/>
      <c r="C229" s="479"/>
      <c r="D229" s="480" t="s">
        <v>602</v>
      </c>
      <c r="E229" s="58">
        <v>120</v>
      </c>
      <c r="F229" s="58">
        <f>SUM(H229:Q229)</f>
        <v>0</v>
      </c>
      <c r="G229" s="58">
        <f t="shared" si="32"/>
        <v>120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170"/>
      <c r="R229" s="58">
        <v>29</v>
      </c>
      <c r="S229" s="483">
        <f t="shared" si="27"/>
        <v>0.24166666666666667</v>
      </c>
      <c r="T229" s="58">
        <f t="shared" si="28"/>
        <v>91</v>
      </c>
      <c r="U229" s="483">
        <f t="shared" si="29"/>
        <v>0.7583333333333333</v>
      </c>
    </row>
    <row r="230" spans="1:21" s="484" customFormat="1" ht="19.5" customHeight="1">
      <c r="A230" s="479"/>
      <c r="B230" s="479"/>
      <c r="C230" s="479"/>
      <c r="D230" s="480" t="s">
        <v>583</v>
      </c>
      <c r="E230" s="58">
        <v>100</v>
      </c>
      <c r="F230" s="58">
        <f aca="true" t="shared" si="33" ref="F230:F243">SUM(H230:Q230)</f>
        <v>0</v>
      </c>
      <c r="G230" s="58">
        <f t="shared" si="32"/>
        <v>100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170"/>
      <c r="R230" s="58">
        <v>100</v>
      </c>
      <c r="S230" s="483">
        <f t="shared" si="27"/>
        <v>1</v>
      </c>
      <c r="T230" s="58">
        <f t="shared" si="28"/>
        <v>0</v>
      </c>
      <c r="U230" s="483">
        <f t="shared" si="29"/>
        <v>0</v>
      </c>
    </row>
    <row r="231" spans="1:21" s="484" customFormat="1" ht="19.5" customHeight="1">
      <c r="A231" s="479"/>
      <c r="B231" s="479"/>
      <c r="C231" s="479"/>
      <c r="D231" s="480" t="s">
        <v>595</v>
      </c>
      <c r="E231" s="58">
        <v>150</v>
      </c>
      <c r="F231" s="58">
        <f t="shared" si="33"/>
        <v>0</v>
      </c>
      <c r="G231" s="58">
        <f t="shared" si="32"/>
        <v>150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170"/>
      <c r="R231" s="58">
        <v>22</v>
      </c>
      <c r="S231" s="483">
        <f t="shared" si="27"/>
        <v>0.14666666666666667</v>
      </c>
      <c r="T231" s="58">
        <f t="shared" si="28"/>
        <v>128</v>
      </c>
      <c r="U231" s="483">
        <f t="shared" si="29"/>
        <v>0.8533333333333334</v>
      </c>
    </row>
    <row r="232" spans="1:21" s="484" customFormat="1" ht="19.5" customHeight="1">
      <c r="A232" s="479"/>
      <c r="B232" s="479"/>
      <c r="C232" s="479"/>
      <c r="D232" s="480" t="s">
        <v>584</v>
      </c>
      <c r="E232" s="58">
        <v>80</v>
      </c>
      <c r="F232" s="58">
        <f t="shared" si="33"/>
        <v>0</v>
      </c>
      <c r="G232" s="58">
        <f t="shared" si="32"/>
        <v>80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170"/>
      <c r="R232" s="58">
        <v>80</v>
      </c>
      <c r="S232" s="483">
        <f t="shared" si="27"/>
        <v>1</v>
      </c>
      <c r="T232" s="58">
        <f t="shared" si="28"/>
        <v>0</v>
      </c>
      <c r="U232" s="483">
        <f t="shared" si="29"/>
        <v>0</v>
      </c>
    </row>
    <row r="233" spans="1:21" s="484" customFormat="1" ht="19.5" customHeight="1">
      <c r="A233" s="479"/>
      <c r="B233" s="479"/>
      <c r="C233" s="479"/>
      <c r="D233" s="480" t="s">
        <v>585</v>
      </c>
      <c r="E233" s="58">
        <v>100</v>
      </c>
      <c r="F233" s="58">
        <f t="shared" si="33"/>
        <v>0</v>
      </c>
      <c r="G233" s="58">
        <f t="shared" si="32"/>
        <v>100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170"/>
      <c r="R233" s="58">
        <v>26</v>
      </c>
      <c r="S233" s="483">
        <f t="shared" si="27"/>
        <v>0.26</v>
      </c>
      <c r="T233" s="58">
        <f t="shared" si="28"/>
        <v>74</v>
      </c>
      <c r="U233" s="483">
        <f t="shared" si="29"/>
        <v>0.74</v>
      </c>
    </row>
    <row r="234" spans="1:21" s="484" customFormat="1" ht="19.5" customHeight="1">
      <c r="A234" s="479"/>
      <c r="B234" s="479"/>
      <c r="C234" s="479"/>
      <c r="D234" s="480" t="s">
        <v>586</v>
      </c>
      <c r="E234" s="58">
        <v>70</v>
      </c>
      <c r="F234" s="58">
        <f t="shared" si="33"/>
        <v>0</v>
      </c>
      <c r="G234" s="58">
        <f t="shared" si="32"/>
        <v>70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170"/>
      <c r="R234" s="58">
        <v>17</v>
      </c>
      <c r="S234" s="483">
        <f t="shared" si="27"/>
        <v>0.24285714285714285</v>
      </c>
      <c r="T234" s="58">
        <f t="shared" si="28"/>
        <v>53</v>
      </c>
      <c r="U234" s="483">
        <f t="shared" si="29"/>
        <v>0.7571428571428571</v>
      </c>
    </row>
    <row r="235" spans="1:21" s="484" customFormat="1" ht="19.5" customHeight="1">
      <c r="A235" s="479"/>
      <c r="B235" s="479"/>
      <c r="C235" s="479"/>
      <c r="D235" s="480" t="s">
        <v>596</v>
      </c>
      <c r="E235" s="58">
        <v>50</v>
      </c>
      <c r="F235" s="58">
        <f t="shared" si="33"/>
        <v>0</v>
      </c>
      <c r="G235" s="58">
        <f t="shared" si="32"/>
        <v>50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170"/>
      <c r="R235" s="58">
        <v>12</v>
      </c>
      <c r="S235" s="483">
        <f t="shared" si="27"/>
        <v>0.24</v>
      </c>
      <c r="T235" s="58">
        <f t="shared" si="28"/>
        <v>38</v>
      </c>
      <c r="U235" s="483">
        <f t="shared" si="29"/>
        <v>0.76</v>
      </c>
    </row>
    <row r="236" spans="1:21" s="484" customFormat="1" ht="19.5" customHeight="1">
      <c r="A236" s="479"/>
      <c r="B236" s="479"/>
      <c r="C236" s="479"/>
      <c r="D236" s="480" t="s">
        <v>587</v>
      </c>
      <c r="E236" s="58">
        <v>150</v>
      </c>
      <c r="F236" s="58">
        <f t="shared" si="33"/>
        <v>0</v>
      </c>
      <c r="G236" s="58">
        <f t="shared" si="32"/>
        <v>150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170"/>
      <c r="R236" s="58">
        <v>150</v>
      </c>
      <c r="S236" s="483">
        <f t="shared" si="27"/>
        <v>1</v>
      </c>
      <c r="T236" s="58">
        <f t="shared" si="28"/>
        <v>0</v>
      </c>
      <c r="U236" s="483">
        <f t="shared" si="29"/>
        <v>0</v>
      </c>
    </row>
    <row r="237" spans="1:21" s="484" customFormat="1" ht="19.5" customHeight="1">
      <c r="A237" s="479"/>
      <c r="B237" s="479"/>
      <c r="C237" s="479"/>
      <c r="D237" s="480" t="s">
        <v>588</v>
      </c>
      <c r="E237" s="58">
        <v>15</v>
      </c>
      <c r="F237" s="58">
        <f t="shared" si="33"/>
        <v>0</v>
      </c>
      <c r="G237" s="58">
        <f t="shared" si="32"/>
        <v>15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170"/>
      <c r="R237" s="58">
        <v>9</v>
      </c>
      <c r="S237" s="483">
        <f t="shared" si="27"/>
        <v>0.6</v>
      </c>
      <c r="T237" s="58">
        <f t="shared" si="28"/>
        <v>6</v>
      </c>
      <c r="U237" s="483">
        <f t="shared" si="29"/>
        <v>0.4</v>
      </c>
    </row>
    <row r="238" spans="1:21" s="484" customFormat="1" ht="19.5" customHeight="1">
      <c r="A238" s="479"/>
      <c r="B238" s="479"/>
      <c r="C238" s="479"/>
      <c r="D238" s="480" t="s">
        <v>590</v>
      </c>
      <c r="E238" s="58">
        <v>150</v>
      </c>
      <c r="F238" s="58">
        <f t="shared" si="33"/>
        <v>0</v>
      </c>
      <c r="G238" s="58">
        <f t="shared" si="32"/>
        <v>150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170"/>
      <c r="R238" s="58">
        <v>150</v>
      </c>
      <c r="S238" s="483">
        <f t="shared" si="27"/>
        <v>1</v>
      </c>
      <c r="T238" s="58">
        <f t="shared" si="28"/>
        <v>0</v>
      </c>
      <c r="U238" s="483">
        <f t="shared" si="29"/>
        <v>0</v>
      </c>
    </row>
    <row r="239" spans="1:21" s="484" customFormat="1" ht="19.5" customHeight="1">
      <c r="A239" s="479"/>
      <c r="B239" s="479"/>
      <c r="C239" s="479"/>
      <c r="D239" s="480" t="s">
        <v>597</v>
      </c>
      <c r="E239" s="58">
        <v>100</v>
      </c>
      <c r="F239" s="58">
        <f t="shared" si="33"/>
        <v>0</v>
      </c>
      <c r="G239" s="58">
        <f t="shared" si="32"/>
        <v>100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170"/>
      <c r="R239" s="58">
        <v>25</v>
      </c>
      <c r="S239" s="483">
        <f t="shared" si="27"/>
        <v>0.25</v>
      </c>
      <c r="T239" s="58">
        <f t="shared" si="28"/>
        <v>75</v>
      </c>
      <c r="U239" s="483">
        <f t="shared" si="29"/>
        <v>0.75</v>
      </c>
    </row>
    <row r="240" spans="1:21" s="484" customFormat="1" ht="19.5" customHeight="1">
      <c r="A240" s="479"/>
      <c r="B240" s="479"/>
      <c r="C240" s="479"/>
      <c r="D240" s="480" t="s">
        <v>598</v>
      </c>
      <c r="E240" s="58">
        <v>80</v>
      </c>
      <c r="F240" s="58">
        <f t="shared" si="33"/>
        <v>0</v>
      </c>
      <c r="G240" s="58">
        <f t="shared" si="32"/>
        <v>80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170"/>
      <c r="R240" s="58">
        <v>23</v>
      </c>
      <c r="S240" s="483">
        <f t="shared" si="27"/>
        <v>0.2875</v>
      </c>
      <c r="T240" s="58">
        <f t="shared" si="28"/>
        <v>57</v>
      </c>
      <c r="U240" s="483">
        <f t="shared" si="29"/>
        <v>0.7125</v>
      </c>
    </row>
    <row r="241" spans="1:21" s="484" customFormat="1" ht="19.5" customHeight="1">
      <c r="A241" s="479"/>
      <c r="B241" s="479"/>
      <c r="C241" s="479"/>
      <c r="D241" s="480" t="s">
        <v>603</v>
      </c>
      <c r="E241" s="58">
        <v>100</v>
      </c>
      <c r="F241" s="58">
        <f t="shared" si="33"/>
        <v>0</v>
      </c>
      <c r="G241" s="58">
        <f t="shared" si="32"/>
        <v>100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170"/>
      <c r="R241" s="58">
        <v>7</v>
      </c>
      <c r="S241" s="483">
        <f t="shared" si="27"/>
        <v>0.07</v>
      </c>
      <c r="T241" s="58">
        <f t="shared" si="28"/>
        <v>93</v>
      </c>
      <c r="U241" s="483">
        <f t="shared" si="29"/>
        <v>0.93</v>
      </c>
    </row>
    <row r="242" spans="1:21" s="484" customFormat="1" ht="19.5" customHeight="1">
      <c r="A242" s="479"/>
      <c r="B242" s="479"/>
      <c r="C242" s="479"/>
      <c r="D242" s="480" t="s">
        <v>592</v>
      </c>
      <c r="E242" s="58">
        <v>50</v>
      </c>
      <c r="F242" s="58">
        <f t="shared" si="33"/>
        <v>0</v>
      </c>
      <c r="G242" s="58">
        <f t="shared" si="32"/>
        <v>50</v>
      </c>
      <c r="H242" s="58"/>
      <c r="I242" s="58"/>
      <c r="J242" s="58"/>
      <c r="K242" s="58"/>
      <c r="L242" s="58"/>
      <c r="M242" s="58"/>
      <c r="N242" s="58"/>
      <c r="O242" s="58"/>
      <c r="P242" s="58"/>
      <c r="Q242" s="170"/>
      <c r="R242" s="58">
        <v>50</v>
      </c>
      <c r="S242" s="483">
        <f t="shared" si="27"/>
        <v>1</v>
      </c>
      <c r="T242" s="58">
        <f t="shared" si="28"/>
        <v>0</v>
      </c>
      <c r="U242" s="483">
        <f t="shared" si="29"/>
        <v>0</v>
      </c>
    </row>
    <row r="243" spans="1:21" s="484" customFormat="1" ht="19.5" customHeight="1">
      <c r="A243" s="479"/>
      <c r="B243" s="479"/>
      <c r="C243" s="479"/>
      <c r="D243" s="480" t="s">
        <v>604</v>
      </c>
      <c r="E243" s="58">
        <v>100</v>
      </c>
      <c r="F243" s="58">
        <f t="shared" si="33"/>
        <v>0</v>
      </c>
      <c r="G243" s="58">
        <f t="shared" si="32"/>
        <v>100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170"/>
      <c r="R243" s="58">
        <v>20</v>
      </c>
      <c r="S243" s="483">
        <f t="shared" si="27"/>
        <v>0.2</v>
      </c>
      <c r="T243" s="58">
        <f t="shared" si="28"/>
        <v>80</v>
      </c>
      <c r="U243" s="483">
        <f t="shared" si="29"/>
        <v>0.8</v>
      </c>
    </row>
    <row r="244" spans="1:21" s="67" customFormat="1" ht="25.5" customHeight="1">
      <c r="A244" s="37" t="s">
        <v>118</v>
      </c>
      <c r="B244" s="6"/>
      <c r="C244" s="6"/>
      <c r="D244" s="24" t="s">
        <v>65</v>
      </c>
      <c r="E244" s="21">
        <f>SUM(E245)</f>
        <v>15290</v>
      </c>
      <c r="F244" s="21">
        <f>SUM(F245)</f>
        <v>-3789</v>
      </c>
      <c r="G244" s="21">
        <f t="shared" si="32"/>
        <v>11501</v>
      </c>
      <c r="H244" s="118"/>
      <c r="I244" s="118"/>
      <c r="J244" s="118"/>
      <c r="K244" s="118"/>
      <c r="L244" s="118"/>
      <c r="M244" s="118"/>
      <c r="N244" s="118"/>
      <c r="O244" s="118"/>
      <c r="P244" s="118"/>
      <c r="Q244" s="188"/>
      <c r="R244" s="213">
        <f>SUM(R245)</f>
        <v>10056.86</v>
      </c>
      <c r="S244" s="476">
        <f t="shared" si="27"/>
        <v>0.8744335275193462</v>
      </c>
      <c r="T244" s="118">
        <f t="shared" si="28"/>
        <v>1444.1399999999994</v>
      </c>
      <c r="U244" s="477">
        <f t="shared" si="29"/>
        <v>0.1255664724806538</v>
      </c>
    </row>
    <row r="245" spans="1:21" s="101" customFormat="1" ht="27" customHeight="1">
      <c r="A245" s="487"/>
      <c r="B245" s="490">
        <v>92605</v>
      </c>
      <c r="C245" s="59"/>
      <c r="D245" s="16" t="s">
        <v>66</v>
      </c>
      <c r="E245" s="87">
        <f>SUM(E246,E254,E256)</f>
        <v>15290</v>
      </c>
      <c r="F245" s="87">
        <f>SUM(F246,F254,F256)</f>
        <v>-3789</v>
      </c>
      <c r="G245" s="87">
        <f t="shared" si="32"/>
        <v>11501</v>
      </c>
      <c r="H245" s="87"/>
      <c r="I245" s="87"/>
      <c r="J245" s="87"/>
      <c r="K245" s="87"/>
      <c r="L245" s="87"/>
      <c r="M245" s="87"/>
      <c r="N245" s="87"/>
      <c r="O245" s="87"/>
      <c r="P245" s="87"/>
      <c r="Q245" s="174"/>
      <c r="R245" s="87">
        <f>SUM(R246,R254,R256)</f>
        <v>10056.86</v>
      </c>
      <c r="S245" s="478">
        <f t="shared" si="27"/>
        <v>0.8744335275193462</v>
      </c>
      <c r="T245" s="87">
        <f t="shared" si="28"/>
        <v>1444.1399999999994</v>
      </c>
      <c r="U245" s="478">
        <f t="shared" si="29"/>
        <v>0.1255664724806538</v>
      </c>
    </row>
    <row r="246" spans="1:21" s="101" customFormat="1" ht="20.25" customHeight="1">
      <c r="A246" s="59"/>
      <c r="B246" s="76"/>
      <c r="C246" s="76" t="s">
        <v>601</v>
      </c>
      <c r="D246" s="16" t="s">
        <v>87</v>
      </c>
      <c r="E246" s="87">
        <f>SUM(E247,E248,E249,E250,E251,E252,E253)</f>
        <v>9590</v>
      </c>
      <c r="F246" s="87">
        <f>SUM(F247,F248,F249,F250,F251,F252,F253)</f>
        <v>-3570</v>
      </c>
      <c r="G246" s="87">
        <f t="shared" si="32"/>
        <v>6020</v>
      </c>
      <c r="H246" s="87"/>
      <c r="I246" s="87"/>
      <c r="J246" s="87"/>
      <c r="K246" s="87"/>
      <c r="L246" s="87"/>
      <c r="M246" s="87"/>
      <c r="N246" s="87"/>
      <c r="O246" s="87"/>
      <c r="P246" s="87"/>
      <c r="Q246" s="174"/>
      <c r="R246" s="87">
        <f>SUM(R247,R248,R249,R250,R251,R252,R253)</f>
        <v>5694.65</v>
      </c>
      <c r="S246" s="478">
        <f t="shared" si="27"/>
        <v>0.945955149501661</v>
      </c>
      <c r="T246" s="87">
        <f t="shared" si="28"/>
        <v>325.35000000000036</v>
      </c>
      <c r="U246" s="478">
        <f t="shared" si="29"/>
        <v>0.05404485049833893</v>
      </c>
    </row>
    <row r="247" spans="1:21" s="484" customFormat="1" ht="19.5" customHeight="1">
      <c r="A247" s="479"/>
      <c r="B247" s="479"/>
      <c r="C247" s="479"/>
      <c r="D247" s="480" t="s">
        <v>595</v>
      </c>
      <c r="E247" s="58">
        <v>1300</v>
      </c>
      <c r="F247" s="58">
        <f aca="true" t="shared" si="34" ref="F247:F253">SUM(H247:Q247)</f>
        <v>0</v>
      </c>
      <c r="G247" s="58">
        <f t="shared" si="32"/>
        <v>1300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170"/>
      <c r="R247" s="58">
        <v>1003.59</v>
      </c>
      <c r="S247" s="483">
        <f t="shared" si="27"/>
        <v>0.7719923076923078</v>
      </c>
      <c r="T247" s="58">
        <f t="shared" si="28"/>
        <v>296.40999999999997</v>
      </c>
      <c r="U247" s="483">
        <f t="shared" si="29"/>
        <v>0.22800769230769227</v>
      </c>
    </row>
    <row r="248" spans="1:21" s="484" customFormat="1" ht="19.5" customHeight="1">
      <c r="A248" s="479"/>
      <c r="B248" s="479"/>
      <c r="C248" s="479"/>
      <c r="D248" s="480" t="s">
        <v>585</v>
      </c>
      <c r="E248" s="58">
        <v>1000</v>
      </c>
      <c r="F248" s="58">
        <f t="shared" si="34"/>
        <v>-920</v>
      </c>
      <c r="G248" s="58">
        <f t="shared" si="32"/>
        <v>80</v>
      </c>
      <c r="H248" s="58"/>
      <c r="I248" s="58"/>
      <c r="J248" s="58"/>
      <c r="K248" s="58"/>
      <c r="L248" s="58"/>
      <c r="M248" s="481">
        <v>-920</v>
      </c>
      <c r="N248" s="58"/>
      <c r="O248" s="58"/>
      <c r="P248" s="58"/>
      <c r="Q248" s="170"/>
      <c r="R248" s="58">
        <v>79.82</v>
      </c>
      <c r="S248" s="483">
        <f t="shared" si="27"/>
        <v>0.9977499999999999</v>
      </c>
      <c r="T248" s="58">
        <f t="shared" si="28"/>
        <v>0.18000000000000682</v>
      </c>
      <c r="U248" s="483">
        <f t="shared" si="29"/>
        <v>0.0022500000000000853</v>
      </c>
    </row>
    <row r="249" spans="1:21" s="484" customFormat="1" ht="19.5" customHeight="1">
      <c r="A249" s="479"/>
      <c r="B249" s="479"/>
      <c r="C249" s="479"/>
      <c r="D249" s="480" t="s">
        <v>586</v>
      </c>
      <c r="E249" s="58">
        <v>170</v>
      </c>
      <c r="F249" s="58">
        <f t="shared" si="34"/>
        <v>0</v>
      </c>
      <c r="G249" s="58">
        <f t="shared" si="32"/>
        <v>170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170"/>
      <c r="R249" s="58">
        <v>169.99</v>
      </c>
      <c r="S249" s="483">
        <f t="shared" si="27"/>
        <v>0.9999411764705883</v>
      </c>
      <c r="T249" s="58">
        <f t="shared" si="28"/>
        <v>0.009999999999990905</v>
      </c>
      <c r="U249" s="483">
        <f t="shared" si="29"/>
        <v>5.882352941171121E-05</v>
      </c>
    </row>
    <row r="250" spans="1:21" s="484" customFormat="1" ht="19.5" customHeight="1">
      <c r="A250" s="479"/>
      <c r="B250" s="479"/>
      <c r="C250" s="479"/>
      <c r="D250" s="480" t="s">
        <v>596</v>
      </c>
      <c r="E250" s="58">
        <v>1000</v>
      </c>
      <c r="F250" s="58">
        <f t="shared" si="34"/>
        <v>-1000</v>
      </c>
      <c r="G250" s="58">
        <f t="shared" si="32"/>
        <v>0</v>
      </c>
      <c r="H250" s="58"/>
      <c r="I250" s="58"/>
      <c r="J250" s="58"/>
      <c r="K250" s="58"/>
      <c r="L250" s="58"/>
      <c r="M250" s="58"/>
      <c r="N250" s="508">
        <v>-1000</v>
      </c>
      <c r="O250" s="58"/>
      <c r="P250" s="58"/>
      <c r="Q250" s="170"/>
      <c r="R250" s="58">
        <v>0</v>
      </c>
      <c r="S250" s="483">
        <v>0</v>
      </c>
      <c r="T250" s="58">
        <f t="shared" si="28"/>
        <v>0</v>
      </c>
      <c r="U250" s="483"/>
    </row>
    <row r="251" spans="1:21" s="484" customFormat="1" ht="19.5" customHeight="1">
      <c r="A251" s="479"/>
      <c r="B251" s="479"/>
      <c r="C251" s="479"/>
      <c r="D251" s="480" t="s">
        <v>587</v>
      </c>
      <c r="E251" s="58">
        <v>1500</v>
      </c>
      <c r="F251" s="58">
        <f t="shared" si="34"/>
        <v>0</v>
      </c>
      <c r="G251" s="58">
        <f t="shared" si="32"/>
        <v>1500</v>
      </c>
      <c r="H251" s="58"/>
      <c r="I251" s="58"/>
      <c r="J251" s="58"/>
      <c r="K251" s="58"/>
      <c r="L251" s="58"/>
      <c r="M251" s="58"/>
      <c r="N251" s="508">
        <v>-1200</v>
      </c>
      <c r="O251" s="170">
        <v>1200</v>
      </c>
      <c r="P251" s="58"/>
      <c r="Q251" s="170"/>
      <c r="R251" s="58">
        <v>1498.59</v>
      </c>
      <c r="S251" s="483">
        <f t="shared" si="27"/>
        <v>0.99906</v>
      </c>
      <c r="T251" s="58">
        <f t="shared" si="28"/>
        <v>1.4100000000000819</v>
      </c>
      <c r="U251" s="483">
        <f t="shared" si="29"/>
        <v>0.0009400000000000546</v>
      </c>
    </row>
    <row r="252" spans="1:21" s="484" customFormat="1" ht="19.5" customHeight="1">
      <c r="A252" s="479"/>
      <c r="B252" s="479"/>
      <c r="C252" s="479"/>
      <c r="D252" s="480" t="s">
        <v>597</v>
      </c>
      <c r="E252" s="58">
        <v>3090</v>
      </c>
      <c r="F252" s="58">
        <f t="shared" si="34"/>
        <v>-1590</v>
      </c>
      <c r="G252" s="58">
        <f t="shared" si="32"/>
        <v>1500</v>
      </c>
      <c r="H252" s="58"/>
      <c r="I252" s="58"/>
      <c r="J252" s="58"/>
      <c r="K252" s="58"/>
      <c r="L252" s="58"/>
      <c r="M252" s="58"/>
      <c r="N252" s="508">
        <v>-1590</v>
      </c>
      <c r="O252" s="58"/>
      <c r="P252" s="58"/>
      <c r="Q252" s="170"/>
      <c r="R252" s="58">
        <v>1499.72</v>
      </c>
      <c r="S252" s="483">
        <f t="shared" si="27"/>
        <v>0.9998133333333333</v>
      </c>
      <c r="T252" s="58">
        <f t="shared" si="28"/>
        <v>0.2799999999999727</v>
      </c>
      <c r="U252" s="483">
        <f t="shared" si="29"/>
        <v>0.00018666666666664847</v>
      </c>
    </row>
    <row r="253" spans="1:21" s="484" customFormat="1" ht="19.5" customHeight="1">
      <c r="A253" s="479"/>
      <c r="B253" s="479"/>
      <c r="C253" s="479"/>
      <c r="D253" s="480" t="s">
        <v>603</v>
      </c>
      <c r="E253" s="58">
        <v>1530</v>
      </c>
      <c r="F253" s="58">
        <f t="shared" si="34"/>
        <v>-60</v>
      </c>
      <c r="G253" s="58">
        <f t="shared" si="32"/>
        <v>1470</v>
      </c>
      <c r="H253" s="58"/>
      <c r="I253" s="58"/>
      <c r="J253" s="58"/>
      <c r="K253" s="58"/>
      <c r="L253" s="58"/>
      <c r="M253" s="58"/>
      <c r="N253" s="508">
        <v>-60</v>
      </c>
      <c r="O253" s="58"/>
      <c r="P253" s="58"/>
      <c r="Q253" s="170"/>
      <c r="R253" s="58">
        <v>1442.94</v>
      </c>
      <c r="S253" s="483">
        <f t="shared" si="27"/>
        <v>0.981591836734694</v>
      </c>
      <c r="T253" s="58">
        <f t="shared" si="28"/>
        <v>27.059999999999945</v>
      </c>
      <c r="U253" s="483">
        <f t="shared" si="29"/>
        <v>0.018408163265306084</v>
      </c>
    </row>
    <row r="254" spans="1:21" s="101" customFormat="1" ht="21.75" customHeight="1">
      <c r="A254" s="76"/>
      <c r="B254" s="76"/>
      <c r="C254" s="76" t="s">
        <v>610</v>
      </c>
      <c r="D254" s="16" t="s">
        <v>89</v>
      </c>
      <c r="E254" s="87">
        <f>SUM(E255)</f>
        <v>1100</v>
      </c>
      <c r="F254" s="87">
        <f>SUM(F255)</f>
        <v>-32</v>
      </c>
      <c r="G254" s="87">
        <f t="shared" si="32"/>
        <v>1068</v>
      </c>
      <c r="H254" s="87"/>
      <c r="I254" s="87"/>
      <c r="J254" s="87"/>
      <c r="K254" s="87"/>
      <c r="L254" s="87"/>
      <c r="M254" s="87"/>
      <c r="N254" s="87"/>
      <c r="O254" s="87"/>
      <c r="P254" s="87"/>
      <c r="Q254" s="174"/>
      <c r="R254" s="87">
        <f>SUM(R255)</f>
        <v>412.2</v>
      </c>
      <c r="S254" s="478">
        <f t="shared" si="27"/>
        <v>0.38595505617977527</v>
      </c>
      <c r="T254" s="87">
        <f t="shared" si="28"/>
        <v>655.8</v>
      </c>
      <c r="U254" s="478">
        <f t="shared" si="29"/>
        <v>0.6140449438202247</v>
      </c>
    </row>
    <row r="255" spans="1:21" s="484" customFormat="1" ht="19.5" customHeight="1">
      <c r="A255" s="479"/>
      <c r="B255" s="479"/>
      <c r="C255" s="479"/>
      <c r="D255" s="480" t="s">
        <v>590</v>
      </c>
      <c r="E255" s="58">
        <v>1100</v>
      </c>
      <c r="F255" s="58">
        <f>SUM(H255:Q255)</f>
        <v>-32</v>
      </c>
      <c r="G255" s="58">
        <f t="shared" si="32"/>
        <v>1068</v>
      </c>
      <c r="H255" s="58"/>
      <c r="I255" s="58"/>
      <c r="J255" s="58"/>
      <c r="K255" s="58"/>
      <c r="L255" s="58"/>
      <c r="M255" s="58"/>
      <c r="N255" s="58"/>
      <c r="O255" s="508">
        <v>-32</v>
      </c>
      <c r="P255" s="58"/>
      <c r="Q255" s="170"/>
      <c r="R255" s="58">
        <v>412.2</v>
      </c>
      <c r="S255" s="483">
        <f t="shared" si="27"/>
        <v>0.38595505617977527</v>
      </c>
      <c r="T255" s="58">
        <f t="shared" si="28"/>
        <v>655.8</v>
      </c>
      <c r="U255" s="483">
        <f t="shared" si="29"/>
        <v>0.6140449438202247</v>
      </c>
    </row>
    <row r="256" spans="1:21" s="101" customFormat="1" ht="18" customHeight="1">
      <c r="A256" s="59"/>
      <c r="B256" s="76"/>
      <c r="C256" s="59">
        <v>4300</v>
      </c>
      <c r="D256" s="507" t="s">
        <v>76</v>
      </c>
      <c r="E256" s="87">
        <f>SUM(E257,E258,E259,E260,E261,E262)</f>
        <v>4600</v>
      </c>
      <c r="F256" s="87">
        <f>SUM(F257,F258,F259,F260,F261,F262)</f>
        <v>-187</v>
      </c>
      <c r="G256" s="87">
        <f t="shared" si="32"/>
        <v>4413</v>
      </c>
      <c r="H256" s="87"/>
      <c r="I256" s="87"/>
      <c r="J256" s="87"/>
      <c r="K256" s="87"/>
      <c r="L256" s="87"/>
      <c r="M256" s="87"/>
      <c r="N256" s="87"/>
      <c r="O256" s="87"/>
      <c r="P256" s="87"/>
      <c r="Q256" s="174"/>
      <c r="R256" s="87">
        <f>SUM(R257,R258,R259,R260,R261,R262)</f>
        <v>3950.01</v>
      </c>
      <c r="S256" s="478">
        <f t="shared" si="27"/>
        <v>0.8950849762066622</v>
      </c>
      <c r="T256" s="87">
        <f t="shared" si="28"/>
        <v>462.9899999999998</v>
      </c>
      <c r="U256" s="478">
        <f t="shared" si="29"/>
        <v>0.10491502379333782</v>
      </c>
    </row>
    <row r="257" spans="1:21" s="484" customFormat="1" ht="19.5" customHeight="1">
      <c r="A257" s="479"/>
      <c r="B257" s="479"/>
      <c r="C257" s="479"/>
      <c r="D257" s="480" t="s">
        <v>594</v>
      </c>
      <c r="E257" s="58">
        <v>600</v>
      </c>
      <c r="F257" s="58">
        <f aca="true" t="shared" si="35" ref="F257:F263">SUM(H257:Q257)</f>
        <v>0</v>
      </c>
      <c r="G257" s="58">
        <f t="shared" si="32"/>
        <v>600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170"/>
      <c r="R257" s="58">
        <v>600</v>
      </c>
      <c r="S257" s="483">
        <f t="shared" si="27"/>
        <v>1</v>
      </c>
      <c r="T257" s="58">
        <f t="shared" si="28"/>
        <v>0</v>
      </c>
      <c r="U257" s="483">
        <f t="shared" si="29"/>
        <v>0</v>
      </c>
    </row>
    <row r="258" spans="1:21" s="484" customFormat="1" ht="19.5" customHeight="1">
      <c r="A258" s="479"/>
      <c r="B258" s="479"/>
      <c r="C258" s="479"/>
      <c r="D258" s="480" t="s">
        <v>595</v>
      </c>
      <c r="E258" s="58">
        <v>1200</v>
      </c>
      <c r="F258" s="58">
        <f t="shared" si="35"/>
        <v>0</v>
      </c>
      <c r="G258" s="58">
        <f t="shared" si="32"/>
        <v>1200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170"/>
      <c r="R258" s="58">
        <v>920.01</v>
      </c>
      <c r="S258" s="483">
        <f t="shared" si="27"/>
        <v>0.766675</v>
      </c>
      <c r="T258" s="58">
        <f t="shared" si="28"/>
        <v>279.99</v>
      </c>
      <c r="U258" s="483">
        <f t="shared" si="29"/>
        <v>0.233325</v>
      </c>
    </row>
    <row r="259" spans="1:21" s="484" customFormat="1" ht="19.5" customHeight="1">
      <c r="A259" s="479"/>
      <c r="B259" s="479"/>
      <c r="C259" s="479"/>
      <c r="D259" s="480" t="s">
        <v>584</v>
      </c>
      <c r="E259" s="58">
        <v>300</v>
      </c>
      <c r="F259" s="58">
        <f t="shared" si="35"/>
        <v>-300</v>
      </c>
      <c r="G259" s="58">
        <f t="shared" si="32"/>
        <v>0</v>
      </c>
      <c r="H259" s="58"/>
      <c r="I259" s="58"/>
      <c r="J259" s="58"/>
      <c r="K259" s="58"/>
      <c r="L259" s="58"/>
      <c r="M259" s="58"/>
      <c r="N259" s="508">
        <v>-300</v>
      </c>
      <c r="O259" s="58"/>
      <c r="P259" s="58"/>
      <c r="Q259" s="170"/>
      <c r="R259" s="58">
        <v>0</v>
      </c>
      <c r="S259" s="483">
        <v>0</v>
      </c>
      <c r="T259" s="58">
        <f t="shared" si="28"/>
        <v>0</v>
      </c>
      <c r="U259" s="483"/>
    </row>
    <row r="260" spans="1:21" s="484" customFormat="1" ht="19.5" customHeight="1">
      <c r="A260" s="479"/>
      <c r="B260" s="479"/>
      <c r="C260" s="479"/>
      <c r="D260" s="480" t="s">
        <v>596</v>
      </c>
      <c r="E260" s="58">
        <v>600</v>
      </c>
      <c r="F260" s="58">
        <f t="shared" si="35"/>
        <v>0</v>
      </c>
      <c r="G260" s="58">
        <f t="shared" si="32"/>
        <v>600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170"/>
      <c r="R260" s="58">
        <v>417</v>
      </c>
      <c r="S260" s="483">
        <f t="shared" si="27"/>
        <v>0.695</v>
      </c>
      <c r="T260" s="58">
        <f t="shared" si="28"/>
        <v>183</v>
      </c>
      <c r="U260" s="483">
        <f t="shared" si="29"/>
        <v>0.305</v>
      </c>
    </row>
    <row r="261" spans="1:21" s="484" customFormat="1" ht="19.5" customHeight="1">
      <c r="A261" s="479"/>
      <c r="B261" s="479"/>
      <c r="C261" s="479"/>
      <c r="D261" s="480" t="s">
        <v>587</v>
      </c>
      <c r="E261" s="58">
        <v>1200</v>
      </c>
      <c r="F261" s="58">
        <f t="shared" si="35"/>
        <v>-1200</v>
      </c>
      <c r="G261" s="58">
        <f t="shared" si="32"/>
        <v>0</v>
      </c>
      <c r="H261" s="58"/>
      <c r="I261" s="58"/>
      <c r="J261" s="58"/>
      <c r="K261" s="58"/>
      <c r="L261" s="58"/>
      <c r="M261" s="58"/>
      <c r="N261" s="58"/>
      <c r="O261" s="508">
        <v>-1200</v>
      </c>
      <c r="P261" s="58"/>
      <c r="Q261" s="170"/>
      <c r="R261" s="58">
        <v>0</v>
      </c>
      <c r="S261" s="483">
        <v>0</v>
      </c>
      <c r="T261" s="58">
        <f t="shared" si="28"/>
        <v>0</v>
      </c>
      <c r="U261" s="483"/>
    </row>
    <row r="262" spans="1:21" s="484" customFormat="1" ht="19.5" customHeight="1">
      <c r="A262" s="479"/>
      <c r="B262" s="479"/>
      <c r="C262" s="479"/>
      <c r="D262" s="480" t="s">
        <v>597</v>
      </c>
      <c r="E262" s="58">
        <v>700</v>
      </c>
      <c r="F262" s="58">
        <f t="shared" si="35"/>
        <v>1313</v>
      </c>
      <c r="G262" s="58">
        <f t="shared" si="32"/>
        <v>2013</v>
      </c>
      <c r="H262" s="58"/>
      <c r="I262" s="58"/>
      <c r="J262" s="58"/>
      <c r="K262" s="58"/>
      <c r="L262" s="58"/>
      <c r="M262" s="58"/>
      <c r="N262" s="170">
        <v>1590</v>
      </c>
      <c r="O262" s="58"/>
      <c r="P262" s="508">
        <v>-277</v>
      </c>
      <c r="Q262" s="170"/>
      <c r="R262" s="58">
        <v>2013</v>
      </c>
      <c r="S262" s="483">
        <f t="shared" si="27"/>
        <v>1</v>
      </c>
      <c r="T262" s="58">
        <f t="shared" si="28"/>
        <v>0</v>
      </c>
      <c r="U262" s="483">
        <f t="shared" si="29"/>
        <v>0</v>
      </c>
    </row>
    <row r="263" spans="1:21" s="514" customFormat="1" ht="27" customHeight="1">
      <c r="A263" s="509"/>
      <c r="B263" s="509"/>
      <c r="C263" s="509"/>
      <c r="D263" s="510" t="s">
        <v>67</v>
      </c>
      <c r="E263" s="511">
        <f>SUM(E8,E40,E46,E51,E79,E90,E120,E124,E139,E180,E244)</f>
        <v>372000</v>
      </c>
      <c r="F263" s="511">
        <f t="shared" si="35"/>
        <v>-500</v>
      </c>
      <c r="G263" s="511">
        <f t="shared" si="32"/>
        <v>371500</v>
      </c>
      <c r="H263" s="512">
        <f>SUM(H8:H262)</f>
        <v>-500</v>
      </c>
      <c r="I263" s="512">
        <f>SUM(I8:I262)</f>
        <v>0</v>
      </c>
      <c r="J263" s="512">
        <f>SUM(I8:I262)</f>
        <v>0</v>
      </c>
      <c r="K263" s="512">
        <f aca="true" t="shared" si="36" ref="K263:P263">SUM(K8:K262)</f>
        <v>0</v>
      </c>
      <c r="L263" s="512">
        <f t="shared" si="36"/>
        <v>0</v>
      </c>
      <c r="M263" s="512">
        <f t="shared" si="36"/>
        <v>0</v>
      </c>
      <c r="N263" s="512">
        <f t="shared" si="36"/>
        <v>0</v>
      </c>
      <c r="O263" s="512">
        <f t="shared" si="36"/>
        <v>0</v>
      </c>
      <c r="P263" s="512">
        <f t="shared" si="36"/>
        <v>0</v>
      </c>
      <c r="Q263" s="512"/>
      <c r="R263" s="512">
        <f>SUM(R8,R40,R46,R51,R79,R90,R120,R124,R139,R180,R244)</f>
        <v>356430.07</v>
      </c>
      <c r="S263" s="513">
        <f>R263/G263</f>
        <v>0.9594349125168237</v>
      </c>
      <c r="T263" s="512">
        <f t="shared" si="28"/>
        <v>15069.929999999993</v>
      </c>
      <c r="U263" s="513">
        <f t="shared" si="29"/>
        <v>0.04056508748317629</v>
      </c>
    </row>
  </sheetData>
  <sheetProtection/>
  <mergeCells count="9">
    <mergeCell ref="G6:G7"/>
    <mergeCell ref="R6:S6"/>
    <mergeCell ref="T6:U6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H51"/>
    </sheetView>
  </sheetViews>
  <sheetFormatPr defaultColWidth="9.00390625" defaultRowHeight="12.75"/>
  <cols>
    <col min="1" max="1" width="5.375" style="9" customWidth="1"/>
    <col min="2" max="2" width="6.625" style="9" customWidth="1"/>
    <col min="3" max="3" width="5.00390625" style="9" customWidth="1"/>
    <col min="4" max="4" width="31.375" style="9" customWidth="1"/>
    <col min="5" max="5" width="12.875" style="0" customWidth="1"/>
    <col min="6" max="6" width="11.875" style="0" customWidth="1"/>
    <col min="7" max="7" width="12.625" style="0" customWidth="1"/>
    <col min="8" max="8" width="7.25390625" style="388" customWidth="1"/>
  </cols>
  <sheetData>
    <row r="1" spans="5:7" ht="12.75">
      <c r="E1" s="68"/>
      <c r="F1" s="68" t="s">
        <v>550</v>
      </c>
      <c r="G1" s="68"/>
    </row>
    <row r="2" spans="5:7" ht="12.75">
      <c r="E2" s="68"/>
      <c r="F2" s="68" t="s">
        <v>509</v>
      </c>
      <c r="G2" s="68"/>
    </row>
    <row r="3" spans="5:7" ht="12.75">
      <c r="E3" s="68"/>
      <c r="F3" s="68" t="s">
        <v>503</v>
      </c>
      <c r="G3" s="68"/>
    </row>
    <row r="4" spans="5:7" ht="12.75">
      <c r="E4" s="68"/>
      <c r="F4" s="68" t="s">
        <v>510</v>
      </c>
      <c r="G4" s="68"/>
    </row>
    <row r="5" spans="1:7" ht="37.5" customHeight="1">
      <c r="A5" s="446" t="s">
        <v>517</v>
      </c>
      <c r="B5" s="446"/>
      <c r="C5" s="446"/>
      <c r="D5" s="446"/>
      <c r="E5" s="446"/>
      <c r="F5" s="446"/>
      <c r="G5" s="446"/>
    </row>
    <row r="6" spans="1:7" ht="30" customHeight="1">
      <c r="A6" s="445" t="s">
        <v>516</v>
      </c>
      <c r="B6" s="445"/>
      <c r="C6" s="445"/>
      <c r="D6" s="445"/>
      <c r="E6" s="445"/>
      <c r="F6" s="445"/>
      <c r="G6" s="445"/>
    </row>
    <row r="7" spans="1:8" ht="20.25" customHeight="1">
      <c r="A7" s="441" t="s">
        <v>0</v>
      </c>
      <c r="B7" s="441" t="s">
        <v>1</v>
      </c>
      <c r="C7" s="441" t="s">
        <v>2</v>
      </c>
      <c r="D7" s="441" t="s">
        <v>3</v>
      </c>
      <c r="E7" s="433" t="s">
        <v>119</v>
      </c>
      <c r="F7" s="433" t="s">
        <v>320</v>
      </c>
      <c r="G7" s="433" t="s">
        <v>505</v>
      </c>
      <c r="H7" s="433"/>
    </row>
    <row r="8" spans="1:9" s="103" customFormat="1" ht="18" customHeight="1">
      <c r="A8" s="441"/>
      <c r="B8" s="441"/>
      <c r="C8" s="441"/>
      <c r="D8" s="441"/>
      <c r="E8" s="433"/>
      <c r="F8" s="433"/>
      <c r="G8" s="96" t="s">
        <v>506</v>
      </c>
      <c r="H8" s="389" t="s">
        <v>507</v>
      </c>
      <c r="I8" s="155"/>
    </row>
    <row r="9" spans="1:9" s="29" customFormat="1" ht="48">
      <c r="A9" s="361">
        <v>756</v>
      </c>
      <c r="B9" s="361"/>
      <c r="C9" s="361"/>
      <c r="D9" s="362" t="s">
        <v>27</v>
      </c>
      <c r="E9" s="363">
        <f aca="true" t="shared" si="0" ref="E9:G10">SUM(E10)</f>
        <v>330000</v>
      </c>
      <c r="F9" s="363">
        <f t="shared" si="0"/>
        <v>350714</v>
      </c>
      <c r="G9" s="363">
        <f t="shared" si="0"/>
        <v>351472.25</v>
      </c>
      <c r="H9" s="202">
        <f>G9/F9*100</f>
        <v>100.21620180545972</v>
      </c>
      <c r="I9" s="155"/>
    </row>
    <row r="10" spans="1:9" s="105" customFormat="1" ht="36">
      <c r="A10" s="65"/>
      <c r="B10" s="59">
        <v>75618</v>
      </c>
      <c r="C10" s="65"/>
      <c r="D10" s="51" t="s">
        <v>125</v>
      </c>
      <c r="E10" s="100">
        <f t="shared" si="0"/>
        <v>330000</v>
      </c>
      <c r="F10" s="100">
        <f>SUM(F11)</f>
        <v>350714</v>
      </c>
      <c r="G10" s="100">
        <f>SUM(G11)</f>
        <v>351472.25</v>
      </c>
      <c r="H10" s="390">
        <f>G10/F10*100</f>
        <v>100.21620180545972</v>
      </c>
      <c r="I10" s="155"/>
    </row>
    <row r="11" spans="1:9" s="105" customFormat="1" ht="23.25" customHeight="1">
      <c r="A11" s="65"/>
      <c r="B11" s="65"/>
      <c r="C11" s="106" t="s">
        <v>156</v>
      </c>
      <c r="D11" s="80" t="s">
        <v>192</v>
      </c>
      <c r="E11" s="100">
        <v>330000</v>
      </c>
      <c r="F11" s="100">
        <v>350714</v>
      </c>
      <c r="G11" s="100">
        <v>351472.25</v>
      </c>
      <c r="H11" s="390">
        <f>G11/F11*100</f>
        <v>100.21620180545972</v>
      </c>
      <c r="I11" s="157"/>
    </row>
    <row r="12" spans="1:9" s="1" customFormat="1" ht="21" customHeight="1">
      <c r="A12" s="49"/>
      <c r="B12" s="49"/>
      <c r="C12" s="49"/>
      <c r="D12" s="2" t="s">
        <v>67</v>
      </c>
      <c r="E12" s="36">
        <f>SUM(E9)</f>
        <v>330000</v>
      </c>
      <c r="F12" s="36">
        <f>SUM(F9)</f>
        <v>350714</v>
      </c>
      <c r="G12" s="36">
        <f>SUM(G9)</f>
        <v>351472.25</v>
      </c>
      <c r="H12" s="390">
        <f>G12/F12*100</f>
        <v>100.21620180545972</v>
      </c>
      <c r="I12" s="157"/>
    </row>
    <row r="13" spans="1:9" ht="26.25" customHeight="1">
      <c r="A13" s="447" t="s">
        <v>518</v>
      </c>
      <c r="B13" s="447"/>
      <c r="C13" s="447"/>
      <c r="D13" s="447"/>
      <c r="E13" s="447"/>
      <c r="F13" s="447"/>
      <c r="G13" s="447"/>
      <c r="H13" s="391"/>
      <c r="I13" s="157"/>
    </row>
    <row r="14" spans="1:9" ht="19.5" customHeight="1">
      <c r="A14" s="441" t="s">
        <v>0</v>
      </c>
      <c r="B14" s="441" t="s">
        <v>1</v>
      </c>
      <c r="C14" s="441" t="s">
        <v>2</v>
      </c>
      <c r="D14" s="441" t="s">
        <v>3</v>
      </c>
      <c r="E14" s="433" t="s">
        <v>119</v>
      </c>
      <c r="F14" s="433" t="s">
        <v>320</v>
      </c>
      <c r="G14" s="444" t="s">
        <v>505</v>
      </c>
      <c r="H14" s="444"/>
      <c r="I14" s="157"/>
    </row>
    <row r="15" spans="1:9" s="108" customFormat="1" ht="17.25" customHeight="1">
      <c r="A15" s="441"/>
      <c r="B15" s="441"/>
      <c r="C15" s="441"/>
      <c r="D15" s="441"/>
      <c r="E15" s="433"/>
      <c r="F15" s="433"/>
      <c r="G15" s="96" t="s">
        <v>506</v>
      </c>
      <c r="H15" s="389" t="s">
        <v>507</v>
      </c>
      <c r="I15" s="158"/>
    </row>
    <row r="16" spans="1:9" s="108" customFormat="1" ht="23.25" customHeight="1">
      <c r="A16" s="361">
        <v>758</v>
      </c>
      <c r="B16" s="361"/>
      <c r="C16" s="361"/>
      <c r="D16" s="364" t="s">
        <v>47</v>
      </c>
      <c r="E16" s="365">
        <f aca="true" t="shared" si="1" ref="E16:G17">SUM(E17)</f>
        <v>140000</v>
      </c>
      <c r="F16" s="365">
        <f t="shared" si="1"/>
        <v>0</v>
      </c>
      <c r="G16" s="365">
        <f t="shared" si="1"/>
        <v>0</v>
      </c>
      <c r="H16" s="202">
        <v>0</v>
      </c>
      <c r="I16" s="158"/>
    </row>
    <row r="17" spans="1:9" s="209" customFormat="1" ht="23.25" customHeight="1">
      <c r="A17" s="197"/>
      <c r="B17" s="197">
        <v>75818</v>
      </c>
      <c r="C17" s="197"/>
      <c r="D17" s="173" t="s">
        <v>93</v>
      </c>
      <c r="E17" s="208">
        <f t="shared" si="1"/>
        <v>140000</v>
      </c>
      <c r="F17" s="208">
        <f>SUM(F18)</f>
        <v>0</v>
      </c>
      <c r="G17" s="208">
        <f>SUM(G18)</f>
        <v>0</v>
      </c>
      <c r="H17" s="203">
        <v>0</v>
      </c>
      <c r="I17" s="210"/>
    </row>
    <row r="18" spans="1:9" s="209" customFormat="1" ht="23.25" customHeight="1">
      <c r="A18" s="197"/>
      <c r="B18" s="197"/>
      <c r="C18" s="197">
        <v>4810</v>
      </c>
      <c r="D18" s="230" t="s">
        <v>94</v>
      </c>
      <c r="E18" s="208">
        <v>140000</v>
      </c>
      <c r="F18" s="208">
        <v>0</v>
      </c>
      <c r="G18" s="208">
        <v>0</v>
      </c>
      <c r="H18" s="203">
        <v>0</v>
      </c>
      <c r="I18" s="210"/>
    </row>
    <row r="19" spans="1:9" s="110" customFormat="1" ht="23.25" customHeight="1">
      <c r="A19" s="2">
        <v>851</v>
      </c>
      <c r="B19" s="2"/>
      <c r="C19" s="2"/>
      <c r="D19" s="111" t="s">
        <v>188</v>
      </c>
      <c r="E19" s="112">
        <f>E22+E20</f>
        <v>86208</v>
      </c>
      <c r="F19" s="112">
        <f>F22+F20</f>
        <v>207658</v>
      </c>
      <c r="G19" s="112">
        <f>G22+G20</f>
        <v>160514.74</v>
      </c>
      <c r="H19" s="202">
        <f aca="true" t="shared" si="2" ref="H19:H51">G19/F19*100</f>
        <v>77.29764324032784</v>
      </c>
      <c r="I19" s="159"/>
    </row>
    <row r="20" spans="1:9" s="209" customFormat="1" ht="19.5" customHeight="1">
      <c r="A20" s="197"/>
      <c r="B20" s="197">
        <v>85153</v>
      </c>
      <c r="C20" s="197"/>
      <c r="D20" s="392" t="s">
        <v>189</v>
      </c>
      <c r="E20" s="393">
        <f>SUM(E21:E21)</f>
        <v>6360</v>
      </c>
      <c r="F20" s="393">
        <f>SUM(F21:F21)</f>
        <v>6360</v>
      </c>
      <c r="G20" s="393">
        <f>SUM(G21:G21)</f>
        <v>3600</v>
      </c>
      <c r="H20" s="203">
        <f t="shared" si="2"/>
        <v>56.60377358490566</v>
      </c>
      <c r="I20" s="394"/>
    </row>
    <row r="21" spans="1:9" s="209" customFormat="1" ht="19.5" customHeight="1">
      <c r="A21" s="197"/>
      <c r="B21" s="197"/>
      <c r="C21" s="171">
        <v>4300</v>
      </c>
      <c r="D21" s="230" t="s">
        <v>76</v>
      </c>
      <c r="E21" s="393">
        <f>5600+760</f>
        <v>6360</v>
      </c>
      <c r="F21" s="393">
        <v>6360</v>
      </c>
      <c r="G21" s="393">
        <v>3600</v>
      </c>
      <c r="H21" s="203">
        <f t="shared" si="2"/>
        <v>56.60377358490566</v>
      </c>
      <c r="I21" s="395"/>
    </row>
    <row r="22" spans="1:9" s="161" customFormat="1" ht="21.75" customHeight="1">
      <c r="A22" s="164"/>
      <c r="B22" s="164" t="s">
        <v>99</v>
      </c>
      <c r="C22" s="171"/>
      <c r="D22" s="173" t="s">
        <v>55</v>
      </c>
      <c r="E22" s="174">
        <f>SUM(E23:E31)</f>
        <v>79848</v>
      </c>
      <c r="F22" s="174">
        <f>SUM(F23:F31)</f>
        <v>201298</v>
      </c>
      <c r="G22" s="174">
        <f>SUM(G23:G31)</f>
        <v>156914.74</v>
      </c>
      <c r="H22" s="203">
        <f t="shared" si="2"/>
        <v>77.95146499220061</v>
      </c>
      <c r="I22" s="395"/>
    </row>
    <row r="23" spans="1:9" s="161" customFormat="1" ht="48">
      <c r="A23" s="164"/>
      <c r="B23" s="164"/>
      <c r="C23" s="171">
        <v>2710</v>
      </c>
      <c r="D23" s="173" t="s">
        <v>361</v>
      </c>
      <c r="E23" s="174">
        <v>0</v>
      </c>
      <c r="F23" s="174">
        <v>13425</v>
      </c>
      <c r="G23" s="174">
        <v>13425</v>
      </c>
      <c r="H23" s="203">
        <f t="shared" si="2"/>
        <v>100</v>
      </c>
      <c r="I23" s="395"/>
    </row>
    <row r="24" spans="1:9" s="161" customFormat="1" ht="36">
      <c r="A24" s="164"/>
      <c r="B24" s="164"/>
      <c r="C24" s="232">
        <v>2820</v>
      </c>
      <c r="D24" s="230" t="s">
        <v>255</v>
      </c>
      <c r="E24" s="174">
        <v>0</v>
      </c>
      <c r="F24" s="174">
        <v>8130</v>
      </c>
      <c r="G24" s="174">
        <v>6130</v>
      </c>
      <c r="H24" s="203">
        <f t="shared" si="2"/>
        <v>75.39975399753997</v>
      </c>
      <c r="I24" s="395"/>
    </row>
    <row r="25" spans="1:9" s="161" customFormat="1" ht="60">
      <c r="A25" s="164"/>
      <c r="B25" s="164"/>
      <c r="C25" s="232">
        <v>2830</v>
      </c>
      <c r="D25" s="230" t="s">
        <v>341</v>
      </c>
      <c r="E25" s="174">
        <v>0</v>
      </c>
      <c r="F25" s="174">
        <v>55880</v>
      </c>
      <c r="G25" s="174">
        <v>55880</v>
      </c>
      <c r="H25" s="203">
        <f t="shared" si="2"/>
        <v>100</v>
      </c>
      <c r="I25" s="395"/>
    </row>
    <row r="26" spans="1:9" s="161" customFormat="1" ht="20.25" customHeight="1">
      <c r="A26" s="164"/>
      <c r="B26" s="164"/>
      <c r="C26" s="171">
        <v>4110</v>
      </c>
      <c r="D26" s="230" t="s">
        <v>82</v>
      </c>
      <c r="E26" s="174">
        <v>1758</v>
      </c>
      <c r="F26" s="174">
        <v>2058</v>
      </c>
      <c r="G26" s="174">
        <v>1108.83</v>
      </c>
      <c r="H26" s="203">
        <f t="shared" si="2"/>
        <v>53.87900874635568</v>
      </c>
      <c r="I26" s="395"/>
    </row>
    <row r="27" spans="1:9" s="161" customFormat="1" ht="21.75" customHeight="1">
      <c r="A27" s="164"/>
      <c r="B27" s="171"/>
      <c r="C27" s="171">
        <v>4170</v>
      </c>
      <c r="D27" s="173" t="s">
        <v>168</v>
      </c>
      <c r="E27" s="203">
        <f>21000+16800</f>
        <v>37800</v>
      </c>
      <c r="F27" s="203">
        <v>49800</v>
      </c>
      <c r="G27" s="203">
        <v>37383.72</v>
      </c>
      <c r="H27" s="203">
        <f t="shared" si="2"/>
        <v>75.06771084337349</v>
      </c>
      <c r="I27" s="210"/>
    </row>
    <row r="28" spans="1:9" s="161" customFormat="1" ht="21.75" customHeight="1">
      <c r="A28" s="164"/>
      <c r="B28" s="171"/>
      <c r="C28" s="171">
        <v>4210</v>
      </c>
      <c r="D28" s="173" t="s">
        <v>87</v>
      </c>
      <c r="E28" s="203">
        <f>5000+3000</f>
        <v>8000</v>
      </c>
      <c r="F28" s="203">
        <v>17530</v>
      </c>
      <c r="G28" s="203">
        <v>16840.68</v>
      </c>
      <c r="H28" s="203">
        <f t="shared" si="2"/>
        <v>96.06776953793496</v>
      </c>
      <c r="I28" s="395"/>
    </row>
    <row r="29" spans="1:8" s="161" customFormat="1" ht="21.75" customHeight="1">
      <c r="A29" s="164"/>
      <c r="B29" s="171"/>
      <c r="C29" s="171">
        <v>4220</v>
      </c>
      <c r="D29" s="173" t="s">
        <v>157</v>
      </c>
      <c r="E29" s="203">
        <v>10000</v>
      </c>
      <c r="F29" s="203">
        <v>13655</v>
      </c>
      <c r="G29" s="203">
        <v>7762.49</v>
      </c>
      <c r="H29" s="203">
        <f t="shared" si="2"/>
        <v>56.84723544489197</v>
      </c>
    </row>
    <row r="30" spans="1:8" s="161" customFormat="1" ht="20.25" customHeight="1">
      <c r="A30" s="164"/>
      <c r="B30" s="171"/>
      <c r="C30" s="171">
        <v>4300</v>
      </c>
      <c r="D30" s="173" t="s">
        <v>76</v>
      </c>
      <c r="E30" s="203">
        <v>21090</v>
      </c>
      <c r="F30" s="203">
        <v>39620</v>
      </c>
      <c r="G30" s="203">
        <v>17925.14</v>
      </c>
      <c r="H30" s="203">
        <f t="shared" si="2"/>
        <v>45.24265522463402</v>
      </c>
    </row>
    <row r="31" spans="1:8" s="161" customFormat="1" ht="21" customHeight="1">
      <c r="A31" s="164"/>
      <c r="B31" s="171"/>
      <c r="C31" s="171">
        <v>4410</v>
      </c>
      <c r="D31" s="230" t="s">
        <v>86</v>
      </c>
      <c r="E31" s="203">
        <v>1200</v>
      </c>
      <c r="F31" s="203">
        <v>1200</v>
      </c>
      <c r="G31" s="203">
        <v>458.88</v>
      </c>
      <c r="H31" s="203">
        <f t="shared" si="2"/>
        <v>38.24</v>
      </c>
    </row>
    <row r="32" spans="1:8" s="9" customFormat="1" ht="21.75" customHeight="1">
      <c r="A32" s="37">
        <v>852</v>
      </c>
      <c r="B32" s="6"/>
      <c r="C32" s="6"/>
      <c r="D32" s="24" t="s">
        <v>165</v>
      </c>
      <c r="E32" s="21">
        <f>SUM(E33,)</f>
        <v>103792</v>
      </c>
      <c r="F32" s="21">
        <f>SUM(F33,)</f>
        <v>104806</v>
      </c>
      <c r="G32" s="21">
        <f>SUM(G33,)</f>
        <v>104731.68</v>
      </c>
      <c r="H32" s="202">
        <f t="shared" si="2"/>
        <v>99.9290880293113</v>
      </c>
    </row>
    <row r="33" spans="1:8" s="161" customFormat="1" ht="21.75" customHeight="1">
      <c r="A33" s="164"/>
      <c r="B33" s="164">
        <v>85219</v>
      </c>
      <c r="C33" s="171"/>
      <c r="D33" s="230" t="s">
        <v>58</v>
      </c>
      <c r="E33" s="174">
        <f>SUM(E34:E47)</f>
        <v>103792</v>
      </c>
      <c r="F33" s="174">
        <f>SUM(F34:F47)</f>
        <v>104806</v>
      </c>
      <c r="G33" s="174">
        <f>SUM(G34:G47)</f>
        <v>104731.68</v>
      </c>
      <c r="H33" s="203">
        <f t="shared" si="2"/>
        <v>99.9290880293113</v>
      </c>
    </row>
    <row r="34" spans="1:8" s="161" customFormat="1" ht="21.75" customHeight="1">
      <c r="A34" s="164"/>
      <c r="B34" s="164"/>
      <c r="C34" s="232">
        <v>4010</v>
      </c>
      <c r="D34" s="230" t="s">
        <v>80</v>
      </c>
      <c r="E34" s="203">
        <v>28577</v>
      </c>
      <c r="F34" s="203">
        <v>28577</v>
      </c>
      <c r="G34" s="203">
        <v>28577</v>
      </c>
      <c r="H34" s="203">
        <f t="shared" si="2"/>
        <v>100</v>
      </c>
    </row>
    <row r="35" spans="1:8" s="161" customFormat="1" ht="21.75" customHeight="1">
      <c r="A35" s="164"/>
      <c r="B35" s="164"/>
      <c r="C35" s="232">
        <v>4040</v>
      </c>
      <c r="D35" s="230" t="s">
        <v>81</v>
      </c>
      <c r="E35" s="203">
        <v>2774</v>
      </c>
      <c r="F35" s="203">
        <v>2729</v>
      </c>
      <c r="G35" s="203">
        <v>2728.78</v>
      </c>
      <c r="H35" s="203">
        <f t="shared" si="2"/>
        <v>99.99193843898865</v>
      </c>
    </row>
    <row r="36" spans="1:8" s="161" customFormat="1" ht="21.75" customHeight="1">
      <c r="A36" s="164"/>
      <c r="B36" s="164"/>
      <c r="C36" s="232">
        <v>4110</v>
      </c>
      <c r="D36" s="230" t="s">
        <v>82</v>
      </c>
      <c r="E36" s="203">
        <v>5234</v>
      </c>
      <c r="F36" s="203">
        <v>5234</v>
      </c>
      <c r="G36" s="203">
        <v>5234</v>
      </c>
      <c r="H36" s="203">
        <f t="shared" si="2"/>
        <v>100</v>
      </c>
    </row>
    <row r="37" spans="1:8" s="161" customFormat="1" ht="21.75" customHeight="1">
      <c r="A37" s="164"/>
      <c r="B37" s="164"/>
      <c r="C37" s="232">
        <v>4120</v>
      </c>
      <c r="D37" s="230" t="s">
        <v>83</v>
      </c>
      <c r="E37" s="203">
        <v>768</v>
      </c>
      <c r="F37" s="203">
        <v>768</v>
      </c>
      <c r="G37" s="203">
        <v>768</v>
      </c>
      <c r="H37" s="203">
        <f t="shared" si="2"/>
        <v>100</v>
      </c>
    </row>
    <row r="38" spans="1:8" s="161" customFormat="1" ht="21.75" customHeight="1">
      <c r="A38" s="164"/>
      <c r="B38" s="164"/>
      <c r="C38" s="232">
        <v>4170</v>
      </c>
      <c r="D38" s="230" t="s">
        <v>168</v>
      </c>
      <c r="E38" s="203">
        <v>13200</v>
      </c>
      <c r="F38" s="203">
        <v>1000</v>
      </c>
      <c r="G38" s="203">
        <v>1000</v>
      </c>
      <c r="H38" s="203">
        <f t="shared" si="2"/>
        <v>100</v>
      </c>
    </row>
    <row r="39" spans="1:9" s="161" customFormat="1" ht="21.75" customHeight="1">
      <c r="A39" s="164"/>
      <c r="B39" s="164"/>
      <c r="C39" s="232">
        <v>4210</v>
      </c>
      <c r="D39" s="173" t="s">
        <v>87</v>
      </c>
      <c r="E39" s="203">
        <f>3100-300</f>
        <v>2800</v>
      </c>
      <c r="F39" s="203">
        <v>4523</v>
      </c>
      <c r="G39" s="203">
        <v>4523</v>
      </c>
      <c r="H39" s="203">
        <f t="shared" si="2"/>
        <v>100</v>
      </c>
      <c r="I39" s="396"/>
    </row>
    <row r="40" spans="1:8" s="161" customFormat="1" ht="21.75" customHeight="1">
      <c r="A40" s="164"/>
      <c r="B40" s="164"/>
      <c r="C40" s="232">
        <v>4300</v>
      </c>
      <c r="D40" s="173" t="s">
        <v>76</v>
      </c>
      <c r="E40" s="203">
        <v>42600</v>
      </c>
      <c r="F40" s="203">
        <v>54800</v>
      </c>
      <c r="G40" s="203">
        <v>54799.6</v>
      </c>
      <c r="H40" s="203">
        <f t="shared" si="2"/>
        <v>99.9992700729927</v>
      </c>
    </row>
    <row r="41" spans="1:8" s="161" customFormat="1" ht="21.75" customHeight="1">
      <c r="A41" s="164"/>
      <c r="B41" s="164"/>
      <c r="C41" s="232">
        <v>4350</v>
      </c>
      <c r="D41" s="173" t="s">
        <v>179</v>
      </c>
      <c r="E41" s="203">
        <v>550</v>
      </c>
      <c r="F41" s="203">
        <v>550</v>
      </c>
      <c r="G41" s="203">
        <v>544.56</v>
      </c>
      <c r="H41" s="203">
        <f t="shared" si="2"/>
        <v>99.01090909090908</v>
      </c>
    </row>
    <row r="42" spans="1:9" s="161" customFormat="1" ht="33.75">
      <c r="A42" s="164"/>
      <c r="B42" s="164"/>
      <c r="C42" s="232">
        <v>4370</v>
      </c>
      <c r="D42" s="230" t="s">
        <v>194</v>
      </c>
      <c r="E42" s="203">
        <v>2500</v>
      </c>
      <c r="F42" s="203">
        <v>1943</v>
      </c>
      <c r="G42" s="203">
        <v>1875.51</v>
      </c>
      <c r="H42" s="203">
        <f t="shared" si="2"/>
        <v>96.5265054040144</v>
      </c>
      <c r="I42" s="396"/>
    </row>
    <row r="43" spans="1:8" s="161" customFormat="1" ht="33.75">
      <c r="A43" s="164"/>
      <c r="B43" s="164"/>
      <c r="C43" s="232">
        <v>4400</v>
      </c>
      <c r="D43" s="230" t="s">
        <v>233</v>
      </c>
      <c r="E43" s="203">
        <v>2104</v>
      </c>
      <c r="F43" s="203">
        <v>2104</v>
      </c>
      <c r="G43" s="203">
        <v>2103.19</v>
      </c>
      <c r="H43" s="203">
        <f t="shared" si="2"/>
        <v>99.96150190114069</v>
      </c>
    </row>
    <row r="44" spans="1:8" s="161" customFormat="1" ht="18.75" customHeight="1">
      <c r="A44" s="164"/>
      <c r="B44" s="164"/>
      <c r="C44" s="232">
        <v>4410</v>
      </c>
      <c r="D44" s="230" t="s">
        <v>86</v>
      </c>
      <c r="E44" s="203">
        <v>447</v>
      </c>
      <c r="F44" s="203">
        <v>298</v>
      </c>
      <c r="G44" s="203">
        <v>298</v>
      </c>
      <c r="H44" s="203">
        <f t="shared" si="2"/>
        <v>100</v>
      </c>
    </row>
    <row r="45" spans="1:8" s="161" customFormat="1" ht="22.5">
      <c r="A45" s="164"/>
      <c r="B45" s="164"/>
      <c r="C45" s="232">
        <v>4440</v>
      </c>
      <c r="D45" s="230" t="s">
        <v>84</v>
      </c>
      <c r="E45" s="203">
        <v>1138</v>
      </c>
      <c r="F45" s="203">
        <v>1000</v>
      </c>
      <c r="G45" s="203">
        <v>1000.04</v>
      </c>
      <c r="H45" s="203">
        <f t="shared" si="2"/>
        <v>100.004</v>
      </c>
    </row>
    <row r="46" spans="1:8" s="161" customFormat="1" ht="22.5">
      <c r="A46" s="164"/>
      <c r="B46" s="164"/>
      <c r="C46" s="232">
        <v>4610</v>
      </c>
      <c r="D46" s="230" t="s">
        <v>159</v>
      </c>
      <c r="E46" s="203">
        <v>800</v>
      </c>
      <c r="F46" s="203">
        <v>1280</v>
      </c>
      <c r="G46" s="203">
        <v>1280</v>
      </c>
      <c r="H46" s="203">
        <f t="shared" si="2"/>
        <v>100</v>
      </c>
    </row>
    <row r="47" spans="1:8" s="28" customFormat="1" ht="33.75" hidden="1">
      <c r="A47" s="76"/>
      <c r="B47" s="76"/>
      <c r="C47" s="88">
        <v>4740</v>
      </c>
      <c r="D47" s="43" t="s">
        <v>195</v>
      </c>
      <c r="E47" s="89">
        <v>300</v>
      </c>
      <c r="F47" s="89"/>
      <c r="G47" s="89"/>
      <c r="H47" s="202" t="e">
        <f t="shared" si="2"/>
        <v>#DIV/0!</v>
      </c>
    </row>
    <row r="48" spans="1:8" s="9" customFormat="1" ht="26.25" customHeight="1">
      <c r="A48" s="37" t="s">
        <v>101</v>
      </c>
      <c r="B48" s="6"/>
      <c r="C48" s="6"/>
      <c r="D48" s="24" t="s">
        <v>59</v>
      </c>
      <c r="E48" s="21">
        <f>SUM(E49)</f>
        <v>0</v>
      </c>
      <c r="F48" s="21">
        <f>SUM(F49)</f>
        <v>38250</v>
      </c>
      <c r="G48" s="21">
        <f>SUM(G49)</f>
        <v>38250</v>
      </c>
      <c r="H48" s="202">
        <f t="shared" si="2"/>
        <v>100</v>
      </c>
    </row>
    <row r="49" spans="1:8" s="161" customFormat="1" ht="22.5">
      <c r="A49" s="164"/>
      <c r="B49" s="164" t="s">
        <v>104</v>
      </c>
      <c r="C49" s="171"/>
      <c r="D49" s="173" t="s">
        <v>105</v>
      </c>
      <c r="E49" s="174">
        <f>SUM(E50:E50)</f>
        <v>0</v>
      </c>
      <c r="F49" s="174">
        <f>SUM(F50:F50)</f>
        <v>38250</v>
      </c>
      <c r="G49" s="174">
        <f>SUM(G50:G50)</f>
        <v>38250</v>
      </c>
      <c r="H49" s="203">
        <f t="shared" si="2"/>
        <v>100</v>
      </c>
    </row>
    <row r="50" spans="1:8" s="161" customFormat="1" ht="56.25">
      <c r="A50" s="164"/>
      <c r="B50" s="164"/>
      <c r="C50" s="232">
        <v>2830</v>
      </c>
      <c r="D50" s="230" t="s">
        <v>341</v>
      </c>
      <c r="E50" s="174">
        <v>0</v>
      </c>
      <c r="F50" s="174">
        <v>38250</v>
      </c>
      <c r="G50" s="174">
        <v>38250</v>
      </c>
      <c r="H50" s="203">
        <f t="shared" si="2"/>
        <v>100</v>
      </c>
    </row>
    <row r="51" spans="1:8" s="46" customFormat="1" ht="22.5" customHeight="1">
      <c r="A51" s="107"/>
      <c r="B51" s="107"/>
      <c r="C51" s="107"/>
      <c r="D51" s="7" t="s">
        <v>67</v>
      </c>
      <c r="E51" s="21">
        <f>E32+E19+E48+E16</f>
        <v>330000</v>
      </c>
      <c r="F51" s="21">
        <f>F32+F19+F48+F16</f>
        <v>350714</v>
      </c>
      <c r="G51" s="21">
        <f>G32+G19+G48+G16</f>
        <v>303496.42</v>
      </c>
      <c r="H51" s="202">
        <f t="shared" si="2"/>
        <v>86.53672793216124</v>
      </c>
    </row>
  </sheetData>
  <sheetProtection/>
  <mergeCells count="17">
    <mergeCell ref="A6:G6"/>
    <mergeCell ref="A5:G5"/>
    <mergeCell ref="A13:G13"/>
    <mergeCell ref="A14:A15"/>
    <mergeCell ref="B14:B15"/>
    <mergeCell ref="C14:C15"/>
    <mergeCell ref="G7:H7"/>
    <mergeCell ref="D14:D15"/>
    <mergeCell ref="E14:E15"/>
    <mergeCell ref="F14:F15"/>
    <mergeCell ref="G14:H14"/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2010-03-19T13:33:00Z</cp:lastPrinted>
  <dcterms:created xsi:type="dcterms:W3CDTF">2002-10-21T08:56:44Z</dcterms:created>
  <dcterms:modified xsi:type="dcterms:W3CDTF">2010-03-30T12:08:43Z</dcterms:modified>
  <cp:category/>
  <cp:version/>
  <cp:contentType/>
  <cp:contentStatus/>
</cp:coreProperties>
</file>