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340" windowHeight="6540" tabRatio="606" activeTab="0"/>
  </bookViews>
  <sheets>
    <sheet name="ZAŁ. NR 1" sheetId="1" r:id="rId1"/>
    <sheet name="ZAŁ. NR 2" sheetId="2" r:id="rId2"/>
    <sheet name="ZAŁ. NR 3" sheetId="3" r:id="rId3"/>
    <sheet name="ZAŁ. NR 4" sheetId="4" r:id="rId4"/>
    <sheet name="ZAŁ. NR 5" sheetId="5" r:id="rId5"/>
    <sheet name="ZAŁ. NR 6" sheetId="6" r:id="rId6"/>
    <sheet name="Arkusz1" sheetId="7" r:id="rId7"/>
    <sheet name="Arkusz2" sheetId="8" r:id="rId8"/>
  </sheets>
  <definedNames>
    <definedName name="_xlnm.Print_Area" localSheetId="5">'ZAŁ. NR 6'!$A:$IV</definedName>
    <definedName name="_xlnm.Print_Titles" localSheetId="0">'ZAŁ. NR 1'!$6:$6</definedName>
    <definedName name="_xlnm.Print_Titles" localSheetId="1">'ZAŁ. NR 2'!$6:$6</definedName>
    <definedName name="_xlnm.Print_Titles" localSheetId="2">'ZAŁ. NR 3'!$6:$6</definedName>
    <definedName name="_xlnm.Print_Titles" localSheetId="4">'ZAŁ. NR 5'!$6:$6</definedName>
    <definedName name="_xlnm.Print_Titles" localSheetId="5">'ZAŁ. NR 6'!$7:$7</definedName>
  </definedNames>
  <calcPr fullCalcOnLoad="1"/>
</workbook>
</file>

<file path=xl/comments2.xml><?xml version="1.0" encoding="utf-8"?>
<comments xmlns="http://schemas.openxmlformats.org/spreadsheetml/2006/main">
  <authors>
    <author>izawalniak</author>
  </authors>
  <commentList>
    <comment ref="F174" authorId="0">
      <text>
        <r>
          <rPr>
            <b/>
            <sz val="8"/>
            <rFont val="Tahoma"/>
            <family val="2"/>
          </rPr>
          <t>izawalniak:</t>
        </r>
        <r>
          <rPr>
            <sz val="8"/>
            <rFont val="Tahoma"/>
            <family val="2"/>
          </rPr>
          <t xml:space="preserve">
25.000 Policja
5.000 poromocja MDK
40000 promocja poprzez sport
248.684 ogólna
</t>
        </r>
      </text>
    </comment>
  </commentList>
</comments>
</file>

<file path=xl/sharedStrings.xml><?xml version="1.0" encoding="utf-8"?>
<sst xmlns="http://schemas.openxmlformats.org/spreadsheetml/2006/main" count="916" uniqueCount="342">
  <si>
    <t>dział</t>
  </si>
  <si>
    <t>rozdział</t>
  </si>
  <si>
    <t>§</t>
  </si>
  <si>
    <t>nazwa</t>
  </si>
  <si>
    <t>010</t>
  </si>
  <si>
    <t>Rolnictwo i łowiectwo</t>
  </si>
  <si>
    <t>pozostała działalność</t>
  </si>
  <si>
    <t>wpływy z innych lokalnych opłat pobieranych przez jednostki samorządu terytorialnego na podstawie odrębnych ustaw</t>
  </si>
  <si>
    <t>700</t>
  </si>
  <si>
    <t>Gospodarka mieszkaniowa</t>
  </si>
  <si>
    <t>70005</t>
  </si>
  <si>
    <t>pozostałe odsetki</t>
  </si>
  <si>
    <t>wpływy z różnych dochodów</t>
  </si>
  <si>
    <t>710</t>
  </si>
  <si>
    <t>cmentarze</t>
  </si>
  <si>
    <t>750</t>
  </si>
  <si>
    <t xml:space="preserve">Administracja publiczna </t>
  </si>
  <si>
    <t>urzędy wojewódzkie</t>
  </si>
  <si>
    <t>75023</t>
  </si>
  <si>
    <t>urzędy gmin (miast i miast na prawach powiatu)</t>
  </si>
  <si>
    <t xml:space="preserve">Urzędy naczelnych organów władzy państwowej, kontroli i ochrony prawa oraz sądownictwa </t>
  </si>
  <si>
    <t>urzędy naczelnych organów władzy państwowej, kontroli i ochrony prawa</t>
  </si>
  <si>
    <t>754</t>
  </si>
  <si>
    <t>Bezpieczeństwo publiczne i ochrona przeciwpożarowa</t>
  </si>
  <si>
    <t>75416</t>
  </si>
  <si>
    <t>straż miejska</t>
  </si>
  <si>
    <t xml:space="preserve">grzywny, mandaty i inne kary pieniężne od ludności </t>
  </si>
  <si>
    <t>756</t>
  </si>
  <si>
    <t>Dochody od osób prawnych, od osób fizycznych i od innych jednostek nie posiadających osobowości prawnej</t>
  </si>
  <si>
    <t xml:space="preserve">wpływy z podatku dochodowego od osób fizycznych </t>
  </si>
  <si>
    <t>podatek od działalności gospodarczej osób fizycznych, opłacany w formie karty podatkowej</t>
  </si>
  <si>
    <t>75615</t>
  </si>
  <si>
    <t>podatek od nieruchomości</t>
  </si>
  <si>
    <t>podatek rolny</t>
  </si>
  <si>
    <t>podatek leśny</t>
  </si>
  <si>
    <t>podatek od środków transportowych</t>
  </si>
  <si>
    <t>wpływy z opłaty eksploatacyjnej</t>
  </si>
  <si>
    <t>odsetki z tytułu nieterminowych wpłat z tytułu podatków i opłat</t>
  </si>
  <si>
    <t>wpływy z opłaty targowej</t>
  </si>
  <si>
    <t>podatek od czynności cywilnoprawnych</t>
  </si>
  <si>
    <t>75618</t>
  </si>
  <si>
    <t>wpływy z innych opłat stanowiących dochody jednostek samorządu terytorialnego na podstawie ustaw</t>
  </si>
  <si>
    <t>wpływy z opłaty skarbowej</t>
  </si>
  <si>
    <t>75621</t>
  </si>
  <si>
    <t>udziały gmin w podatkach stanowiących dochód budżetu państwa</t>
  </si>
  <si>
    <t>podatek dochodowy od osób fizycznych</t>
  </si>
  <si>
    <t>podatek dochodowy od osób prawnych</t>
  </si>
  <si>
    <t>758</t>
  </si>
  <si>
    <t>Różne rozliczenia</t>
  </si>
  <si>
    <t>75801</t>
  </si>
  <si>
    <t>część oświatowa subwencji ogólnej dla jednostek samorządu terytorialnego</t>
  </si>
  <si>
    <t>subwencje ogólne z budżetu państwa</t>
  </si>
  <si>
    <t>różne rozliczenia finansowe</t>
  </si>
  <si>
    <t>szkoły podstawowe</t>
  </si>
  <si>
    <t>gimnazja</t>
  </si>
  <si>
    <t>Ochrona zdrowia</t>
  </si>
  <si>
    <t>przeciwdziałanie alkoholizmowi</t>
  </si>
  <si>
    <t>dochody z najmu i dzierżawy składników majątkowych Skarbu Państwa, jednostek samorządu terytorialnego lub  innych jednostek zaliczanych do sektora finansów publicznych oraz innych umów o podobnym charakterze</t>
  </si>
  <si>
    <t xml:space="preserve">zasiłki i pomoc w naturze oraz składki na ubezpieczenia społeczne </t>
  </si>
  <si>
    <t>dodatki mieszkaniowe</t>
  </si>
  <si>
    <t>ośrodki pomocy społecznej</t>
  </si>
  <si>
    <t>Edukacyjna opieka wychowawcza</t>
  </si>
  <si>
    <t>świetlice szkolne</t>
  </si>
  <si>
    <t>Gospodarka komunalna i ochrona środowiska</t>
  </si>
  <si>
    <t>gospodarka ściekowa i ochrona wód</t>
  </si>
  <si>
    <t>921</t>
  </si>
  <si>
    <t>92116</t>
  </si>
  <si>
    <t>biblioteki</t>
  </si>
  <si>
    <t>Kultura fizyczna i sport</t>
  </si>
  <si>
    <t>zadania w zakresie kultury fizycznej i sportu</t>
  </si>
  <si>
    <t>razem</t>
  </si>
  <si>
    <t xml:space="preserve">Kultura i ochrona dziedzictwa narodowego </t>
  </si>
  <si>
    <t>01030</t>
  </si>
  <si>
    <t>izby rolnicze</t>
  </si>
  <si>
    <t>zakup materiałów i wyposażenia</t>
  </si>
  <si>
    <t>wydatki inwestycyjne jednostek budżetowych</t>
  </si>
  <si>
    <t>600</t>
  </si>
  <si>
    <t>Transport i łączność</t>
  </si>
  <si>
    <t>60016</t>
  </si>
  <si>
    <t>drogi publiczne gminne</t>
  </si>
  <si>
    <t>zakup usług remontowych</t>
  </si>
  <si>
    <t>zakup usług pozostałych</t>
  </si>
  <si>
    <t>Działalność usługowa</t>
  </si>
  <si>
    <t>71004</t>
  </si>
  <si>
    <t>plany zagospodarowania przestrzennego</t>
  </si>
  <si>
    <t>Administracja publiczna</t>
  </si>
  <si>
    <t>wynagrodzenia osobowe pracowników</t>
  </si>
  <si>
    <t>dodatkowe wynagrodzenie roczne</t>
  </si>
  <si>
    <t>składki na ubezpieczenia społeczne</t>
  </si>
  <si>
    <t>składki na Fundusz Pracy</t>
  </si>
  <si>
    <t>odpisy na zakładowy fundusz świadczeń socjalnych</t>
  </si>
  <si>
    <t>różne wydatki na rzecz osób fizycznych</t>
  </si>
  <si>
    <t>podróże służbowe krajowe</t>
  </si>
  <si>
    <t>75022</t>
  </si>
  <si>
    <t xml:space="preserve">zakup materiałów i wyposażenia </t>
  </si>
  <si>
    <t>podróże służbowe zagraniczne</t>
  </si>
  <si>
    <t>różne opłaty i składki</t>
  </si>
  <si>
    <t>zakup energii</t>
  </si>
  <si>
    <t>wydatki na zakupy inwestycyjne jednostek budżetowych</t>
  </si>
  <si>
    <t>wynagrodzenia agencyjno-prowizyjne</t>
  </si>
  <si>
    <t>Urzędy naczelnych organów władzy państwowej, kontroli i ochrony prawa oraz sądownictwa</t>
  </si>
  <si>
    <t>75412</t>
  </si>
  <si>
    <t>ochotnicze straże pożarne</t>
  </si>
  <si>
    <t>75495</t>
  </si>
  <si>
    <t>757</t>
  </si>
  <si>
    <t>Obsługa długu publicznego</t>
  </si>
  <si>
    <t>75702</t>
  </si>
  <si>
    <t>obsługa papierów wartościowych, kredytów i pożyczek jednostek samorządu terytorialnego</t>
  </si>
  <si>
    <t>75818</t>
  </si>
  <si>
    <t>rezerwy ogólne i celowe</t>
  </si>
  <si>
    <t xml:space="preserve">rezerwy </t>
  </si>
  <si>
    <t>801</t>
  </si>
  <si>
    <t>Oświata i wychowanie</t>
  </si>
  <si>
    <t>80101</t>
  </si>
  <si>
    <t>świadczenia społeczne</t>
  </si>
  <si>
    <t>80104</t>
  </si>
  <si>
    <t>odpisy na zakłdowy fundusz świadczeń socjalnych</t>
  </si>
  <si>
    <t xml:space="preserve">80110 </t>
  </si>
  <si>
    <t>80113</t>
  </si>
  <si>
    <t>dowożenie uczniów do szkół</t>
  </si>
  <si>
    <t>851</t>
  </si>
  <si>
    <t>85154</t>
  </si>
  <si>
    <t>składki na ubezpieczenia zdrowotne</t>
  </si>
  <si>
    <t>usługi opiekuńcze i specjalistyczne usługi opiekuńcze</t>
  </si>
  <si>
    <t>854</t>
  </si>
  <si>
    <t>zakup pomocy naukowych, dydaktycznych i książek</t>
  </si>
  <si>
    <t xml:space="preserve">przedszkola </t>
  </si>
  <si>
    <t xml:space="preserve">dotacja podmiotowa z budżetu dla zakładu budżetowego </t>
  </si>
  <si>
    <t>85412</t>
  </si>
  <si>
    <t>900</t>
  </si>
  <si>
    <t>90001</t>
  </si>
  <si>
    <t>90003</t>
  </si>
  <si>
    <t>oczyszczanie miast i wsi</t>
  </si>
  <si>
    <t>90004</t>
  </si>
  <si>
    <t>90013</t>
  </si>
  <si>
    <t>schroniska dla zwierząt</t>
  </si>
  <si>
    <t>90015</t>
  </si>
  <si>
    <t>oświetlenie ulic, placów i dróg</t>
  </si>
  <si>
    <t>90095</t>
  </si>
  <si>
    <t>Kultura i ochrona dziedzictwa narodowego</t>
  </si>
  <si>
    <t>92109</t>
  </si>
  <si>
    <t>92118</t>
  </si>
  <si>
    <t>muzea</t>
  </si>
  <si>
    <t>926</t>
  </si>
  <si>
    <t>plan</t>
  </si>
  <si>
    <t xml:space="preserve">plan </t>
  </si>
  <si>
    <t>wpływy z różnych opłat</t>
  </si>
  <si>
    <t xml:space="preserve">wpływy z innych opłat stanowiacych dochody jednostek samorządu terytorialnego na podstawie ustaw </t>
  </si>
  <si>
    <t>opłaty na rzecz budżetu państwa</t>
  </si>
  <si>
    <t>dokształcanie i doskonalenie nauczycieli</t>
  </si>
  <si>
    <t>gospodarka gruntami i nieruchomościami</t>
  </si>
  <si>
    <t>rady gmin (miast i miast na prawach powiatu)</t>
  </si>
  <si>
    <t>dotacje celowe przekazane dla powiatu na zadania bieżące realizowane na podstawie porozumień (umów) między jednostkami samorządu terytorialnego</t>
  </si>
  <si>
    <t>domy i ośrodki kultury, świetlice i kluby</t>
  </si>
  <si>
    <t>utrzymanie zieleni w miastach i gminach</t>
  </si>
  <si>
    <t>Dochody od osób prawnych, od osób fizycznych i od innych jednostek nieposiadających osobowości prawnej oraz wydatki związane z ich poborem</t>
  </si>
  <si>
    <t>852</t>
  </si>
  <si>
    <t>85214</t>
  </si>
  <si>
    <t>85219</t>
  </si>
  <si>
    <t>85295</t>
  </si>
  <si>
    <t>kolonie i obozy  oraz inne formy wypoczynku dzieci i młodzieży szkolnej, a także szkolenia młodzieży</t>
  </si>
  <si>
    <t>0490</t>
  </si>
  <si>
    <t>0470</t>
  </si>
  <si>
    <t>0750</t>
  </si>
  <si>
    <t>0920</t>
  </si>
  <si>
    <t>0970</t>
  </si>
  <si>
    <t>0570</t>
  </si>
  <si>
    <t>0350</t>
  </si>
  <si>
    <t>0910</t>
  </si>
  <si>
    <t>0310</t>
  </si>
  <si>
    <t>0320</t>
  </si>
  <si>
    <t>0330</t>
  </si>
  <si>
    <t>0340</t>
  </si>
  <si>
    <t>0430</t>
  </si>
  <si>
    <t>0460</t>
  </si>
  <si>
    <t>0500</t>
  </si>
  <si>
    <t>0410</t>
  </si>
  <si>
    <t>0010</t>
  </si>
  <si>
    <t>0020</t>
  </si>
  <si>
    <t>0740</t>
  </si>
  <si>
    <t>0480</t>
  </si>
  <si>
    <t>2010</t>
  </si>
  <si>
    <t>zakup środków żywności</t>
  </si>
  <si>
    <t>pobór podatków, opłat i niepodatkowych należności budżetowych</t>
  </si>
  <si>
    <t>koszty postępowania sądowego i prokuratorskiego</t>
  </si>
  <si>
    <t>0690</t>
  </si>
  <si>
    <t>część wyrównawcza subwencji ogólnej dla gmin</t>
  </si>
  <si>
    <t>75807</t>
  </si>
  <si>
    <t xml:space="preserve">Pomoc społeczna </t>
  </si>
  <si>
    <t>Pomoc społeczna</t>
  </si>
  <si>
    <t>dotacja podmiotowa z budżetu dla samorządowej instytucji kultury</t>
  </si>
  <si>
    <t xml:space="preserve"> wydatki osobowe niezaliczone do wynagrodzeń</t>
  </si>
  <si>
    <t xml:space="preserve">wynagrodzenia bezosobowe </t>
  </si>
  <si>
    <t xml:space="preserve">wpływy z podatku rolnego, podatku leśnego, podatku od czynności cywilnoprawnych, podatków i opłat lokalnych od osób prawnych i innych jednostek organizacyjnych </t>
  </si>
  <si>
    <t>wynagrodzenia bezosobowe</t>
  </si>
  <si>
    <t>0830</t>
  </si>
  <si>
    <t>wpływy z usług</t>
  </si>
  <si>
    <t>wynagrodzenie bezosobowe</t>
  </si>
  <si>
    <t>instytucje kultury fizycznej</t>
  </si>
  <si>
    <t>zakup usług zdrowotnych</t>
  </si>
  <si>
    <t>różne jednostki obsługi gospodarki mieszkaniowej</t>
  </si>
  <si>
    <t>odsetki od nieterminowych wpłat 
z tytułu podatków i opłat</t>
  </si>
  <si>
    <t xml:space="preserve">pozostała działalność </t>
  </si>
  <si>
    <t>oddziały przedszkolne w szkołach podstawowych</t>
  </si>
  <si>
    <t>promocja jednostek samorządu terytorialnego</t>
  </si>
  <si>
    <t xml:space="preserve">zasiłki i pomoc w naturze oraz składki na ubezpieczenia emerytalne i rentowe </t>
  </si>
  <si>
    <t>zakup usług dostępu do sieci Internet</t>
  </si>
  <si>
    <t>zakup usług dostepu do sieci Internet</t>
  </si>
  <si>
    <t xml:space="preserve"> </t>
  </si>
  <si>
    <t xml:space="preserve">                   </t>
  </si>
  <si>
    <t>wydatki osobowe niezaliczone do wynagrodzeń</t>
  </si>
  <si>
    <t>wpływy z opłat za zarząd, użytkowanie i użytkowanie wieczyste nieruchomości</t>
  </si>
  <si>
    <t>dotacje celowe otrzymane z budżetu państwa na realizację zadań bieżących z zakresu administracji rządowej oraz innych zadań zleconych gminie (związkom gmin) ustawami</t>
  </si>
  <si>
    <t>dotacje celowe otrzymane z budżetu państwa na realizację własnych zadań bieżących gmin (związków gmin)</t>
  </si>
  <si>
    <t>dotacje celowe otrzymane z powiatu na zadania bieżące realizowane na podstawie porozumień  między jednostkami samorządu terytorialnego</t>
  </si>
  <si>
    <t>75831</t>
  </si>
  <si>
    <t>część równoważąca subwencji ogólnej dla gmin</t>
  </si>
  <si>
    <t>dotacje celowe otrzymane z budżetu państwa na realizację zadań bieżących z zakresu administracji rządowej oraz innych zadań zleconych gminie (zwiazkom gmin) ustawami</t>
  </si>
  <si>
    <t>zakup usług medycznych</t>
  </si>
  <si>
    <t>składki na fundusz pracy</t>
  </si>
  <si>
    <t xml:space="preserve">      Ochrona zdrowia</t>
  </si>
  <si>
    <t>zasiłki i pomoc w naturze oraz składki na ubezpieczenia emerytalne i rentowe</t>
  </si>
  <si>
    <t>zwalczanie narkomanii</t>
  </si>
  <si>
    <t>wpływy z opłat za wydawanie zezwoleń na sprzedaż alkoholu</t>
  </si>
  <si>
    <t>0760</t>
  </si>
  <si>
    <t>opłaty z tytułu zakupu usług telekomunikacyjnych telefonii stacjonarnej</t>
  </si>
  <si>
    <t>zakup materiałów papierniczych do sprzętu drukarskiego i urządzeń kesrograficznych</t>
  </si>
  <si>
    <t>zakup akcesoriów komputerowych, w tym programów i licencji</t>
  </si>
  <si>
    <t>opłaty z tytułu zakupu usług telekomunikacyjnych telefonii komórkowej</t>
  </si>
  <si>
    <t xml:space="preserve">pomoc materialna dla uczniów </t>
  </si>
  <si>
    <t>stypendia dla uczniów</t>
  </si>
  <si>
    <t>dotacje celowe otrzymane z gminy na zadania bieżące realizowane na podstawie porozumień  (umów) między jednostkami samorządu terytorialnego</t>
  </si>
  <si>
    <t>Nazwa jednostki</t>
  </si>
  <si>
    <t>Zakres dotacji</t>
  </si>
  <si>
    <t>Gminne Przedszkola Publiczne</t>
  </si>
  <si>
    <t>prowadzenie przedszkoli</t>
  </si>
  <si>
    <t>dokształcanie i doskonalenie zawodowe nauczycieli</t>
  </si>
  <si>
    <t xml:space="preserve">Katolicka Szkoła Podstawowa im. św. Siostry Faustyny w Trzciance  </t>
  </si>
  <si>
    <t>Oddział Przedszkolny przy Katolickiej Szkole Podstawowej św. Siostry Faustyny w Trzciance</t>
  </si>
  <si>
    <t>Trzcianecki Dom Kultury</t>
  </si>
  <si>
    <t>działalność instytucji kultury</t>
  </si>
  <si>
    <t>Biblioteka Publiczna Miasta i Gminy im. Kazimiery Iłłakowiczówny</t>
  </si>
  <si>
    <t>Muzeum Ziemi Nadnoteckiej im. Wiktora Stachowiaka</t>
  </si>
  <si>
    <t xml:space="preserve">Starostwo Powiatowe </t>
  </si>
  <si>
    <t>Starostwo Powiatowe</t>
  </si>
  <si>
    <t>utrzymanie pracownika ZNP</t>
  </si>
  <si>
    <t>opłaty za administrowanie i czynsze za budynki, lokale i pomieszczenia garażowe</t>
  </si>
  <si>
    <t>01095</t>
  </si>
  <si>
    <t>0770</t>
  </si>
  <si>
    <t>wpływy z tytułu odpłatnego nabycia prawa własności oraz prawa użytkowania wieczystego nieruchomości</t>
  </si>
  <si>
    <t>wpływy z dywidend</t>
  </si>
  <si>
    <t>stołówki szkolne</t>
  </si>
  <si>
    <t>zakup leków, wyrobów medycznych i produktów biobójczych</t>
  </si>
  <si>
    <t>obiekty sportowe</t>
  </si>
  <si>
    <t>szkolenia pracowników niebędących członkami korpusu służby cywilnej</t>
  </si>
  <si>
    <t>wpływy z tytułu przekształcenia prawa użytkowania wieczystego przysługującego osobom fizycznym 
w prawo własności</t>
  </si>
  <si>
    <t>rekompensaty utraconych dochodów w podatkach
 i opłatach lokalnych</t>
  </si>
  <si>
    <t>rezerwa na inwestycje i zakupy inwestycyjne</t>
  </si>
  <si>
    <t>zakup akcesoriów komputerowych, w tym programów  i licencji</t>
  </si>
  <si>
    <t>dotacja podmiotowa z budżetu dla publicznej jednostki systemu oświaty prowadzonej przez osobe prawną inną niż jadnostka samorządu terytorialnego lub przez osobę fizyczną</t>
  </si>
  <si>
    <t>zakup usług obejmujących wykonanie ekspertyz, analiz i opinii</t>
  </si>
  <si>
    <t>prowadzenie gimnazjum</t>
  </si>
  <si>
    <t>0370</t>
  </si>
  <si>
    <t>opłata od posiadania psów</t>
  </si>
  <si>
    <t>Pozostałe zadania w zakresie polityki społecznej</t>
  </si>
  <si>
    <t xml:space="preserve">rehabilitacja zawodowa i społeczna </t>
  </si>
  <si>
    <t>ochrona zabytków i opieka nad zabytkami</t>
  </si>
  <si>
    <t>dotacje celowe z budżetu na finansowanie lub dofinansowanie prac remontowych lub konserwatorskich obiektów zabytkowych, przekazane jednostkom niezaliczonym do sektora finansów publicznych</t>
  </si>
  <si>
    <t>wydatki na zakup i objęcie akcji, wniesienie wkładów do spółek prawa handlowego oraz na uzupełnienie funduszy statutowych banków państwowych i innych instytucji finansowych</t>
  </si>
  <si>
    <t>stypendia różne</t>
  </si>
  <si>
    <t>dofinansowanie działalności Warsztatów Terapii Zajęciowej</t>
  </si>
  <si>
    <t xml:space="preserve">wpływy z podatku rolnego, podatku leśnego,podatku od spadków i darowizn, podatku od czynności cywilnoprawnych oraz podatków i opłat lokalnych od osób fizycznych </t>
  </si>
  <si>
    <t>zakup materiałów papierniczych do sprzętu drukarskiego i urządzeń kserograficznych</t>
  </si>
  <si>
    <t>składki na ubezpieczenie zdrowotne opłacane za osoby pobierające niektóre świadczenia z pomocy społecznej, niektóre świadczenia rodzinne oraz za osoby uczestniczące w zajęciach w centrum integracji społecznej</t>
  </si>
  <si>
    <t>dotacja celowa na pomoc finansową udzielaną między jednostkami samorządu terytorialnego na dofinansowanie własnych zadań bieżących</t>
  </si>
  <si>
    <t>świadczenia rodzinne, świadczenia z funduszu alimentacyjnego oraz składki na ubezpieczenia emerytalne i rentowe z ubezpieczenia społecznego</t>
  </si>
  <si>
    <t>I. Dotacje dla jednostek sektora finansów publicznych</t>
  </si>
  <si>
    <t>II. Dotacje dla jednostek spoza sektora finansów publicznych</t>
  </si>
  <si>
    <t>prowadzenie szkoły podstawowej</t>
  </si>
  <si>
    <t>prowadzenie oddziału przedszkolnego przy szkole podstawowej</t>
  </si>
  <si>
    <t>Rodzaj dotacji</t>
  </si>
  <si>
    <t>podmiotowa</t>
  </si>
  <si>
    <t>celowa</t>
  </si>
  <si>
    <t>zasiłki stałe</t>
  </si>
  <si>
    <t>01009</t>
  </si>
  <si>
    <t>Spółki wodne</t>
  </si>
  <si>
    <t>Rejonowy Związek Spółek Wodnych w Trzciance</t>
  </si>
  <si>
    <t>konserwacje i remonty rowów meliracyjnych będących własnością gminy Trzcianka</t>
  </si>
  <si>
    <t>Parafia Rzymskokatolicka  pw. Trójcy Świętej w Róży Wielkiej</t>
  </si>
  <si>
    <t>prace konserwatorskie i roboty budowlane przy kościele zabytkowym p.w. Matki Bożej Królowej Polski w Łomnicy</t>
  </si>
  <si>
    <t>01041</t>
  </si>
  <si>
    <t>działalność instytucji kultury - porozumienie</t>
  </si>
  <si>
    <t>Program Rozwoju Obszarów Wiejskich 2007 - 2013</t>
  </si>
  <si>
    <t>rózne opłaty i składki</t>
  </si>
  <si>
    <t>Podsumowanie I i II.</t>
  </si>
  <si>
    <t xml:space="preserve">Wydatki  budżetu gminy Trzcianka - plan na 2010 rok </t>
  </si>
  <si>
    <t>Dochody budżetu gminy Trzcianka - plan na 2010 rok</t>
  </si>
  <si>
    <t xml:space="preserve">Dotacje otrzymywane do budżetu - plan na 2010 rok                                    </t>
  </si>
  <si>
    <t>Wydatki związane z realizacją zadań z zakresu administracji rządowej i innych zadań zleconych ustawami - plan na 2010 rok</t>
  </si>
  <si>
    <t xml:space="preserve">Publiczne Gimnazjum Katolickie im. św. Siostry Faustyny w Trzciance  </t>
  </si>
  <si>
    <t>dotacja celowa z budżetu na finansowanie lub dofinansowanie zadań zleconych do realizacji pozostałym jednostkom niezaliczanym do sektora finansów publicznych</t>
  </si>
  <si>
    <t>utrzymanie hali sportowo-widowiskowej przy L.O. 
w Trzciance</t>
  </si>
  <si>
    <t>zmiana</t>
  </si>
  <si>
    <t>dotacja podmiotowa z budżetu dla publicznej jednostki systemu oświaty prowadzonej przez osobę prawną inną niż jadnostka samorządu terytorialnego lub przez osobę fizyczną</t>
  </si>
  <si>
    <t>dotacja podmiotowa z budżetu dla publicznej jednostki systemu oświaty prowadzonej przez osobę prawną inną niż jednostka samorządu terytorialnego lub przez osobę fizyczną</t>
  </si>
  <si>
    <t>odsetki od samorządowych papierów wartościowych lub zaciągniętych przez jednostkę samorządu terytorialnego kredytów i pożyczek</t>
  </si>
  <si>
    <t>plan po 
zmianach</t>
  </si>
  <si>
    <t>wpłaty gmin na rzecz izb rolniczych 
w wysokości 2% uzyskanych wpływów 
z podatku rolnego</t>
  </si>
  <si>
    <t>zmiany</t>
  </si>
  <si>
    <t>Załącznik Nr 1 do Zarządzenia Nr 10/10</t>
  </si>
  <si>
    <t>Burmistrza Trzcianki z dnia 4 lutego 2009 r. zmieniający</t>
  </si>
  <si>
    <t>Załącznik Nr 1 do Uchwały XXXVII/266/09</t>
  </si>
  <si>
    <t>Rady Miejskiej Trzcianki z dnia 17 grudnia 2009 r.</t>
  </si>
  <si>
    <t>Załącznik Nr 2 do Zarządzenia Nr 10/10</t>
  </si>
  <si>
    <t>Załącznik Nr 2 do Uchwały XXXVII/266/09</t>
  </si>
  <si>
    <t>Załącznik Nr 3 do Zarządzenia Nr 10/10</t>
  </si>
  <si>
    <t>Załącznik Nr 3 do Uchwały XXXVII/266/09</t>
  </si>
  <si>
    <t xml:space="preserve">Burmistrza Trzcianki z dnia 4 lutego 2010 r. </t>
  </si>
  <si>
    <t>Burmistrza Trzcianki z dnia 4 lutego 2010 r. zmieniający</t>
  </si>
  <si>
    <t>Caritas Parafii p.w. Ś. Jana Chrzciciela</t>
  </si>
  <si>
    <t>prowadzenie świetlic środowiskowych (program GKRPA)</t>
  </si>
  <si>
    <t>plan po zmianach</t>
  </si>
  <si>
    <t>Załącznik Nr 4 do Uchwały Nr XXXVII/266/09</t>
  </si>
  <si>
    <t xml:space="preserve">Rady Miejskie Trzcianki z dnia 17 grudnia 2010 r. </t>
  </si>
  <si>
    <t>Zestawienie planowanych kwot dotacji udzielanych z budżetu gminy - plan po zmianach na 2010 rok</t>
  </si>
  <si>
    <t xml:space="preserve">Dochody i wydatki na rok 2010 z tytułu opłat za wydawanie zezwoleń na sprzedaż napojów alkoholowych oraz wydatki na realizację zadań określonych w programie profilaktyki i rozwiązywania problemów alkoholowych - plan po zmianach </t>
  </si>
  <si>
    <t xml:space="preserve">Dochody z tytułu opłat za wydawanie zezwoleń na sprzedaż napojów alkoholowych </t>
  </si>
  <si>
    <t xml:space="preserve">Wydatki na realizację zadań określonych w programie profilaktyki i rozwiązywania problemów alkoholowych </t>
  </si>
  <si>
    <t>Załącznik Nr 9 do Uchwały Nr XXXVII/266/09</t>
  </si>
  <si>
    <t>Burmistrza Trzcianki z dnia 1 marca 2010 r. zmieniający</t>
  </si>
  <si>
    <t>Załącznik Nr 2 do Zarządzenia Nr 19/10</t>
  </si>
  <si>
    <t>Załącznik Nr 1 do Zarządzenia Nr 19/10</t>
  </si>
  <si>
    <t>Załącznik Nr 3 do Zarządzenia Nr 19/10</t>
  </si>
  <si>
    <t xml:space="preserve">plan przed zmianą </t>
  </si>
  <si>
    <t xml:space="preserve">plan przed zminaą </t>
  </si>
  <si>
    <t>Załącznik Nr 4 do Zarządzenia Nr 19/10</t>
  </si>
  <si>
    <t>Załącznik Nr 5 do Zarządzenia Nr 19/10</t>
  </si>
  <si>
    <t>Załącznik Nr 5 do Uchwały Nr XXXVII/266/09</t>
  </si>
  <si>
    <t>plan przed 
zmianą</t>
  </si>
  <si>
    <t>składki na ubezpieczenie zdrowotne opłacane za osoby pobierające niektóre świadczenia z pomocy społecznej, niektóre świadczenia rodzinne oraz za osoby uczestniczące w zajęciach 
w centrum integracji społecznej</t>
  </si>
  <si>
    <t>Załącznik Nr 6 do Zarządzenia Nr 19/10</t>
  </si>
  <si>
    <t>plan przed zmianą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</si>
</sst>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  <numFmt numFmtId="165" formatCode="#,##0.0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</numFmts>
  <fonts count="49">
    <font>
      <sz val="10"/>
      <name val="Arial CE"/>
      <family val="0"/>
    </font>
    <font>
      <b/>
      <sz val="11"/>
      <name val="Arial CE"/>
      <family val="2"/>
    </font>
    <font>
      <sz val="8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4"/>
      <name val="Arial CE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color indexed="10"/>
      <name val="Arial CE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rgb="FFFF0000"/>
      <name val="Arial CE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14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4" fontId="3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 indent="1"/>
    </xf>
    <xf numFmtId="0" fontId="3" fillId="0" borderId="13" xfId="0" applyFont="1" applyFill="1" applyBorder="1" applyAlignment="1" quotePrefix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left" vertical="center" wrapText="1" indent="1"/>
    </xf>
    <xf numFmtId="0" fontId="3" fillId="0" borderId="11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4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vertical="center"/>
    </xf>
    <xf numFmtId="0" fontId="4" fillId="33" borderId="10" xfId="0" applyFont="1" applyFill="1" applyBorder="1" applyAlignment="1">
      <alignment horizontal="center" vertical="center"/>
    </xf>
    <xf numFmtId="4" fontId="4" fillId="0" borderId="0" xfId="0" applyNumberFormat="1" applyFont="1" applyAlignment="1">
      <alignment vertical="center"/>
    </xf>
    <xf numFmtId="0" fontId="3" fillId="0" borderId="12" xfId="0" applyFont="1" applyFill="1" applyBorder="1" applyAlignment="1" quotePrefix="1">
      <alignment horizontal="center" vertical="center" wrapText="1"/>
    </xf>
    <xf numFmtId="0" fontId="3" fillId="0" borderId="12" xfId="0" applyFont="1" applyFill="1" applyBorder="1" applyAlignment="1">
      <alignment horizontal="left" vertical="center" wrapText="1" indent="1"/>
    </xf>
    <xf numFmtId="4" fontId="3" fillId="0" borderId="10" xfId="0" applyNumberFormat="1" applyFont="1" applyBorder="1" applyAlignment="1">
      <alignment vertical="center"/>
    </xf>
    <xf numFmtId="0" fontId="3" fillId="0" borderId="10" xfId="0" applyFont="1" applyFill="1" applyBorder="1" applyAlignment="1" quotePrefix="1">
      <alignment horizontal="center" vertical="center" wrapText="1"/>
    </xf>
    <xf numFmtId="0" fontId="3" fillId="0" borderId="11" xfId="0" applyFont="1" applyFill="1" applyBorder="1" applyAlignment="1" quotePrefix="1">
      <alignment horizontal="center" vertical="center" wrapText="1"/>
    </xf>
    <xf numFmtId="0" fontId="3" fillId="33" borderId="10" xfId="0" applyFont="1" applyFill="1" applyBorder="1" applyAlignment="1" quotePrefix="1">
      <alignment horizontal="center" vertical="center" wrapText="1"/>
    </xf>
    <xf numFmtId="0" fontId="3" fillId="33" borderId="12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left" vertical="center" wrapText="1" indent="1"/>
    </xf>
    <xf numFmtId="4" fontId="3" fillId="33" borderId="10" xfId="0" applyNumberFormat="1" applyFont="1" applyFill="1" applyBorder="1" applyAlignment="1">
      <alignment vertical="center"/>
    </xf>
    <xf numFmtId="0" fontId="2" fillId="33" borderId="10" xfId="0" applyFont="1" applyFill="1" applyBorder="1" applyAlignment="1">
      <alignment horizontal="left" vertical="center" wrapText="1" indent="1"/>
    </xf>
    <xf numFmtId="0" fontId="3" fillId="0" borderId="0" xfId="0" applyFont="1" applyAlignment="1">
      <alignment/>
    </xf>
    <xf numFmtId="4" fontId="3" fillId="0" borderId="10" xfId="0" applyNumberFormat="1" applyFont="1" applyBorder="1" applyAlignment="1">
      <alignment horizontal="right" vertical="center"/>
    </xf>
    <xf numFmtId="0" fontId="4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 indent="1"/>
    </xf>
    <xf numFmtId="0" fontId="2" fillId="0" borderId="10" xfId="0" applyFont="1" applyBorder="1" applyAlignment="1">
      <alignment horizontal="left" vertical="center" wrapText="1" inden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center" indent="1"/>
    </xf>
    <xf numFmtId="4" fontId="3" fillId="0" borderId="0" xfId="0" applyNumberFormat="1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2" fillId="0" borderId="0" xfId="0" applyNumberFormat="1" applyFont="1" applyFill="1" applyAlignment="1">
      <alignment vertical="center"/>
    </xf>
    <xf numFmtId="4" fontId="3" fillId="0" borderId="10" xfId="0" applyNumberFormat="1" applyFont="1" applyFill="1" applyBorder="1" applyAlignment="1">
      <alignment vertical="center"/>
    </xf>
    <xf numFmtId="4" fontId="3" fillId="33" borderId="10" xfId="0" applyNumberFormat="1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 quotePrefix="1">
      <alignment horizontal="center" vertical="center" wrapText="1"/>
    </xf>
    <xf numFmtId="164" fontId="3" fillId="33" borderId="10" xfId="0" applyNumberFormat="1" applyFont="1" applyFill="1" applyBorder="1" applyAlignment="1">
      <alignment horizontal="right" vertical="center" wrapText="1"/>
    </xf>
    <xf numFmtId="0" fontId="3" fillId="33" borderId="11" xfId="0" applyFont="1" applyFill="1" applyBorder="1" applyAlignment="1">
      <alignment horizontal="center" vertical="center"/>
    </xf>
    <xf numFmtId="4" fontId="3" fillId="33" borderId="10" xfId="0" applyNumberFormat="1" applyFont="1" applyFill="1" applyBorder="1" applyAlignment="1">
      <alignment horizontal="right" vertical="center"/>
    </xf>
    <xf numFmtId="0" fontId="2" fillId="33" borderId="12" xfId="0" applyFont="1" applyFill="1" applyBorder="1" applyAlignment="1">
      <alignment horizontal="left" vertical="center" wrapText="1" indent="1"/>
    </xf>
    <xf numFmtId="0" fontId="2" fillId="33" borderId="10" xfId="0" applyFont="1" applyFill="1" applyBorder="1" applyAlignment="1" quotePrefix="1">
      <alignment horizontal="center" vertical="center" wrapText="1"/>
    </xf>
    <xf numFmtId="0" fontId="2" fillId="33" borderId="11" xfId="0" applyFont="1" applyFill="1" applyBorder="1" applyAlignment="1">
      <alignment horizontal="center" vertical="center"/>
    </xf>
    <xf numFmtId="0" fontId="2" fillId="33" borderId="11" xfId="0" applyFont="1" applyFill="1" applyBorder="1" applyAlignment="1" quotePrefix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vertical="center"/>
    </xf>
    <xf numFmtId="0" fontId="2" fillId="0" borderId="12" xfId="0" applyFont="1" applyFill="1" applyBorder="1" applyAlignment="1" quotePrefix="1">
      <alignment horizontal="center" vertical="center" wrapText="1"/>
    </xf>
    <xf numFmtId="0" fontId="2" fillId="0" borderId="10" xfId="0" applyFont="1" applyFill="1" applyBorder="1" applyAlignment="1" quotePrefix="1">
      <alignment horizontal="center" vertical="center" wrapText="1"/>
    </xf>
    <xf numFmtId="0" fontId="2" fillId="0" borderId="11" xfId="0" applyFont="1" applyFill="1" applyBorder="1" applyAlignment="1" quotePrefix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quotePrefix="1">
      <alignment horizontal="center" vertical="center"/>
    </xf>
    <xf numFmtId="0" fontId="2" fillId="0" borderId="12" xfId="0" applyFont="1" applyFill="1" applyBorder="1" applyAlignment="1">
      <alignment horizontal="left" vertical="center" wrapText="1" indent="1"/>
    </xf>
    <xf numFmtId="0" fontId="2" fillId="0" borderId="12" xfId="0" applyFont="1" applyFill="1" applyBorder="1" applyAlignment="1">
      <alignment horizontal="center" vertical="center"/>
    </xf>
    <xf numFmtId="0" fontId="2" fillId="0" borderId="11" xfId="0" applyFont="1" applyFill="1" applyBorder="1" applyAlignment="1" quotePrefix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4" fontId="2" fillId="33" borderId="10" xfId="0" applyNumberFormat="1" applyFont="1" applyFill="1" applyBorder="1" applyAlignment="1">
      <alignment vertical="center"/>
    </xf>
    <xf numFmtId="0" fontId="2" fillId="33" borderId="12" xfId="0" applyFont="1" applyFill="1" applyBorder="1" applyAlignment="1" quotePrefix="1">
      <alignment horizontal="center" vertical="center" wrapText="1"/>
    </xf>
    <xf numFmtId="0" fontId="2" fillId="33" borderId="10" xfId="0" applyFont="1" applyFill="1" applyBorder="1" applyAlignment="1" quotePrefix="1">
      <alignment horizontal="center" vertical="center"/>
    </xf>
    <xf numFmtId="0" fontId="2" fillId="33" borderId="12" xfId="0" applyFont="1" applyFill="1" applyBorder="1" applyAlignment="1" quotePrefix="1">
      <alignment horizontal="center" vertical="center"/>
    </xf>
    <xf numFmtId="4" fontId="2" fillId="0" borderId="10" xfId="0" applyNumberFormat="1" applyFont="1" applyFill="1" applyBorder="1" applyAlignment="1">
      <alignment horizontal="right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6" fillId="33" borderId="10" xfId="0" applyFont="1" applyFill="1" applyBorder="1" applyAlignment="1" quotePrefix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indent="1"/>
    </xf>
    <xf numFmtId="164" fontId="2" fillId="33" borderId="10" xfId="0" applyNumberFormat="1" applyFont="1" applyFill="1" applyBorder="1" applyAlignment="1">
      <alignment horizontal="right" vertical="center" wrapText="1"/>
    </xf>
    <xf numFmtId="4" fontId="2" fillId="0" borderId="10" xfId="0" applyNumberFormat="1" applyFont="1" applyBorder="1" applyAlignment="1">
      <alignment horizontal="right" vertical="center"/>
    </xf>
    <xf numFmtId="164" fontId="2" fillId="33" borderId="10" xfId="0" applyNumberFormat="1" applyFont="1" applyFill="1" applyBorder="1" applyAlignment="1">
      <alignment horizontal="right" vertical="center"/>
    </xf>
    <xf numFmtId="4" fontId="2" fillId="33" borderId="10" xfId="0" applyNumberFormat="1" applyFont="1" applyFill="1" applyBorder="1" applyAlignment="1">
      <alignment horizontal="right" vertical="center"/>
    </xf>
    <xf numFmtId="0" fontId="3" fillId="33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 quotePrefix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164" fontId="3" fillId="33" borderId="10" xfId="0" applyNumberFormat="1" applyFont="1" applyFill="1" applyBorder="1" applyAlignment="1">
      <alignment horizontal="right" vertical="center"/>
    </xf>
    <xf numFmtId="0" fontId="3" fillId="0" borderId="12" xfId="0" applyFont="1" applyFill="1" applyBorder="1" applyAlignment="1" quotePrefix="1">
      <alignment horizontal="center" vertical="center"/>
    </xf>
    <xf numFmtId="164" fontId="4" fillId="0" borderId="0" xfId="0" applyNumberFormat="1" applyFont="1" applyAlignment="1">
      <alignment/>
    </xf>
    <xf numFmtId="4" fontId="4" fillId="0" borderId="0" xfId="0" applyNumberFormat="1" applyFont="1" applyAlignment="1">
      <alignment horizontal="left"/>
    </xf>
    <xf numFmtId="4" fontId="4" fillId="0" borderId="0" xfId="0" applyNumberFormat="1" applyFont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164" fontId="3" fillId="33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Border="1" applyAlignment="1">
      <alignment vertical="center"/>
    </xf>
    <xf numFmtId="0" fontId="4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6" fillId="0" borderId="13" xfId="0" applyFont="1" applyFill="1" applyBorder="1" applyAlignment="1" quotePrefix="1">
      <alignment horizontal="center" vertical="center" wrapText="1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3" fillId="0" borderId="0" xfId="0" applyFont="1" applyAlignment="1">
      <alignment vertical="center"/>
    </xf>
    <xf numFmtId="4" fontId="3" fillId="0" borderId="0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 quotePrefix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/>
    </xf>
    <xf numFmtId="4" fontId="3" fillId="0" borderId="0" xfId="0" applyNumberFormat="1" applyFont="1" applyFill="1" applyAlignment="1">
      <alignment vertical="center"/>
    </xf>
    <xf numFmtId="4" fontId="2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left" vertical="center"/>
    </xf>
    <xf numFmtId="4" fontId="3" fillId="0" borderId="10" xfId="0" applyNumberFormat="1" applyFont="1" applyBorder="1" applyAlignment="1">
      <alignment vertical="center" wrapText="1"/>
    </xf>
    <xf numFmtId="4" fontId="3" fillId="0" borderId="10" xfId="0" applyNumberFormat="1" applyFont="1" applyBorder="1" applyAlignment="1">
      <alignment horizontal="right" vertical="center" wrapText="1"/>
    </xf>
    <xf numFmtId="0" fontId="2" fillId="33" borderId="11" xfId="0" applyFont="1" applyFill="1" applyBorder="1" applyAlignment="1" quotePrefix="1">
      <alignment horizontal="center" vertical="center"/>
    </xf>
    <xf numFmtId="0" fontId="5" fillId="33" borderId="10" xfId="0" applyFont="1" applyFill="1" applyBorder="1" applyAlignment="1" quotePrefix="1">
      <alignment horizontal="center" vertical="center" wrapText="1"/>
    </xf>
    <xf numFmtId="0" fontId="5" fillId="33" borderId="12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left" vertical="center" wrapText="1" indent="1"/>
    </xf>
    <xf numFmtId="164" fontId="5" fillId="33" borderId="10" xfId="0" applyNumberFormat="1" applyFont="1" applyFill="1" applyBorder="1" applyAlignment="1">
      <alignment horizontal="right" vertical="center"/>
    </xf>
    <xf numFmtId="4" fontId="4" fillId="0" borderId="10" xfId="0" applyNumberFormat="1" applyFont="1" applyFill="1" applyBorder="1" applyAlignment="1">
      <alignment horizontal="right" vertical="center"/>
    </xf>
    <xf numFmtId="4" fontId="3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 quotePrefix="1">
      <alignment horizontal="center" vertical="center"/>
    </xf>
    <xf numFmtId="0" fontId="4" fillId="0" borderId="0" xfId="0" applyFont="1" applyAlignment="1">
      <alignment/>
    </xf>
    <xf numFmtId="0" fontId="3" fillId="0" borderId="12" xfId="0" applyFont="1" applyFill="1" applyBorder="1" applyAlignment="1">
      <alignment horizontal="left" vertical="center" indent="1"/>
    </xf>
    <xf numFmtId="0" fontId="2" fillId="0" borderId="12" xfId="0" applyFont="1" applyFill="1" applyBorder="1" applyAlignment="1">
      <alignment horizontal="left" vertical="center" indent="1"/>
    </xf>
    <xf numFmtId="164" fontId="7" fillId="0" borderId="0" xfId="0" applyNumberFormat="1" applyFont="1" applyFill="1" applyAlignment="1">
      <alignment horizontal="left" vertical="center"/>
    </xf>
    <xf numFmtId="0" fontId="2" fillId="0" borderId="0" xfId="0" applyFont="1" applyBorder="1" applyAlignment="1">
      <alignment/>
    </xf>
    <xf numFmtId="4" fontId="2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2" xfId="0" applyFont="1" applyFill="1" applyBorder="1" applyAlignment="1" quotePrefix="1">
      <alignment horizontal="center" vertical="center" wrapText="1"/>
    </xf>
    <xf numFmtId="0" fontId="2" fillId="0" borderId="10" xfId="0" applyFont="1" applyFill="1" applyBorder="1" applyAlignment="1" quotePrefix="1">
      <alignment horizontal="center" vertical="center" wrapText="1"/>
    </xf>
    <xf numFmtId="0" fontId="2" fillId="0" borderId="11" xfId="0" applyFont="1" applyFill="1" applyBorder="1" applyAlignment="1" quotePrefix="1">
      <alignment horizontal="center" vertical="center" wrapText="1"/>
    </xf>
    <xf numFmtId="0" fontId="2" fillId="0" borderId="0" xfId="0" applyFont="1" applyBorder="1" applyAlignment="1">
      <alignment/>
    </xf>
    <xf numFmtId="0" fontId="6" fillId="0" borderId="12" xfId="0" applyFont="1" applyFill="1" applyBorder="1" applyAlignment="1" quotePrefix="1">
      <alignment horizontal="center" vertical="center" wrapText="1"/>
    </xf>
    <xf numFmtId="0" fontId="6" fillId="0" borderId="10" xfId="0" applyFont="1" applyFill="1" applyBorder="1" applyAlignment="1" quotePrefix="1">
      <alignment horizontal="center" vertical="center" wrapText="1"/>
    </xf>
    <xf numFmtId="0" fontId="6" fillId="33" borderId="10" xfId="0" applyFont="1" applyFill="1" applyBorder="1" applyAlignment="1" quotePrefix="1">
      <alignment horizontal="center" vertical="center" wrapText="1"/>
    </xf>
    <xf numFmtId="0" fontId="6" fillId="33" borderId="12" xfId="0" applyFont="1" applyFill="1" applyBorder="1" applyAlignment="1" quotePrefix="1">
      <alignment horizontal="center" vertical="center" wrapText="1"/>
    </xf>
    <xf numFmtId="0" fontId="6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left" vertical="center" wrapText="1" indent="1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Fill="1" applyBorder="1" applyAlignment="1">
      <alignment horizontal="left" vertical="center"/>
    </xf>
    <xf numFmtId="0" fontId="4" fillId="33" borderId="11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vertical="center"/>
    </xf>
    <xf numFmtId="4" fontId="2" fillId="0" borderId="10" xfId="0" applyNumberFormat="1" applyFont="1" applyBorder="1" applyAlignment="1">
      <alignment horizontal="right" vertical="center" wrapText="1"/>
    </xf>
    <xf numFmtId="0" fontId="6" fillId="0" borderId="10" xfId="0" applyFont="1" applyBorder="1" applyAlignment="1">
      <alignment horizontal="center" vertical="center"/>
    </xf>
    <xf numFmtId="4" fontId="2" fillId="0" borderId="10" xfId="0" applyNumberFormat="1" applyFont="1" applyBorder="1" applyAlignment="1">
      <alignment vertical="center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2" fillId="33" borderId="10" xfId="0" applyFont="1" applyFill="1" applyBorder="1" applyAlignment="1" quotePrefix="1">
      <alignment horizontal="center" vertical="center" wrapText="1"/>
    </xf>
    <xf numFmtId="0" fontId="2" fillId="33" borderId="12" xfId="0" applyFont="1" applyFill="1" applyBorder="1" applyAlignment="1" quotePrefix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 indent="1"/>
    </xf>
    <xf numFmtId="0" fontId="2" fillId="33" borderId="12" xfId="0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right" vertical="center"/>
    </xf>
    <xf numFmtId="0" fontId="5" fillId="0" borderId="0" xfId="0" applyFont="1" applyAlignment="1">
      <alignment/>
    </xf>
    <xf numFmtId="0" fontId="4" fillId="33" borderId="11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 quotePrefix="1">
      <alignment horizontal="center" vertical="center"/>
    </xf>
    <xf numFmtId="0" fontId="3" fillId="0" borderId="10" xfId="0" applyFont="1" applyFill="1" applyBorder="1" applyAlignment="1">
      <alignment horizontal="left" vertical="center"/>
    </xf>
    <xf numFmtId="4" fontId="3" fillId="0" borderId="10" xfId="0" applyNumberFormat="1" applyFont="1" applyFill="1" applyBorder="1" applyAlignment="1">
      <alignment horizontal="right" vertical="center"/>
    </xf>
    <xf numFmtId="4" fontId="6" fillId="33" borderId="10" xfId="0" applyNumberFormat="1" applyFont="1" applyFill="1" applyBorder="1" applyAlignment="1">
      <alignment vertical="center"/>
    </xf>
    <xf numFmtId="4" fontId="4" fillId="0" borderId="0" xfId="0" applyNumberFormat="1" applyFont="1" applyFill="1" applyAlignment="1">
      <alignment vertical="center"/>
    </xf>
    <xf numFmtId="0" fontId="4" fillId="0" borderId="10" xfId="0" applyFont="1" applyFill="1" applyBorder="1" applyAlignment="1" quotePrefix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4" fontId="4" fillId="0" borderId="10" xfId="0" applyNumberFormat="1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/>
    </xf>
    <xf numFmtId="4" fontId="4" fillId="0" borderId="11" xfId="0" applyNumberFormat="1" applyFont="1" applyFill="1" applyBorder="1" applyAlignment="1" quotePrefix="1">
      <alignment horizontal="right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/>
    </xf>
    <xf numFmtId="4" fontId="4" fillId="0" borderId="10" xfId="0" applyNumberFormat="1" applyFont="1" applyBorder="1" applyAlignment="1">
      <alignment horizontal="right" vertical="center"/>
    </xf>
    <xf numFmtId="4" fontId="3" fillId="0" borderId="10" xfId="0" applyNumberFormat="1" applyFont="1" applyBorder="1" applyAlignment="1">
      <alignment vertical="center"/>
    </xf>
    <xf numFmtId="4" fontId="5" fillId="0" borderId="10" xfId="0" applyNumberFormat="1" applyFont="1" applyBorder="1" applyAlignment="1">
      <alignment/>
    </xf>
    <xf numFmtId="0" fontId="48" fillId="33" borderId="10" xfId="0" applyFont="1" applyFill="1" applyBorder="1" applyAlignment="1" quotePrefix="1">
      <alignment horizontal="center" vertical="center" wrapText="1"/>
    </xf>
    <xf numFmtId="0" fontId="48" fillId="33" borderId="12" xfId="0" applyFont="1" applyFill="1" applyBorder="1" applyAlignment="1">
      <alignment horizontal="center" vertical="center"/>
    </xf>
    <xf numFmtId="0" fontId="48" fillId="0" borderId="0" xfId="0" applyFont="1" applyAlignment="1">
      <alignment/>
    </xf>
    <xf numFmtId="0" fontId="3" fillId="0" borderId="10" xfId="0" applyFont="1" applyBorder="1" applyAlignment="1">
      <alignment vertical="center"/>
    </xf>
    <xf numFmtId="4" fontId="2" fillId="0" borderId="0" xfId="0" applyNumberFormat="1" applyFont="1" applyAlignment="1">
      <alignment/>
    </xf>
    <xf numFmtId="4" fontId="3" fillId="33" borderId="10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7" fillId="0" borderId="17" xfId="0" applyFont="1" applyFill="1" applyBorder="1" applyAlignment="1">
      <alignment horizontal="left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0" fillId="0" borderId="12" xfId="0" applyFont="1" applyFill="1" applyBorder="1" applyAlignment="1">
      <alignment horizontal="left" vertical="center"/>
    </xf>
    <xf numFmtId="0" fontId="10" fillId="0" borderId="15" xfId="0" applyFont="1" applyFill="1" applyBorder="1" applyAlignment="1">
      <alignment horizontal="left" vertical="center"/>
    </xf>
    <xf numFmtId="0" fontId="10" fillId="0" borderId="11" xfId="0" applyFont="1" applyFill="1" applyBorder="1" applyAlignment="1">
      <alignment horizontal="left" vertical="center"/>
    </xf>
    <xf numFmtId="0" fontId="10" fillId="0" borderId="17" xfId="0" applyFont="1" applyFill="1" applyBorder="1" applyAlignment="1">
      <alignment horizontal="left" vertical="center"/>
    </xf>
    <xf numFmtId="0" fontId="5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Fill="1" applyBorder="1" applyAlignment="1" quotePrefix="1">
      <alignment horizontal="center" vertical="center"/>
    </xf>
    <xf numFmtId="0" fontId="4" fillId="0" borderId="15" xfId="0" applyFont="1" applyFill="1" applyBorder="1" applyAlignment="1" quotePrefix="1">
      <alignment horizontal="center" vertical="center"/>
    </xf>
    <xf numFmtId="0" fontId="4" fillId="0" borderId="11" xfId="0" applyFont="1" applyFill="1" applyBorder="1" applyAlignment="1" quotePrefix="1">
      <alignment horizontal="center" vertical="center"/>
    </xf>
    <xf numFmtId="0" fontId="1" fillId="0" borderId="17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5" fillId="0" borderId="17" xfId="0" applyFont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3"/>
  <sheetViews>
    <sheetView tabSelected="1" zoomScalePageLayoutView="0" workbookViewId="0" topLeftCell="A1">
      <selection activeCell="M13" sqref="M13"/>
    </sheetView>
  </sheetViews>
  <sheetFormatPr defaultColWidth="9.00390625" defaultRowHeight="12.75"/>
  <cols>
    <col min="1" max="1" width="5.25390625" style="8" customWidth="1"/>
    <col min="2" max="2" width="7.25390625" style="8" bestFit="1" customWidth="1"/>
    <col min="3" max="3" width="4.375" style="8" bestFit="1" customWidth="1"/>
    <col min="4" max="4" width="34.625" style="8" customWidth="1"/>
    <col min="5" max="5" width="14.875" style="27" hidden="1" customWidth="1"/>
    <col min="6" max="6" width="9.875" style="27" hidden="1" customWidth="1"/>
    <col min="7" max="9" width="14.875" style="27" customWidth="1"/>
    <col min="10" max="10" width="9.125" style="21" customWidth="1"/>
    <col min="11" max="11" width="10.00390625" style="21" bestFit="1" customWidth="1"/>
  </cols>
  <sheetData>
    <row r="1" spans="1:9" ht="12.75">
      <c r="A1" s="49"/>
      <c r="B1" s="49"/>
      <c r="C1" s="49"/>
      <c r="D1" s="49"/>
      <c r="E1" s="50" t="s">
        <v>309</v>
      </c>
      <c r="F1" s="50"/>
      <c r="G1" s="50" t="s">
        <v>331</v>
      </c>
      <c r="H1" s="50"/>
      <c r="I1" s="50"/>
    </row>
    <row r="2" spans="1:9" ht="12.75">
      <c r="A2" s="49"/>
      <c r="B2" s="49"/>
      <c r="C2" s="49"/>
      <c r="D2" s="49"/>
      <c r="E2" s="50" t="s">
        <v>310</v>
      </c>
      <c r="F2" s="50"/>
      <c r="G2" s="50" t="s">
        <v>329</v>
      </c>
      <c r="H2" s="50"/>
      <c r="I2" s="50"/>
    </row>
    <row r="3" spans="1:9" ht="12.75">
      <c r="A3" s="49"/>
      <c r="B3" s="49"/>
      <c r="C3" s="49"/>
      <c r="D3" s="49"/>
      <c r="E3" s="50" t="s">
        <v>311</v>
      </c>
      <c r="F3" s="50"/>
      <c r="G3" s="50" t="s">
        <v>309</v>
      </c>
      <c r="H3" s="50"/>
      <c r="I3" s="50"/>
    </row>
    <row r="4" spans="1:9" ht="12.75">
      <c r="A4" s="49"/>
      <c r="B4" s="49"/>
      <c r="C4" s="49"/>
      <c r="D4" s="49"/>
      <c r="E4" s="50" t="s">
        <v>312</v>
      </c>
      <c r="F4" s="50"/>
      <c r="G4" s="50" t="s">
        <v>317</v>
      </c>
      <c r="H4" s="50"/>
      <c r="I4" s="50"/>
    </row>
    <row r="5" spans="1:9" ht="18.75" customHeight="1">
      <c r="A5" s="129" t="s">
        <v>296</v>
      </c>
      <c r="B5" s="129"/>
      <c r="C5" s="129"/>
      <c r="D5" s="129"/>
      <c r="E5" s="129"/>
      <c r="F5" s="129"/>
      <c r="G5" s="129"/>
      <c r="H5" s="129"/>
      <c r="I5" s="129"/>
    </row>
    <row r="6" spans="1:11" s="8" customFormat="1" ht="24.75" customHeight="1">
      <c r="A6" s="6" t="s">
        <v>0</v>
      </c>
      <c r="B6" s="5" t="s">
        <v>1</v>
      </c>
      <c r="C6" s="20" t="s">
        <v>2</v>
      </c>
      <c r="D6" s="6" t="s">
        <v>3</v>
      </c>
      <c r="E6" s="9" t="s">
        <v>144</v>
      </c>
      <c r="F6" s="9" t="s">
        <v>302</v>
      </c>
      <c r="G6" s="124" t="s">
        <v>145</v>
      </c>
      <c r="H6" s="9" t="s">
        <v>302</v>
      </c>
      <c r="I6" s="124" t="s">
        <v>306</v>
      </c>
      <c r="J6" s="23"/>
      <c r="K6" s="23"/>
    </row>
    <row r="7" spans="1:11" s="8" customFormat="1" ht="24" customHeight="1">
      <c r="A7" s="92" t="s">
        <v>4</v>
      </c>
      <c r="B7" s="5"/>
      <c r="C7" s="20"/>
      <c r="D7" s="127" t="s">
        <v>5</v>
      </c>
      <c r="E7" s="18">
        <f>SUM(E8)</f>
        <v>639800</v>
      </c>
      <c r="F7" s="18">
        <f>SUM(F8)</f>
        <v>0</v>
      </c>
      <c r="G7" s="18">
        <f>SUM(G8)</f>
        <v>639800</v>
      </c>
      <c r="H7" s="18">
        <f>SUM(H8)</f>
        <v>0</v>
      </c>
      <c r="I7" s="18">
        <f>SUM(I8)</f>
        <v>639800</v>
      </c>
      <c r="J7" s="23"/>
      <c r="K7" s="23"/>
    </row>
    <row r="8" spans="1:11" s="24" customFormat="1" ht="24" customHeight="1">
      <c r="A8" s="71"/>
      <c r="B8" s="69" t="s">
        <v>247</v>
      </c>
      <c r="C8" s="73"/>
      <c r="D8" s="128" t="s">
        <v>6</v>
      </c>
      <c r="E8" s="78">
        <f>SUM(E9:E10)</f>
        <v>639800</v>
      </c>
      <c r="F8" s="78">
        <f>SUM(F9:F10)</f>
        <v>0</v>
      </c>
      <c r="G8" s="78">
        <f>SUM(G9:G10)</f>
        <v>639800</v>
      </c>
      <c r="H8" s="78">
        <f>SUM(H9:H10)</f>
        <v>0</v>
      </c>
      <c r="I8" s="78">
        <f>SUM(I9:I10)</f>
        <v>639800</v>
      </c>
      <c r="J8" s="130"/>
      <c r="K8" s="130"/>
    </row>
    <row r="9" spans="1:11" s="24" customFormat="1" ht="67.5">
      <c r="A9" s="71"/>
      <c r="B9" s="44"/>
      <c r="C9" s="72" t="s">
        <v>163</v>
      </c>
      <c r="D9" s="70" t="s">
        <v>57</v>
      </c>
      <c r="E9" s="78">
        <f>110000+9800</f>
        <v>119800</v>
      </c>
      <c r="F9" s="78"/>
      <c r="G9" s="78">
        <f>SUM(E9:F9)</f>
        <v>119800</v>
      </c>
      <c r="H9" s="78"/>
      <c r="I9" s="78">
        <f>SUM(G9:H9)</f>
        <v>119800</v>
      </c>
      <c r="J9" s="130"/>
      <c r="K9" s="131"/>
    </row>
    <row r="10" spans="1:11" s="24" customFormat="1" ht="33.75">
      <c r="A10" s="71"/>
      <c r="B10" s="44"/>
      <c r="C10" s="72" t="s">
        <v>248</v>
      </c>
      <c r="D10" s="70" t="s">
        <v>249</v>
      </c>
      <c r="E10" s="78">
        <v>520000</v>
      </c>
      <c r="F10" s="78"/>
      <c r="G10" s="78">
        <f>SUM(E10:F10)</f>
        <v>520000</v>
      </c>
      <c r="H10" s="78"/>
      <c r="I10" s="78">
        <f>SUM(G10:H10)</f>
        <v>520000</v>
      </c>
      <c r="J10" s="130"/>
      <c r="K10" s="130"/>
    </row>
    <row r="11" spans="1:11" s="7" customFormat="1" ht="24" customHeight="1">
      <c r="A11" s="28" t="s">
        <v>8</v>
      </c>
      <c r="B11" s="3"/>
      <c r="C11" s="4"/>
      <c r="D11" s="29" t="s">
        <v>9</v>
      </c>
      <c r="E11" s="51">
        <f>SUM(E12,)</f>
        <v>4836700</v>
      </c>
      <c r="F11" s="51">
        <f>SUM(F12,)</f>
        <v>0</v>
      </c>
      <c r="G11" s="51">
        <f>SUM(G12,)</f>
        <v>4836700</v>
      </c>
      <c r="H11" s="51">
        <f>SUM(H12,)</f>
        <v>0</v>
      </c>
      <c r="I11" s="51">
        <f>SUM(I12,)</f>
        <v>4836700</v>
      </c>
      <c r="J11" s="132"/>
      <c r="K11" s="132"/>
    </row>
    <row r="12" spans="1:11" s="24" customFormat="1" ht="24" customHeight="1">
      <c r="A12" s="65"/>
      <c r="B12" s="66" t="s">
        <v>10</v>
      </c>
      <c r="C12" s="73"/>
      <c r="D12" s="70" t="s">
        <v>150</v>
      </c>
      <c r="E12" s="64">
        <f>SUM(E13:E17)</f>
        <v>4836700</v>
      </c>
      <c r="F12" s="64">
        <f>SUM(F13:F17)</f>
        <v>0</v>
      </c>
      <c r="G12" s="64">
        <f>SUM(G13:G17)</f>
        <v>4836700</v>
      </c>
      <c r="H12" s="64">
        <f>SUM(H13:H17)</f>
        <v>0</v>
      </c>
      <c r="I12" s="64">
        <f>SUM(I13:I17)</f>
        <v>4836700</v>
      </c>
      <c r="J12" s="130"/>
      <c r="K12" s="130"/>
    </row>
    <row r="13" spans="1:11" s="24" customFormat="1" ht="24" customHeight="1">
      <c r="A13" s="65"/>
      <c r="B13" s="44"/>
      <c r="C13" s="72" t="s">
        <v>162</v>
      </c>
      <c r="D13" s="70" t="s">
        <v>211</v>
      </c>
      <c r="E13" s="64">
        <v>120000</v>
      </c>
      <c r="F13" s="64"/>
      <c r="G13" s="64">
        <f>SUM(E13:F13)</f>
        <v>120000</v>
      </c>
      <c r="H13" s="64"/>
      <c r="I13" s="64">
        <f>SUM(G13:H13)</f>
        <v>120000</v>
      </c>
      <c r="J13" s="130"/>
      <c r="K13" s="130"/>
    </row>
    <row r="14" spans="1:11" s="24" customFormat="1" ht="67.5">
      <c r="A14" s="65"/>
      <c r="B14" s="44"/>
      <c r="C14" s="67" t="s">
        <v>163</v>
      </c>
      <c r="D14" s="70" t="s">
        <v>57</v>
      </c>
      <c r="E14" s="64">
        <f>1850000+16000+82000+8000+4000</f>
        <v>1960000</v>
      </c>
      <c r="F14" s="64"/>
      <c r="G14" s="64">
        <f>SUM(E14:F14)</f>
        <v>1960000</v>
      </c>
      <c r="H14" s="64"/>
      <c r="I14" s="64">
        <f>SUM(G14:H14)</f>
        <v>1960000</v>
      </c>
      <c r="J14" s="130"/>
      <c r="K14" s="130"/>
    </row>
    <row r="15" spans="1:11" s="24" customFormat="1" ht="45">
      <c r="A15" s="65"/>
      <c r="B15" s="44"/>
      <c r="C15" s="67" t="s">
        <v>224</v>
      </c>
      <c r="D15" s="70" t="s">
        <v>255</v>
      </c>
      <c r="E15" s="64">
        <v>30000</v>
      </c>
      <c r="F15" s="64"/>
      <c r="G15" s="64">
        <f>SUM(E15:F15)</f>
        <v>30000</v>
      </c>
      <c r="H15" s="64"/>
      <c r="I15" s="64">
        <f>SUM(G15:H15)</f>
        <v>30000</v>
      </c>
      <c r="J15" s="130"/>
      <c r="K15" s="130"/>
    </row>
    <row r="16" spans="1:11" s="24" customFormat="1" ht="24" customHeight="1">
      <c r="A16" s="65"/>
      <c r="B16" s="44"/>
      <c r="C16" s="67" t="s">
        <v>248</v>
      </c>
      <c r="D16" s="70" t="s">
        <v>249</v>
      </c>
      <c r="E16" s="64">
        <f>150000+450000+1300000+800000+9900+4800+2000</f>
        <v>2716700</v>
      </c>
      <c r="F16" s="64"/>
      <c r="G16" s="64">
        <f>SUM(E16:F16)</f>
        <v>2716700</v>
      </c>
      <c r="H16" s="64"/>
      <c r="I16" s="64">
        <f>SUM(G16:H16)</f>
        <v>2716700</v>
      </c>
      <c r="J16" s="130"/>
      <c r="K16" s="130"/>
    </row>
    <row r="17" spans="1:11" s="24" customFormat="1" ht="21.75" customHeight="1">
      <c r="A17" s="65"/>
      <c r="B17" s="44"/>
      <c r="C17" s="67" t="s">
        <v>164</v>
      </c>
      <c r="D17" s="70" t="s">
        <v>11</v>
      </c>
      <c r="E17" s="64">
        <v>10000</v>
      </c>
      <c r="F17" s="64"/>
      <c r="G17" s="64">
        <f>SUM(E17:F17)</f>
        <v>10000</v>
      </c>
      <c r="H17" s="64"/>
      <c r="I17" s="64">
        <f>SUM(G17:H17)</f>
        <v>10000</v>
      </c>
      <c r="J17" s="130"/>
      <c r="K17" s="130"/>
    </row>
    <row r="18" spans="1:11" s="7" customFormat="1" ht="24" customHeight="1">
      <c r="A18" s="28" t="s">
        <v>15</v>
      </c>
      <c r="B18" s="3"/>
      <c r="C18" s="4"/>
      <c r="D18" s="29" t="s">
        <v>16</v>
      </c>
      <c r="E18" s="51">
        <f>SUM(E19,E21)</f>
        <v>168600</v>
      </c>
      <c r="F18" s="51">
        <f>SUM(F19,F21)</f>
        <v>0</v>
      </c>
      <c r="G18" s="51">
        <f>SUM(G19,G21)</f>
        <v>168600</v>
      </c>
      <c r="H18" s="51">
        <f>SUM(H19,H21)</f>
        <v>0</v>
      </c>
      <c r="I18" s="51">
        <f>SUM(I19,I21)</f>
        <v>168600</v>
      </c>
      <c r="J18" s="132"/>
      <c r="K18" s="132"/>
    </row>
    <row r="19" spans="1:11" s="24" customFormat="1" ht="24" customHeight="1">
      <c r="A19" s="65"/>
      <c r="B19" s="66">
        <v>75011</v>
      </c>
      <c r="C19" s="73"/>
      <c r="D19" s="70" t="s">
        <v>17</v>
      </c>
      <c r="E19" s="64">
        <f>SUM(E20:E20)</f>
        <v>156600</v>
      </c>
      <c r="F19" s="64">
        <f>SUM(F20:F20)</f>
        <v>0</v>
      </c>
      <c r="G19" s="64">
        <f>SUM(G20:G20)</f>
        <v>156600</v>
      </c>
      <c r="H19" s="64">
        <f>SUM(H20:H20)</f>
        <v>0</v>
      </c>
      <c r="I19" s="64">
        <f>SUM(I20:I20)</f>
        <v>156600</v>
      </c>
      <c r="J19" s="130"/>
      <c r="K19" s="130"/>
    </row>
    <row r="20" spans="1:11" s="24" customFormat="1" ht="56.25">
      <c r="A20" s="65"/>
      <c r="B20" s="44"/>
      <c r="C20" s="67">
        <v>2010</v>
      </c>
      <c r="D20" s="70" t="s">
        <v>212</v>
      </c>
      <c r="E20" s="78">
        <v>156600</v>
      </c>
      <c r="F20" s="78"/>
      <c r="G20" s="78">
        <f>SUM(E20:F20)</f>
        <v>156600</v>
      </c>
      <c r="H20" s="78"/>
      <c r="I20" s="78">
        <f>SUM(G20:H20)</f>
        <v>156600</v>
      </c>
      <c r="J20" s="130"/>
      <c r="K20" s="130"/>
    </row>
    <row r="21" spans="1:11" s="24" customFormat="1" ht="24" customHeight="1">
      <c r="A21" s="65"/>
      <c r="B21" s="44">
        <v>75023</v>
      </c>
      <c r="C21" s="67"/>
      <c r="D21" s="38" t="s">
        <v>19</v>
      </c>
      <c r="E21" s="64">
        <f>SUM(E22)</f>
        <v>12000</v>
      </c>
      <c r="F21" s="64">
        <f>SUM(F22)</f>
        <v>0</v>
      </c>
      <c r="G21" s="64">
        <f>SUM(G22)</f>
        <v>12000</v>
      </c>
      <c r="H21" s="64">
        <f>SUM(H22)</f>
        <v>0</v>
      </c>
      <c r="I21" s="64">
        <f>SUM(I22)</f>
        <v>12000</v>
      </c>
      <c r="J21" s="130"/>
      <c r="K21" s="130"/>
    </row>
    <row r="22" spans="1:11" s="24" customFormat="1" ht="21.75" customHeight="1">
      <c r="A22" s="65"/>
      <c r="B22" s="44"/>
      <c r="C22" s="67" t="s">
        <v>165</v>
      </c>
      <c r="D22" s="70" t="s">
        <v>12</v>
      </c>
      <c r="E22" s="64">
        <v>12000</v>
      </c>
      <c r="F22" s="64"/>
      <c r="G22" s="64">
        <f>SUM(E22:F22)</f>
        <v>12000</v>
      </c>
      <c r="H22" s="64"/>
      <c r="I22" s="64">
        <f>SUM(G22:H22)</f>
        <v>12000</v>
      </c>
      <c r="J22" s="130"/>
      <c r="K22" s="130"/>
    </row>
    <row r="23" spans="1:11" s="7" customFormat="1" ht="36">
      <c r="A23" s="28">
        <v>751</v>
      </c>
      <c r="B23" s="5"/>
      <c r="C23" s="20"/>
      <c r="D23" s="29" t="s">
        <v>20</v>
      </c>
      <c r="E23" s="51">
        <f aca="true" t="shared" si="0" ref="E23:I24">SUM(E24)</f>
        <v>3952</v>
      </c>
      <c r="F23" s="51">
        <f t="shared" si="0"/>
        <v>0</v>
      </c>
      <c r="G23" s="51">
        <f t="shared" si="0"/>
        <v>3952</v>
      </c>
      <c r="H23" s="51">
        <f t="shared" si="0"/>
        <v>0</v>
      </c>
      <c r="I23" s="51">
        <f t="shared" si="0"/>
        <v>3952</v>
      </c>
      <c r="J23" s="132"/>
      <c r="K23" s="132"/>
    </row>
    <row r="24" spans="1:11" s="24" customFormat="1" ht="22.5">
      <c r="A24" s="71"/>
      <c r="B24" s="66">
        <v>75101</v>
      </c>
      <c r="C24" s="73"/>
      <c r="D24" s="70" t="s">
        <v>21</v>
      </c>
      <c r="E24" s="64">
        <f t="shared" si="0"/>
        <v>3952</v>
      </c>
      <c r="F24" s="64">
        <f t="shared" si="0"/>
        <v>0</v>
      </c>
      <c r="G24" s="64">
        <f t="shared" si="0"/>
        <v>3952</v>
      </c>
      <c r="H24" s="64">
        <f t="shared" si="0"/>
        <v>0</v>
      </c>
      <c r="I24" s="64">
        <f t="shared" si="0"/>
        <v>3952</v>
      </c>
      <c r="J24" s="130"/>
      <c r="K24" s="130"/>
    </row>
    <row r="25" spans="1:11" s="24" customFormat="1" ht="56.25">
      <c r="A25" s="71"/>
      <c r="B25" s="66"/>
      <c r="C25" s="73">
        <v>2010</v>
      </c>
      <c r="D25" s="70" t="s">
        <v>212</v>
      </c>
      <c r="E25" s="64">
        <v>3952</v>
      </c>
      <c r="F25" s="64"/>
      <c r="G25" s="64">
        <f>SUM(E25:F25)</f>
        <v>3952</v>
      </c>
      <c r="H25" s="64"/>
      <c r="I25" s="64">
        <f>SUM(G25:H25)</f>
        <v>3952</v>
      </c>
      <c r="J25" s="130"/>
      <c r="K25" s="130"/>
    </row>
    <row r="26" spans="1:11" s="7" customFormat="1" ht="30" customHeight="1">
      <c r="A26" s="28" t="s">
        <v>22</v>
      </c>
      <c r="B26" s="3"/>
      <c r="C26" s="4"/>
      <c r="D26" s="29" t="s">
        <v>23</v>
      </c>
      <c r="E26" s="51">
        <f>SUM(E27)</f>
        <v>5500</v>
      </c>
      <c r="F26" s="51">
        <f>SUM(F27)</f>
        <v>0</v>
      </c>
      <c r="G26" s="51">
        <f>SUM(G27)</f>
        <v>5500</v>
      </c>
      <c r="H26" s="51">
        <f>SUM(H27)</f>
        <v>0</v>
      </c>
      <c r="I26" s="51">
        <f>SUM(I27)</f>
        <v>5500</v>
      </c>
      <c r="J26" s="132"/>
      <c r="K26" s="132"/>
    </row>
    <row r="27" spans="1:11" s="24" customFormat="1" ht="24" customHeight="1">
      <c r="A27" s="71"/>
      <c r="B27" s="66" t="s">
        <v>24</v>
      </c>
      <c r="C27" s="73"/>
      <c r="D27" s="70" t="s">
        <v>25</v>
      </c>
      <c r="E27" s="64">
        <f>SUM(E28:E29)</f>
        <v>5500</v>
      </c>
      <c r="F27" s="64">
        <f>SUM(F28:F29)</f>
        <v>0</v>
      </c>
      <c r="G27" s="64">
        <f>SUM(G28:G29)</f>
        <v>5500</v>
      </c>
      <c r="H27" s="64">
        <f>SUM(H28:H29)</f>
        <v>0</v>
      </c>
      <c r="I27" s="64">
        <f>SUM(I28:I29)</f>
        <v>5500</v>
      </c>
      <c r="J27" s="130"/>
      <c r="K27" s="130"/>
    </row>
    <row r="28" spans="1:11" s="24" customFormat="1" ht="21.75" customHeight="1">
      <c r="A28" s="71"/>
      <c r="B28" s="44"/>
      <c r="C28" s="67" t="s">
        <v>166</v>
      </c>
      <c r="D28" s="70" t="s">
        <v>26</v>
      </c>
      <c r="E28" s="64">
        <v>5000</v>
      </c>
      <c r="F28" s="64"/>
      <c r="G28" s="64">
        <f>SUM(E28:F28)</f>
        <v>5000</v>
      </c>
      <c r="H28" s="64"/>
      <c r="I28" s="64">
        <f>SUM(G28:H28)</f>
        <v>5000</v>
      </c>
      <c r="J28" s="130"/>
      <c r="K28" s="130"/>
    </row>
    <row r="29" spans="1:11" s="24" customFormat="1" ht="21.75" customHeight="1">
      <c r="A29" s="71"/>
      <c r="B29" s="44"/>
      <c r="C29" s="67" t="s">
        <v>164</v>
      </c>
      <c r="D29" s="70" t="s">
        <v>11</v>
      </c>
      <c r="E29" s="64">
        <v>500</v>
      </c>
      <c r="F29" s="64"/>
      <c r="G29" s="64">
        <f>SUM(E29:F29)</f>
        <v>500</v>
      </c>
      <c r="H29" s="64"/>
      <c r="I29" s="64">
        <f>SUM(G29:H29)</f>
        <v>500</v>
      </c>
      <c r="J29" s="130"/>
      <c r="K29" s="130"/>
    </row>
    <row r="30" spans="1:11" s="7" customFormat="1" ht="60">
      <c r="A30" s="28" t="s">
        <v>27</v>
      </c>
      <c r="B30" s="3"/>
      <c r="C30" s="4"/>
      <c r="D30" s="29" t="s">
        <v>155</v>
      </c>
      <c r="E30" s="51">
        <f>SUM(E31,E34,E41,E50,E55,)</f>
        <v>22599894</v>
      </c>
      <c r="F30" s="51">
        <f>SUM(F31,F34,F41,F50,F55,)</f>
        <v>0</v>
      </c>
      <c r="G30" s="51">
        <f>SUM(G31,G34,G41,G50,G55,)</f>
        <v>22599894</v>
      </c>
      <c r="H30" s="51">
        <f>SUM(H31,H34,H41,H50,H55,)</f>
        <v>0</v>
      </c>
      <c r="I30" s="51">
        <f>SUM(I31,I34,I41,I50,I55,)</f>
        <v>22599894</v>
      </c>
      <c r="J30" s="132"/>
      <c r="K30" s="132"/>
    </row>
    <row r="31" spans="1:11" s="24" customFormat="1" ht="24" customHeight="1">
      <c r="A31" s="65"/>
      <c r="B31" s="44">
        <v>75601</v>
      </c>
      <c r="C31" s="73"/>
      <c r="D31" s="70" t="s">
        <v>29</v>
      </c>
      <c r="E31" s="64">
        <f>SUM(E32:E33)</f>
        <v>41500</v>
      </c>
      <c r="F31" s="64">
        <f>SUM(F32:F33)</f>
        <v>0</v>
      </c>
      <c r="G31" s="64">
        <f>SUM(G32:G33)</f>
        <v>41500</v>
      </c>
      <c r="H31" s="64">
        <f>SUM(H32:H33)</f>
        <v>0</v>
      </c>
      <c r="I31" s="64">
        <f>SUM(I32:I33)</f>
        <v>41500</v>
      </c>
      <c r="J31" s="130"/>
      <c r="K31" s="130"/>
    </row>
    <row r="32" spans="1:11" s="24" customFormat="1" ht="24" customHeight="1">
      <c r="A32" s="65"/>
      <c r="B32" s="44"/>
      <c r="C32" s="72" t="s">
        <v>167</v>
      </c>
      <c r="D32" s="70" t="s">
        <v>30</v>
      </c>
      <c r="E32" s="64">
        <v>40000</v>
      </c>
      <c r="F32" s="64"/>
      <c r="G32" s="64">
        <f>SUM(E32:F32)</f>
        <v>40000</v>
      </c>
      <c r="H32" s="64"/>
      <c r="I32" s="64">
        <f>SUM(G32:H32)</f>
        <v>40000</v>
      </c>
      <c r="J32" s="130"/>
      <c r="K32" s="130"/>
    </row>
    <row r="33" spans="1:11" s="24" customFormat="1" ht="24" customHeight="1">
      <c r="A33" s="65"/>
      <c r="B33" s="44"/>
      <c r="C33" s="72" t="s">
        <v>168</v>
      </c>
      <c r="D33" s="70" t="s">
        <v>37</v>
      </c>
      <c r="E33" s="64">
        <v>1500</v>
      </c>
      <c r="F33" s="64"/>
      <c r="G33" s="64">
        <f>SUM(E33:F33)</f>
        <v>1500</v>
      </c>
      <c r="H33" s="64"/>
      <c r="I33" s="64">
        <f>SUM(G33:H33)</f>
        <v>1500</v>
      </c>
      <c r="J33" s="130"/>
      <c r="K33" s="130"/>
    </row>
    <row r="34" spans="1:11" s="24" customFormat="1" ht="56.25">
      <c r="A34" s="65"/>
      <c r="B34" s="66" t="s">
        <v>31</v>
      </c>
      <c r="C34" s="73"/>
      <c r="D34" s="70" t="s">
        <v>193</v>
      </c>
      <c r="E34" s="64">
        <f>SUM(E35:E40)</f>
        <v>7409319</v>
      </c>
      <c r="F34" s="64">
        <f>SUM(F35:F40)</f>
        <v>0</v>
      </c>
      <c r="G34" s="64">
        <f>SUM(G35:G40)</f>
        <v>7409319</v>
      </c>
      <c r="H34" s="64">
        <f>SUM(H35:H40)</f>
        <v>0</v>
      </c>
      <c r="I34" s="64">
        <f>SUM(I35:I40)</f>
        <v>7409319</v>
      </c>
      <c r="J34" s="130"/>
      <c r="K34" s="130"/>
    </row>
    <row r="35" spans="1:11" s="24" customFormat="1" ht="21.75" customHeight="1">
      <c r="A35" s="65"/>
      <c r="B35" s="66"/>
      <c r="C35" s="67" t="s">
        <v>169</v>
      </c>
      <c r="D35" s="70" t="s">
        <v>32</v>
      </c>
      <c r="E35" s="64">
        <v>6712218</v>
      </c>
      <c r="F35" s="64"/>
      <c r="G35" s="64">
        <f aca="true" t="shared" si="1" ref="G35:G40">SUM(E35:F35)</f>
        <v>6712218</v>
      </c>
      <c r="H35" s="64"/>
      <c r="I35" s="64">
        <f aca="true" t="shared" si="2" ref="I35:I40">SUM(G35:H35)</f>
        <v>6712218</v>
      </c>
      <c r="J35" s="130"/>
      <c r="K35" s="130"/>
    </row>
    <row r="36" spans="1:11" s="24" customFormat="1" ht="21.75" customHeight="1">
      <c r="A36" s="65"/>
      <c r="B36" s="66"/>
      <c r="C36" s="67" t="s">
        <v>170</v>
      </c>
      <c r="D36" s="70" t="s">
        <v>33</v>
      </c>
      <c r="E36" s="64">
        <v>26903</v>
      </c>
      <c r="F36" s="64"/>
      <c r="G36" s="64">
        <f t="shared" si="1"/>
        <v>26903</v>
      </c>
      <c r="H36" s="64"/>
      <c r="I36" s="64">
        <f t="shared" si="2"/>
        <v>26903</v>
      </c>
      <c r="J36" s="130"/>
      <c r="K36" s="130"/>
    </row>
    <row r="37" spans="1:11" s="24" customFormat="1" ht="21.75" customHeight="1">
      <c r="A37" s="65"/>
      <c r="B37" s="66"/>
      <c r="C37" s="67" t="s">
        <v>171</v>
      </c>
      <c r="D37" s="70" t="s">
        <v>34</v>
      </c>
      <c r="E37" s="64">
        <v>318660</v>
      </c>
      <c r="F37" s="64"/>
      <c r="G37" s="64">
        <f t="shared" si="1"/>
        <v>318660</v>
      </c>
      <c r="H37" s="64"/>
      <c r="I37" s="64">
        <f t="shared" si="2"/>
        <v>318660</v>
      </c>
      <c r="J37" s="130"/>
      <c r="K37" s="130"/>
    </row>
    <row r="38" spans="1:11" s="24" customFormat="1" ht="21.75" customHeight="1">
      <c r="A38" s="65"/>
      <c r="B38" s="66"/>
      <c r="C38" s="67" t="s">
        <v>172</v>
      </c>
      <c r="D38" s="70" t="s">
        <v>35</v>
      </c>
      <c r="E38" s="64">
        <v>60000</v>
      </c>
      <c r="F38" s="64"/>
      <c r="G38" s="64">
        <f t="shared" si="1"/>
        <v>60000</v>
      </c>
      <c r="H38" s="64"/>
      <c r="I38" s="64">
        <f t="shared" si="2"/>
        <v>60000</v>
      </c>
      <c r="J38" s="130"/>
      <c r="K38" s="130"/>
    </row>
    <row r="39" spans="1:11" s="24" customFormat="1" ht="24" customHeight="1">
      <c r="A39" s="65"/>
      <c r="B39" s="66"/>
      <c r="C39" s="62" t="s">
        <v>168</v>
      </c>
      <c r="D39" s="59" t="s">
        <v>201</v>
      </c>
      <c r="E39" s="74">
        <v>26000</v>
      </c>
      <c r="F39" s="74"/>
      <c r="G39" s="64">
        <f t="shared" si="1"/>
        <v>26000</v>
      </c>
      <c r="H39" s="74"/>
      <c r="I39" s="64">
        <f t="shared" si="2"/>
        <v>26000</v>
      </c>
      <c r="J39" s="130"/>
      <c r="K39" s="130"/>
    </row>
    <row r="40" spans="1:11" s="24" customFormat="1" ht="24" customHeight="1">
      <c r="A40" s="65"/>
      <c r="B40" s="66"/>
      <c r="C40" s="67">
        <v>2680</v>
      </c>
      <c r="D40" s="70" t="s">
        <v>256</v>
      </c>
      <c r="E40" s="64">
        <v>265538</v>
      </c>
      <c r="F40" s="64"/>
      <c r="G40" s="64">
        <f t="shared" si="1"/>
        <v>265538</v>
      </c>
      <c r="H40" s="64"/>
      <c r="I40" s="64">
        <f t="shared" si="2"/>
        <v>265538</v>
      </c>
      <c r="J40" s="130"/>
      <c r="K40" s="130"/>
    </row>
    <row r="41" spans="1:11" s="24" customFormat="1" ht="56.25">
      <c r="A41" s="65"/>
      <c r="B41" s="66">
        <v>75616</v>
      </c>
      <c r="C41" s="67"/>
      <c r="D41" s="70" t="s">
        <v>271</v>
      </c>
      <c r="E41" s="64">
        <f>SUM(E42:E49)</f>
        <v>3801789</v>
      </c>
      <c r="F41" s="64">
        <f>SUM(F42:F49)</f>
        <v>0</v>
      </c>
      <c r="G41" s="64">
        <f>SUM(G42:G49)</f>
        <v>3801789</v>
      </c>
      <c r="H41" s="64">
        <f>SUM(H42:H49)</f>
        <v>0</v>
      </c>
      <c r="I41" s="64">
        <f>SUM(I42:I49)</f>
        <v>3801789</v>
      </c>
      <c r="J41" s="130"/>
      <c r="K41" s="130"/>
    </row>
    <row r="42" spans="1:11" s="24" customFormat="1" ht="21.75" customHeight="1">
      <c r="A42" s="65"/>
      <c r="B42" s="66"/>
      <c r="C42" s="67" t="s">
        <v>169</v>
      </c>
      <c r="D42" s="70" t="s">
        <v>32</v>
      </c>
      <c r="E42" s="64">
        <v>2460154</v>
      </c>
      <c r="F42" s="64"/>
      <c r="G42" s="64">
        <f>SUM(E42:F42)</f>
        <v>2460154</v>
      </c>
      <c r="H42" s="64"/>
      <c r="I42" s="64">
        <f>SUM(G42:H42)</f>
        <v>2460154</v>
      </c>
      <c r="J42" s="130"/>
      <c r="K42" s="130"/>
    </row>
    <row r="43" spans="1:11" s="24" customFormat="1" ht="21.75" customHeight="1">
      <c r="A43" s="65"/>
      <c r="B43" s="66"/>
      <c r="C43" s="67" t="s">
        <v>170</v>
      </c>
      <c r="D43" s="70" t="s">
        <v>33</v>
      </c>
      <c r="E43" s="64">
        <v>348755</v>
      </c>
      <c r="F43" s="64"/>
      <c r="G43" s="64">
        <f aca="true" t="shared" si="3" ref="G43:G49">SUM(E43:F43)</f>
        <v>348755</v>
      </c>
      <c r="H43" s="64"/>
      <c r="I43" s="64">
        <f aca="true" t="shared" si="4" ref="I43:I49">SUM(G43:H43)</f>
        <v>348755</v>
      </c>
      <c r="J43" s="130"/>
      <c r="K43" s="130"/>
    </row>
    <row r="44" spans="1:11" s="24" customFormat="1" ht="21.75" customHeight="1">
      <c r="A44" s="65"/>
      <c r="B44" s="66"/>
      <c r="C44" s="67" t="s">
        <v>171</v>
      </c>
      <c r="D44" s="70" t="s">
        <v>34</v>
      </c>
      <c r="E44" s="64">
        <v>7880</v>
      </c>
      <c r="F44" s="64"/>
      <c r="G44" s="64">
        <f t="shared" si="3"/>
        <v>7880</v>
      </c>
      <c r="H44" s="64"/>
      <c r="I44" s="64">
        <f t="shared" si="4"/>
        <v>7880</v>
      </c>
      <c r="J44" s="130"/>
      <c r="K44" s="130"/>
    </row>
    <row r="45" spans="1:11" s="24" customFormat="1" ht="21.75" customHeight="1">
      <c r="A45" s="65"/>
      <c r="B45" s="66"/>
      <c r="C45" s="67" t="s">
        <v>172</v>
      </c>
      <c r="D45" s="70" t="s">
        <v>35</v>
      </c>
      <c r="E45" s="64">
        <v>250000</v>
      </c>
      <c r="F45" s="64"/>
      <c r="G45" s="64">
        <f t="shared" si="3"/>
        <v>250000</v>
      </c>
      <c r="H45" s="64"/>
      <c r="I45" s="64">
        <f t="shared" si="4"/>
        <v>250000</v>
      </c>
      <c r="J45" s="130"/>
      <c r="K45" s="130"/>
    </row>
    <row r="46" spans="1:11" s="24" customFormat="1" ht="21.75" customHeight="1">
      <c r="A46" s="65"/>
      <c r="B46" s="66"/>
      <c r="C46" s="67" t="s">
        <v>262</v>
      </c>
      <c r="D46" s="70" t="s">
        <v>263</v>
      </c>
      <c r="E46" s="64">
        <v>10000</v>
      </c>
      <c r="F46" s="64"/>
      <c r="G46" s="64">
        <f t="shared" si="3"/>
        <v>10000</v>
      </c>
      <c r="H46" s="64"/>
      <c r="I46" s="64">
        <f t="shared" si="4"/>
        <v>10000</v>
      </c>
      <c r="J46" s="130"/>
      <c r="K46" s="130"/>
    </row>
    <row r="47" spans="1:11" s="24" customFormat="1" ht="21.75" customHeight="1">
      <c r="A47" s="65"/>
      <c r="B47" s="66"/>
      <c r="C47" s="67" t="s">
        <v>173</v>
      </c>
      <c r="D47" s="70" t="s">
        <v>38</v>
      </c>
      <c r="E47" s="64">
        <v>70000</v>
      </c>
      <c r="F47" s="64"/>
      <c r="G47" s="64">
        <f t="shared" si="3"/>
        <v>70000</v>
      </c>
      <c r="H47" s="64"/>
      <c r="I47" s="64">
        <f t="shared" si="4"/>
        <v>70000</v>
      </c>
      <c r="J47" s="130"/>
      <c r="K47" s="130"/>
    </row>
    <row r="48" spans="1:11" s="24" customFormat="1" ht="21.75" customHeight="1">
      <c r="A48" s="65"/>
      <c r="B48" s="66"/>
      <c r="C48" s="67" t="s">
        <v>175</v>
      </c>
      <c r="D48" s="70" t="s">
        <v>39</v>
      </c>
      <c r="E48" s="64">
        <v>600000</v>
      </c>
      <c r="F48" s="64"/>
      <c r="G48" s="64">
        <f t="shared" si="3"/>
        <v>600000</v>
      </c>
      <c r="H48" s="64"/>
      <c r="I48" s="64">
        <f t="shared" si="4"/>
        <v>600000</v>
      </c>
      <c r="J48" s="130"/>
      <c r="K48" s="130"/>
    </row>
    <row r="49" spans="1:11" s="24" customFormat="1" ht="24" customHeight="1">
      <c r="A49" s="65"/>
      <c r="B49" s="66"/>
      <c r="C49" s="67" t="s">
        <v>168</v>
      </c>
      <c r="D49" s="70" t="s">
        <v>201</v>
      </c>
      <c r="E49" s="64">
        <v>55000</v>
      </c>
      <c r="F49" s="64"/>
      <c r="G49" s="64">
        <f t="shared" si="3"/>
        <v>55000</v>
      </c>
      <c r="H49" s="64"/>
      <c r="I49" s="64">
        <f t="shared" si="4"/>
        <v>55000</v>
      </c>
      <c r="J49" s="130"/>
      <c r="K49" s="130"/>
    </row>
    <row r="50" spans="1:11" s="24" customFormat="1" ht="33.75">
      <c r="A50" s="65"/>
      <c r="B50" s="66" t="s">
        <v>40</v>
      </c>
      <c r="C50" s="73"/>
      <c r="D50" s="70" t="s">
        <v>41</v>
      </c>
      <c r="E50" s="64">
        <f>SUM(E51:E54)</f>
        <v>727000</v>
      </c>
      <c r="F50" s="64">
        <f>SUM(F51:F54)</f>
        <v>0</v>
      </c>
      <c r="G50" s="64">
        <f>SUM(G51:G54)</f>
        <v>727000</v>
      </c>
      <c r="H50" s="64">
        <f>SUM(H51:H54)</f>
        <v>0</v>
      </c>
      <c r="I50" s="64">
        <f>SUM(I51:I54)</f>
        <v>727000</v>
      </c>
      <c r="J50" s="130"/>
      <c r="K50" s="130"/>
    </row>
    <row r="51" spans="1:11" s="24" customFormat="1" ht="21.75" customHeight="1">
      <c r="A51" s="65"/>
      <c r="B51" s="66"/>
      <c r="C51" s="67" t="s">
        <v>176</v>
      </c>
      <c r="D51" s="70" t="s">
        <v>42</v>
      </c>
      <c r="E51" s="64">
        <v>150000</v>
      </c>
      <c r="F51" s="64"/>
      <c r="G51" s="64">
        <f>SUM(E51:F51)</f>
        <v>150000</v>
      </c>
      <c r="H51" s="64"/>
      <c r="I51" s="64">
        <f>SUM(G51:H51)</f>
        <v>150000</v>
      </c>
      <c r="J51" s="130"/>
      <c r="K51" s="130"/>
    </row>
    <row r="52" spans="1:11" s="24" customFormat="1" ht="21.75" customHeight="1">
      <c r="A52" s="65"/>
      <c r="B52" s="66"/>
      <c r="C52" s="67" t="s">
        <v>174</v>
      </c>
      <c r="D52" s="70" t="s">
        <v>36</v>
      </c>
      <c r="E52" s="64">
        <v>20000</v>
      </c>
      <c r="F52" s="64"/>
      <c r="G52" s="64">
        <f>SUM(E52:F52)</f>
        <v>20000</v>
      </c>
      <c r="H52" s="64"/>
      <c r="I52" s="64">
        <f>SUM(G52:H52)</f>
        <v>20000</v>
      </c>
      <c r="J52" s="130"/>
      <c r="K52" s="130"/>
    </row>
    <row r="53" spans="1:11" s="24" customFormat="1" ht="24" customHeight="1">
      <c r="A53" s="65"/>
      <c r="B53" s="66"/>
      <c r="C53" s="67" t="s">
        <v>180</v>
      </c>
      <c r="D53" s="70" t="s">
        <v>223</v>
      </c>
      <c r="E53" s="64">
        <v>330000</v>
      </c>
      <c r="F53" s="64"/>
      <c r="G53" s="64">
        <f>SUM(E53:F53)</f>
        <v>330000</v>
      </c>
      <c r="H53" s="64"/>
      <c r="I53" s="64">
        <f>SUM(G53:H53)</f>
        <v>330000</v>
      </c>
      <c r="J53" s="130"/>
      <c r="K53" s="130"/>
    </row>
    <row r="54" spans="1:11" s="24" customFormat="1" ht="45">
      <c r="A54" s="65"/>
      <c r="B54" s="66"/>
      <c r="C54" s="67" t="s">
        <v>161</v>
      </c>
      <c r="D54" s="70" t="s">
        <v>7</v>
      </c>
      <c r="E54" s="64">
        <f>30000+17000+180000</f>
        <v>227000</v>
      </c>
      <c r="F54" s="64"/>
      <c r="G54" s="64">
        <f>SUM(E54:F54)</f>
        <v>227000</v>
      </c>
      <c r="H54" s="64"/>
      <c r="I54" s="64">
        <f>SUM(G54:H54)</f>
        <v>227000</v>
      </c>
      <c r="J54" s="130"/>
      <c r="K54" s="130"/>
    </row>
    <row r="55" spans="1:11" s="24" customFormat="1" ht="22.5">
      <c r="A55" s="65"/>
      <c r="B55" s="66" t="s">
        <v>43</v>
      </c>
      <c r="C55" s="73"/>
      <c r="D55" s="70" t="s">
        <v>44</v>
      </c>
      <c r="E55" s="64">
        <f>SUM(E56:E57)</f>
        <v>10620286</v>
      </c>
      <c r="F55" s="64">
        <f>SUM(F56:F57)</f>
        <v>0</v>
      </c>
      <c r="G55" s="64">
        <f>SUM(G56:G57)</f>
        <v>10620286</v>
      </c>
      <c r="H55" s="64">
        <f>SUM(H56:H57)</f>
        <v>0</v>
      </c>
      <c r="I55" s="64">
        <f>SUM(I56:I57)</f>
        <v>10620286</v>
      </c>
      <c r="J55" s="130"/>
      <c r="K55" s="130"/>
    </row>
    <row r="56" spans="1:11" s="24" customFormat="1" ht="21.75" customHeight="1">
      <c r="A56" s="65"/>
      <c r="B56" s="66"/>
      <c r="C56" s="67" t="s">
        <v>177</v>
      </c>
      <c r="D56" s="70" t="s">
        <v>45</v>
      </c>
      <c r="E56" s="64">
        <v>9720286</v>
      </c>
      <c r="F56" s="64"/>
      <c r="G56" s="64">
        <f>SUM(E56:F56)</f>
        <v>9720286</v>
      </c>
      <c r="H56" s="64"/>
      <c r="I56" s="64">
        <f>SUM(G56:H56)</f>
        <v>9720286</v>
      </c>
      <c r="J56" s="130"/>
      <c r="K56" s="130"/>
    </row>
    <row r="57" spans="1:11" s="24" customFormat="1" ht="21.75" customHeight="1">
      <c r="A57" s="65"/>
      <c r="B57" s="66"/>
      <c r="C57" s="67" t="s">
        <v>178</v>
      </c>
      <c r="D57" s="70" t="s">
        <v>46</v>
      </c>
      <c r="E57" s="64">
        <v>900000</v>
      </c>
      <c r="F57" s="64"/>
      <c r="G57" s="64">
        <f>SUM(E57:F57)</f>
        <v>900000</v>
      </c>
      <c r="H57" s="64"/>
      <c r="I57" s="64">
        <f>SUM(G57:H57)</f>
        <v>900000</v>
      </c>
      <c r="J57" s="130"/>
      <c r="K57" s="130"/>
    </row>
    <row r="58" spans="1:11" s="7" customFormat="1" ht="24" customHeight="1">
      <c r="A58" s="28" t="s">
        <v>47</v>
      </c>
      <c r="B58" s="3"/>
      <c r="C58" s="4"/>
      <c r="D58" s="29" t="s">
        <v>48</v>
      </c>
      <c r="E58" s="51">
        <f>SUM(E59,E61,E63,E65)</f>
        <v>20284538</v>
      </c>
      <c r="F58" s="51">
        <f>SUM(F59,F61,F63,F65)</f>
        <v>0</v>
      </c>
      <c r="G58" s="51">
        <f>SUM(G59,G61,G63,G65)</f>
        <v>20284538</v>
      </c>
      <c r="H58" s="51">
        <f>SUM(H59,H61,H63,H65)</f>
        <v>0</v>
      </c>
      <c r="I58" s="51">
        <f>SUM(I59,I61,I63,I65)</f>
        <v>20284538</v>
      </c>
      <c r="J58" s="132"/>
      <c r="K58" s="132"/>
    </row>
    <row r="59" spans="1:11" s="24" customFormat="1" ht="22.5">
      <c r="A59" s="65"/>
      <c r="B59" s="66" t="s">
        <v>49</v>
      </c>
      <c r="C59" s="73"/>
      <c r="D59" s="70" t="s">
        <v>50</v>
      </c>
      <c r="E59" s="64">
        <f>SUM(E60)</f>
        <v>14653848</v>
      </c>
      <c r="F59" s="64">
        <f>SUM(F60)</f>
        <v>0</v>
      </c>
      <c r="G59" s="64">
        <f>SUM(G60)</f>
        <v>14653848</v>
      </c>
      <c r="H59" s="64">
        <f>SUM(H60)</f>
        <v>0</v>
      </c>
      <c r="I59" s="64">
        <f>SUM(I60)</f>
        <v>14653848</v>
      </c>
      <c r="J59" s="130"/>
      <c r="K59" s="130"/>
    </row>
    <row r="60" spans="1:11" s="24" customFormat="1" ht="21.75" customHeight="1">
      <c r="A60" s="65"/>
      <c r="B60" s="66"/>
      <c r="C60" s="67">
        <v>2920</v>
      </c>
      <c r="D60" s="70" t="s">
        <v>51</v>
      </c>
      <c r="E60" s="64">
        <v>14653848</v>
      </c>
      <c r="F60" s="64"/>
      <c r="G60" s="64">
        <f>SUM(E60:F60)</f>
        <v>14653848</v>
      </c>
      <c r="H60" s="64"/>
      <c r="I60" s="64">
        <f>SUM(G60:H60)</f>
        <v>14653848</v>
      </c>
      <c r="J60" s="130"/>
      <c r="K60" s="130"/>
    </row>
    <row r="61" spans="1:11" s="24" customFormat="1" ht="21.75" customHeight="1">
      <c r="A61" s="65"/>
      <c r="B61" s="66" t="s">
        <v>187</v>
      </c>
      <c r="C61" s="73"/>
      <c r="D61" s="70" t="s">
        <v>186</v>
      </c>
      <c r="E61" s="64">
        <f>SUM(E62)</f>
        <v>5007478</v>
      </c>
      <c r="F61" s="64">
        <f>SUM(F62)</f>
        <v>0</v>
      </c>
      <c r="G61" s="64">
        <f>SUM(G62)</f>
        <v>5007478</v>
      </c>
      <c r="H61" s="64">
        <f>SUM(H62)</f>
        <v>0</v>
      </c>
      <c r="I61" s="64">
        <f>SUM(I62)</f>
        <v>5007478</v>
      </c>
      <c r="J61" s="130"/>
      <c r="K61" s="130"/>
    </row>
    <row r="62" spans="1:11" s="24" customFormat="1" ht="21.75" customHeight="1">
      <c r="A62" s="65"/>
      <c r="B62" s="66"/>
      <c r="C62" s="67">
        <v>2920</v>
      </c>
      <c r="D62" s="70" t="s">
        <v>51</v>
      </c>
      <c r="E62" s="64">
        <f>2651991+2355487</f>
        <v>5007478</v>
      </c>
      <c r="F62" s="64"/>
      <c r="G62" s="64">
        <f>SUM(E62:F62)</f>
        <v>5007478</v>
      </c>
      <c r="H62" s="64"/>
      <c r="I62" s="64">
        <f>SUM(G62:H62)</f>
        <v>5007478</v>
      </c>
      <c r="J62" s="130"/>
      <c r="K62" s="130"/>
    </row>
    <row r="63" spans="1:11" s="24" customFormat="1" ht="21" customHeight="1">
      <c r="A63" s="65"/>
      <c r="B63" s="66">
        <v>75814</v>
      </c>
      <c r="C63" s="73"/>
      <c r="D63" s="70" t="s">
        <v>52</v>
      </c>
      <c r="E63" s="64">
        <f>SUM(E64)</f>
        <v>10000</v>
      </c>
      <c r="F63" s="64">
        <f>SUM(F64)</f>
        <v>0</v>
      </c>
      <c r="G63" s="64">
        <f>SUM(G64)</f>
        <v>10000</v>
      </c>
      <c r="H63" s="64">
        <f>SUM(H64)</f>
        <v>0</v>
      </c>
      <c r="I63" s="64">
        <f>SUM(I64)</f>
        <v>10000</v>
      </c>
      <c r="J63" s="130"/>
      <c r="K63" s="130"/>
    </row>
    <row r="64" spans="1:11" s="24" customFormat="1" ht="21.75" customHeight="1">
      <c r="A64" s="65"/>
      <c r="B64" s="66"/>
      <c r="C64" s="67" t="s">
        <v>164</v>
      </c>
      <c r="D64" s="70" t="s">
        <v>11</v>
      </c>
      <c r="E64" s="64">
        <v>10000</v>
      </c>
      <c r="F64" s="64"/>
      <c r="G64" s="64">
        <f>SUM(E64:F64)</f>
        <v>10000</v>
      </c>
      <c r="H64" s="64"/>
      <c r="I64" s="64">
        <f>SUM(G64:H64)</f>
        <v>10000</v>
      </c>
      <c r="J64" s="130"/>
      <c r="K64" s="130"/>
    </row>
    <row r="65" spans="1:11" s="24" customFormat="1" ht="20.25" customHeight="1">
      <c r="A65" s="65"/>
      <c r="B65" s="66" t="s">
        <v>215</v>
      </c>
      <c r="C65" s="73"/>
      <c r="D65" s="70" t="s">
        <v>216</v>
      </c>
      <c r="E65" s="64">
        <f>SUM(E66)</f>
        <v>613212</v>
      </c>
      <c r="F65" s="64">
        <f>SUM(F66)</f>
        <v>0</v>
      </c>
      <c r="G65" s="64">
        <f>SUM(G66)</f>
        <v>613212</v>
      </c>
      <c r="H65" s="64">
        <f>SUM(H66)</f>
        <v>0</v>
      </c>
      <c r="I65" s="64">
        <f>SUM(I66)</f>
        <v>613212</v>
      </c>
      <c r="J65" s="130"/>
      <c r="K65" s="130"/>
    </row>
    <row r="66" spans="1:11" s="24" customFormat="1" ht="21.75" customHeight="1">
      <c r="A66" s="65"/>
      <c r="B66" s="66"/>
      <c r="C66" s="67">
        <v>2920</v>
      </c>
      <c r="D66" s="70" t="s">
        <v>51</v>
      </c>
      <c r="E66" s="64">
        <v>613212</v>
      </c>
      <c r="F66" s="64"/>
      <c r="G66" s="64">
        <f>SUM(E66:F66)</f>
        <v>613212</v>
      </c>
      <c r="H66" s="64"/>
      <c r="I66" s="64">
        <f>SUM(G66:H66)</f>
        <v>613212</v>
      </c>
      <c r="J66" s="130"/>
      <c r="K66" s="130"/>
    </row>
    <row r="67" spans="1:11" s="24" customFormat="1" ht="24" customHeight="1">
      <c r="A67" s="33" t="s">
        <v>111</v>
      </c>
      <c r="B67" s="34"/>
      <c r="C67" s="35"/>
      <c r="D67" s="36" t="s">
        <v>112</v>
      </c>
      <c r="E67" s="51">
        <f>SUM(E68,E74,E76,E81)</f>
        <v>189496</v>
      </c>
      <c r="F67" s="51">
        <f>SUM(F68,F74,F76,F81)</f>
        <v>0</v>
      </c>
      <c r="G67" s="51">
        <f>SUM(G68,G74,G76,G81)</f>
        <v>189496</v>
      </c>
      <c r="H67" s="51">
        <f>SUM(H68,H74,H76,H81)</f>
        <v>0</v>
      </c>
      <c r="I67" s="51">
        <f>SUM(I68,I74,I76,I81)</f>
        <v>189496</v>
      </c>
      <c r="J67" s="130"/>
      <c r="K67" s="130"/>
    </row>
    <row r="68" spans="1:11" s="24" customFormat="1" ht="24" customHeight="1">
      <c r="A68" s="60"/>
      <c r="B68" s="75" t="s">
        <v>113</v>
      </c>
      <c r="C68" s="79"/>
      <c r="D68" s="38" t="s">
        <v>53</v>
      </c>
      <c r="E68" s="64">
        <f>SUM(E69:E73)</f>
        <v>54673</v>
      </c>
      <c r="F68" s="64">
        <f>SUM(F69:F73)</f>
        <v>0</v>
      </c>
      <c r="G68" s="64">
        <f>SUM(G69:G73)</f>
        <v>54673</v>
      </c>
      <c r="H68" s="64">
        <f>SUM(H69:H73)</f>
        <v>0</v>
      </c>
      <c r="I68" s="64">
        <f>SUM(I69:I73)</f>
        <v>54673</v>
      </c>
      <c r="J68" s="130"/>
      <c r="K68" s="130"/>
    </row>
    <row r="69" spans="1:11" s="24" customFormat="1" ht="24" customHeight="1">
      <c r="A69" s="75"/>
      <c r="B69" s="75"/>
      <c r="C69" s="76" t="s">
        <v>185</v>
      </c>
      <c r="D69" s="38" t="s">
        <v>146</v>
      </c>
      <c r="E69" s="64">
        <v>700</v>
      </c>
      <c r="F69" s="64"/>
      <c r="G69" s="64">
        <f>SUM(E69:F69)</f>
        <v>700</v>
      </c>
      <c r="H69" s="64"/>
      <c r="I69" s="64">
        <f>SUM(G69:H69)</f>
        <v>700</v>
      </c>
      <c r="J69" s="130"/>
      <c r="K69" s="130"/>
    </row>
    <row r="70" spans="1:11" s="24" customFormat="1" ht="67.5">
      <c r="A70" s="75"/>
      <c r="B70" s="60"/>
      <c r="C70" s="76" t="s">
        <v>163</v>
      </c>
      <c r="D70" s="38" t="s">
        <v>57</v>
      </c>
      <c r="E70" s="64">
        <v>40800</v>
      </c>
      <c r="F70" s="64"/>
      <c r="G70" s="64">
        <f>SUM(E70:F70)</f>
        <v>40800</v>
      </c>
      <c r="H70" s="64"/>
      <c r="I70" s="64">
        <f>SUM(G70:H70)</f>
        <v>40800</v>
      </c>
      <c r="J70" s="130"/>
      <c r="K70" s="130"/>
    </row>
    <row r="71" spans="1:11" s="24" customFormat="1" ht="23.25" customHeight="1">
      <c r="A71" s="75"/>
      <c r="B71" s="60"/>
      <c r="C71" s="117" t="s">
        <v>164</v>
      </c>
      <c r="D71" s="59" t="s">
        <v>11</v>
      </c>
      <c r="E71" s="64">
        <v>1091</v>
      </c>
      <c r="F71" s="64"/>
      <c r="G71" s="64">
        <f>SUM(E71:F71)</f>
        <v>1091</v>
      </c>
      <c r="H71" s="64"/>
      <c r="I71" s="64">
        <f>SUM(G71:H71)</f>
        <v>1091</v>
      </c>
      <c r="J71" s="130"/>
      <c r="K71" s="130"/>
    </row>
    <row r="72" spans="1:11" s="24" customFormat="1" ht="22.5" customHeight="1">
      <c r="A72" s="75"/>
      <c r="B72" s="60"/>
      <c r="C72" s="117" t="s">
        <v>165</v>
      </c>
      <c r="D72" s="38" t="s">
        <v>12</v>
      </c>
      <c r="E72" s="64">
        <v>7300</v>
      </c>
      <c r="F72" s="64"/>
      <c r="G72" s="64">
        <f>SUM(E72:F72)</f>
        <v>7300</v>
      </c>
      <c r="H72" s="64"/>
      <c r="I72" s="64">
        <f>SUM(G72:H72)</f>
        <v>7300</v>
      </c>
      <c r="J72" s="130"/>
      <c r="K72" s="130"/>
    </row>
    <row r="73" spans="1:11" s="24" customFormat="1" ht="45">
      <c r="A73" s="75"/>
      <c r="B73" s="60"/>
      <c r="C73" s="117">
        <v>2310</v>
      </c>
      <c r="D73" s="38" t="s">
        <v>231</v>
      </c>
      <c r="E73" s="64">
        <v>4782</v>
      </c>
      <c r="F73" s="64"/>
      <c r="G73" s="64">
        <f>SUM(E73:F73)</f>
        <v>4782</v>
      </c>
      <c r="H73" s="64"/>
      <c r="I73" s="64">
        <f>SUM(G73:H73)</f>
        <v>4782</v>
      </c>
      <c r="J73" s="130"/>
      <c r="K73" s="130"/>
    </row>
    <row r="74" spans="1:11" s="24" customFormat="1" ht="24" customHeight="1">
      <c r="A74" s="65"/>
      <c r="B74" s="66">
        <v>80104</v>
      </c>
      <c r="C74" s="67"/>
      <c r="D74" s="38" t="s">
        <v>126</v>
      </c>
      <c r="E74" s="64">
        <f>SUM(E75)</f>
        <v>2000</v>
      </c>
      <c r="F74" s="64">
        <f>SUM(F75)</f>
        <v>0</v>
      </c>
      <c r="G74" s="64">
        <f>SUM(G75)</f>
        <v>2000</v>
      </c>
      <c r="H74" s="64">
        <f>SUM(H75)</f>
        <v>0</v>
      </c>
      <c r="I74" s="64">
        <f>SUM(I75)</f>
        <v>2000</v>
      </c>
      <c r="J74" s="130"/>
      <c r="K74" s="130"/>
    </row>
    <row r="75" spans="1:11" s="24" customFormat="1" ht="67.5">
      <c r="A75" s="65"/>
      <c r="B75" s="66"/>
      <c r="C75" s="67" t="s">
        <v>163</v>
      </c>
      <c r="D75" s="38" t="s">
        <v>57</v>
      </c>
      <c r="E75" s="64">
        <v>2000</v>
      </c>
      <c r="F75" s="64"/>
      <c r="G75" s="64">
        <f>SUM(E75:F75)</f>
        <v>2000</v>
      </c>
      <c r="H75" s="64"/>
      <c r="I75" s="64">
        <f>SUM(G75:H75)</f>
        <v>2000</v>
      </c>
      <c r="J75" s="130"/>
      <c r="K75" s="130"/>
    </row>
    <row r="76" spans="1:11" s="24" customFormat="1" ht="24" customHeight="1">
      <c r="A76" s="65"/>
      <c r="B76" s="66">
        <v>80110</v>
      </c>
      <c r="C76" s="67"/>
      <c r="D76" s="38" t="s">
        <v>54</v>
      </c>
      <c r="E76" s="64">
        <f>SUM(E77:E80)</f>
        <v>9121</v>
      </c>
      <c r="F76" s="64">
        <f>SUM(F77:F80)</f>
        <v>0</v>
      </c>
      <c r="G76" s="64">
        <f>SUM(G77:G80)</f>
        <v>9121</v>
      </c>
      <c r="H76" s="64">
        <f>SUM(H77:H80)</f>
        <v>0</v>
      </c>
      <c r="I76" s="64">
        <f>SUM(I77:I80)</f>
        <v>9121</v>
      </c>
      <c r="J76" s="130"/>
      <c r="K76" s="130"/>
    </row>
    <row r="77" spans="1:11" s="24" customFormat="1" ht="24" customHeight="1">
      <c r="A77" s="65"/>
      <c r="B77" s="66"/>
      <c r="C77" s="76" t="s">
        <v>185</v>
      </c>
      <c r="D77" s="38" t="s">
        <v>146</v>
      </c>
      <c r="E77" s="64">
        <v>100</v>
      </c>
      <c r="F77" s="64"/>
      <c r="G77" s="64">
        <f>SUM(E77:F77)</f>
        <v>100</v>
      </c>
      <c r="H77" s="64"/>
      <c r="I77" s="64">
        <f>SUM(G77:H77)</f>
        <v>100</v>
      </c>
      <c r="J77" s="130"/>
      <c r="K77" s="130"/>
    </row>
    <row r="78" spans="1:11" s="24" customFormat="1" ht="67.5">
      <c r="A78" s="65"/>
      <c r="B78" s="66"/>
      <c r="C78" s="67" t="s">
        <v>163</v>
      </c>
      <c r="D78" s="38" t="s">
        <v>57</v>
      </c>
      <c r="E78" s="64">
        <v>8000</v>
      </c>
      <c r="F78" s="64"/>
      <c r="G78" s="64">
        <f>SUM(E78:F78)</f>
        <v>8000</v>
      </c>
      <c r="H78" s="64"/>
      <c r="I78" s="64">
        <f>SUM(G78:H78)</f>
        <v>8000</v>
      </c>
      <c r="J78" s="130"/>
      <c r="K78" s="130"/>
    </row>
    <row r="79" spans="1:11" s="24" customFormat="1" ht="22.5" customHeight="1">
      <c r="A79" s="65"/>
      <c r="B79" s="66"/>
      <c r="C79" s="67" t="s">
        <v>164</v>
      </c>
      <c r="D79" s="59" t="s">
        <v>11</v>
      </c>
      <c r="E79" s="64">
        <v>21</v>
      </c>
      <c r="F79" s="64"/>
      <c r="G79" s="64">
        <f>SUM(E79:F79)</f>
        <v>21</v>
      </c>
      <c r="H79" s="64"/>
      <c r="I79" s="64">
        <f>SUM(G79:H79)</f>
        <v>21</v>
      </c>
      <c r="J79" s="130"/>
      <c r="K79" s="130"/>
    </row>
    <row r="80" spans="1:11" s="24" customFormat="1" ht="22.5" customHeight="1">
      <c r="A80" s="65"/>
      <c r="B80" s="66"/>
      <c r="C80" s="67" t="s">
        <v>165</v>
      </c>
      <c r="D80" s="38" t="s">
        <v>12</v>
      </c>
      <c r="E80" s="64">
        <v>1000</v>
      </c>
      <c r="F80" s="64"/>
      <c r="G80" s="64">
        <f>SUM(E80:F80)</f>
        <v>1000</v>
      </c>
      <c r="H80" s="64"/>
      <c r="I80" s="64">
        <f>SUM(G80:H80)</f>
        <v>1000</v>
      </c>
      <c r="J80" s="130"/>
      <c r="K80" s="130"/>
    </row>
    <row r="81" spans="1:11" s="24" customFormat="1" ht="22.5" customHeight="1">
      <c r="A81" s="65"/>
      <c r="B81" s="66">
        <v>80148</v>
      </c>
      <c r="C81" s="67"/>
      <c r="D81" s="59" t="s">
        <v>251</v>
      </c>
      <c r="E81" s="64">
        <f>SUM(E82:E83)</f>
        <v>123702</v>
      </c>
      <c r="F81" s="64">
        <f>SUM(F82:F83)</f>
        <v>0</v>
      </c>
      <c r="G81" s="64">
        <f>SUM(G82:G83)</f>
        <v>123702</v>
      </c>
      <c r="H81" s="64">
        <f>SUM(H82:H83)</f>
        <v>0</v>
      </c>
      <c r="I81" s="64">
        <f>SUM(I82:I83)</f>
        <v>123702</v>
      </c>
      <c r="J81" s="130"/>
      <c r="K81" s="130"/>
    </row>
    <row r="82" spans="1:11" s="24" customFormat="1" ht="22.5" customHeight="1">
      <c r="A82" s="65"/>
      <c r="B82" s="66"/>
      <c r="C82" s="67" t="s">
        <v>195</v>
      </c>
      <c r="D82" s="59" t="s">
        <v>196</v>
      </c>
      <c r="E82" s="64">
        <v>123700</v>
      </c>
      <c r="F82" s="64"/>
      <c r="G82" s="64">
        <f>SUM(E82:F82)</f>
        <v>123700</v>
      </c>
      <c r="H82" s="64"/>
      <c r="I82" s="64">
        <f>SUM(G82:H82)</f>
        <v>123700</v>
      </c>
      <c r="J82" s="130"/>
      <c r="K82" s="130"/>
    </row>
    <row r="83" spans="1:11" s="24" customFormat="1" ht="22.5" customHeight="1">
      <c r="A83" s="65"/>
      <c r="B83" s="66"/>
      <c r="C83" s="67" t="s">
        <v>164</v>
      </c>
      <c r="D83" s="59" t="s">
        <v>11</v>
      </c>
      <c r="E83" s="64">
        <v>2</v>
      </c>
      <c r="F83" s="64"/>
      <c r="G83" s="64">
        <f>SUM(E83:F83)</f>
        <v>2</v>
      </c>
      <c r="H83" s="64"/>
      <c r="I83" s="64">
        <f>SUM(G83:H83)</f>
        <v>2</v>
      </c>
      <c r="J83" s="130"/>
      <c r="K83" s="130"/>
    </row>
    <row r="84" spans="1:11" s="7" customFormat="1" ht="24.75" customHeight="1">
      <c r="A84" s="28" t="s">
        <v>156</v>
      </c>
      <c r="B84" s="3"/>
      <c r="C84" s="4"/>
      <c r="D84" s="29" t="s">
        <v>189</v>
      </c>
      <c r="E84" s="51">
        <f>SUM(E85,E87,E90,E95,E100,E93)</f>
        <v>8336341</v>
      </c>
      <c r="F84" s="51">
        <f>SUM(F85,F87,F90,F95,F100,F93)</f>
        <v>530000</v>
      </c>
      <c r="G84" s="51">
        <f>SUM(G85,G87,G90,G95,G100,G93)</f>
        <v>8866341</v>
      </c>
      <c r="H84" s="51">
        <f>SUM(H85,H87,H90,H95,H100,H93)</f>
        <v>-73</v>
      </c>
      <c r="I84" s="51">
        <f>SUM(I85,I87,I90,I95,I100,I93)</f>
        <v>8866268</v>
      </c>
      <c r="J84" s="132"/>
      <c r="K84" s="132"/>
    </row>
    <row r="85" spans="1:11" s="24" customFormat="1" ht="45">
      <c r="A85" s="65"/>
      <c r="B85" s="44">
        <v>85212</v>
      </c>
      <c r="C85" s="72"/>
      <c r="D85" s="70" t="s">
        <v>275</v>
      </c>
      <c r="E85" s="64">
        <f>SUM(E86:E86)</f>
        <v>6551300</v>
      </c>
      <c r="F85" s="64">
        <f>SUM(F86:F86)</f>
        <v>0</v>
      </c>
      <c r="G85" s="64">
        <f>SUM(G86:G86)</f>
        <v>6551300</v>
      </c>
      <c r="H85" s="64">
        <f>SUM(H86:H86)</f>
        <v>0</v>
      </c>
      <c r="I85" s="64">
        <f>SUM(I86:I86)</f>
        <v>6551300</v>
      </c>
      <c r="J85" s="130"/>
      <c r="K85" s="130"/>
    </row>
    <row r="86" spans="1:11" s="24" customFormat="1" ht="56.25">
      <c r="A86" s="65"/>
      <c r="B86" s="44"/>
      <c r="C86" s="72">
        <v>2010</v>
      </c>
      <c r="D86" s="70" t="s">
        <v>212</v>
      </c>
      <c r="E86" s="64">
        <v>6551300</v>
      </c>
      <c r="F86" s="64"/>
      <c r="G86" s="64">
        <f>SUM(E86:F86)</f>
        <v>6551300</v>
      </c>
      <c r="H86" s="64"/>
      <c r="I86" s="64">
        <f>SUM(G86:H86)</f>
        <v>6551300</v>
      </c>
      <c r="J86" s="130"/>
      <c r="K86" s="130"/>
    </row>
    <row r="87" spans="1:11" s="24" customFormat="1" ht="67.5">
      <c r="A87" s="65"/>
      <c r="B87" s="44">
        <v>85213</v>
      </c>
      <c r="C87" s="73"/>
      <c r="D87" s="70" t="s">
        <v>273</v>
      </c>
      <c r="E87" s="64">
        <f>SUM(E88:E89)</f>
        <v>49134</v>
      </c>
      <c r="F87" s="64">
        <f>SUM(F88:F89)</f>
        <v>0</v>
      </c>
      <c r="G87" s="64">
        <f>SUM(G88:G89)</f>
        <v>49134</v>
      </c>
      <c r="H87" s="64">
        <f>SUM(H88:H89)</f>
        <v>-73</v>
      </c>
      <c r="I87" s="64">
        <f>SUM(I88:I89)</f>
        <v>49061</v>
      </c>
      <c r="J87" s="130"/>
      <c r="K87" s="130"/>
    </row>
    <row r="88" spans="1:11" s="24" customFormat="1" ht="56.25">
      <c r="A88" s="65"/>
      <c r="B88" s="44"/>
      <c r="C88" s="73">
        <v>2010</v>
      </c>
      <c r="D88" s="70" t="s">
        <v>212</v>
      </c>
      <c r="E88" s="64">
        <v>12000</v>
      </c>
      <c r="F88" s="64"/>
      <c r="G88" s="64">
        <f>SUM(E88:F88)</f>
        <v>12000</v>
      </c>
      <c r="H88" s="64">
        <v>-73</v>
      </c>
      <c r="I88" s="64">
        <f>SUM(G88:H88)</f>
        <v>11927</v>
      </c>
      <c r="J88" s="130"/>
      <c r="K88" s="130"/>
    </row>
    <row r="89" spans="1:11" s="24" customFormat="1" ht="33.75">
      <c r="A89" s="65"/>
      <c r="B89" s="44"/>
      <c r="C89" s="67">
        <v>2030</v>
      </c>
      <c r="D89" s="70" t="s">
        <v>213</v>
      </c>
      <c r="E89" s="64">
        <v>37134</v>
      </c>
      <c r="F89" s="64"/>
      <c r="G89" s="64">
        <f>SUM(E89:F89)</f>
        <v>37134</v>
      </c>
      <c r="H89" s="64"/>
      <c r="I89" s="64">
        <f>SUM(G89:H89)</f>
        <v>37134</v>
      </c>
      <c r="J89" s="130"/>
      <c r="K89" s="130"/>
    </row>
    <row r="90" spans="1:11" s="24" customFormat="1" ht="23.25" customHeight="1">
      <c r="A90" s="65"/>
      <c r="B90" s="66" t="s">
        <v>157</v>
      </c>
      <c r="C90" s="73"/>
      <c r="D90" s="70" t="s">
        <v>58</v>
      </c>
      <c r="E90" s="64">
        <f>SUM(E91:E92)</f>
        <v>551695</v>
      </c>
      <c r="F90" s="64">
        <f>SUM(F91:F92)</f>
        <v>0</v>
      </c>
      <c r="G90" s="64">
        <f>SUM(G91:G92)</f>
        <v>551695</v>
      </c>
      <c r="H90" s="64">
        <f>SUM(H91:H92)</f>
        <v>0</v>
      </c>
      <c r="I90" s="64">
        <f>SUM(I91:I92)</f>
        <v>551695</v>
      </c>
      <c r="J90" s="130"/>
      <c r="K90" s="130"/>
    </row>
    <row r="91" spans="1:11" s="24" customFormat="1" ht="20.25" customHeight="1">
      <c r="A91" s="65"/>
      <c r="B91" s="66"/>
      <c r="C91" s="72" t="s">
        <v>195</v>
      </c>
      <c r="D91" s="70" t="s">
        <v>196</v>
      </c>
      <c r="E91" s="64">
        <v>12000</v>
      </c>
      <c r="F91" s="64"/>
      <c r="G91" s="64">
        <f>SUM(E91:F91)</f>
        <v>12000</v>
      </c>
      <c r="H91" s="64"/>
      <c r="I91" s="64">
        <f>SUM(G91:H91)</f>
        <v>12000</v>
      </c>
      <c r="J91" s="130"/>
      <c r="K91" s="130"/>
    </row>
    <row r="92" spans="1:11" s="24" customFormat="1" ht="33.75">
      <c r="A92" s="65"/>
      <c r="B92" s="66"/>
      <c r="C92" s="67">
        <v>2030</v>
      </c>
      <c r="D92" s="70" t="s">
        <v>213</v>
      </c>
      <c r="E92" s="64">
        <v>539695</v>
      </c>
      <c r="F92" s="64"/>
      <c r="G92" s="64">
        <f>SUM(E92:F92)</f>
        <v>539695</v>
      </c>
      <c r="H92" s="64"/>
      <c r="I92" s="64">
        <f>SUM(G92:H92)</f>
        <v>539695</v>
      </c>
      <c r="J92" s="130"/>
      <c r="K92" s="130"/>
    </row>
    <row r="93" spans="1:11" s="24" customFormat="1" ht="21.75" customHeight="1">
      <c r="A93" s="65"/>
      <c r="B93" s="66">
        <v>85216</v>
      </c>
      <c r="C93" s="67"/>
      <c r="D93" s="70" t="s">
        <v>283</v>
      </c>
      <c r="E93" s="64">
        <f>SUM(E94)</f>
        <v>449868</v>
      </c>
      <c r="F93" s="64">
        <f>SUM(F94)</f>
        <v>0</v>
      </c>
      <c r="G93" s="64">
        <f>SUM(G94)</f>
        <v>449868</v>
      </c>
      <c r="H93" s="64">
        <f>SUM(H94)</f>
        <v>0</v>
      </c>
      <c r="I93" s="64">
        <f>SUM(I94)</f>
        <v>449868</v>
      </c>
      <c r="J93" s="130"/>
      <c r="K93" s="130"/>
    </row>
    <row r="94" spans="1:11" s="24" customFormat="1" ht="33.75">
      <c r="A94" s="65"/>
      <c r="B94" s="66"/>
      <c r="C94" s="67">
        <v>2030</v>
      </c>
      <c r="D94" s="70" t="s">
        <v>213</v>
      </c>
      <c r="E94" s="64">
        <v>449868</v>
      </c>
      <c r="F94" s="64"/>
      <c r="G94" s="64">
        <f>SUM(E94:F94)</f>
        <v>449868</v>
      </c>
      <c r="H94" s="64"/>
      <c r="I94" s="64">
        <f>SUM(G94:H94)</f>
        <v>449868</v>
      </c>
      <c r="J94" s="130"/>
      <c r="K94" s="130"/>
    </row>
    <row r="95" spans="1:11" s="24" customFormat="1" ht="24" customHeight="1">
      <c r="A95" s="65"/>
      <c r="B95" s="66" t="s">
        <v>158</v>
      </c>
      <c r="C95" s="73"/>
      <c r="D95" s="70" t="s">
        <v>60</v>
      </c>
      <c r="E95" s="64">
        <f>SUM(E96:E99)</f>
        <v>377449</v>
      </c>
      <c r="F95" s="64">
        <f>SUM(F96:F99)</f>
        <v>0</v>
      </c>
      <c r="G95" s="64">
        <f>SUM(G96:G99)</f>
        <v>377449</v>
      </c>
      <c r="H95" s="64">
        <f>SUM(H96:H99)</f>
        <v>0</v>
      </c>
      <c r="I95" s="64">
        <f>SUM(I96:I99)</f>
        <v>377449</v>
      </c>
      <c r="J95" s="130"/>
      <c r="K95" s="130"/>
    </row>
    <row r="96" spans="1:11" s="24" customFormat="1" ht="67.5">
      <c r="A96" s="65"/>
      <c r="B96" s="66"/>
      <c r="C96" s="72" t="s">
        <v>163</v>
      </c>
      <c r="D96" s="38" t="s">
        <v>57</v>
      </c>
      <c r="E96" s="64">
        <v>2800</v>
      </c>
      <c r="F96" s="64"/>
      <c r="G96" s="64">
        <f>SUM(E96:F96)</f>
        <v>2800</v>
      </c>
      <c r="H96" s="64"/>
      <c r="I96" s="64">
        <f>SUM(G96:H96)</f>
        <v>2800</v>
      </c>
      <c r="J96" s="130"/>
      <c r="K96" s="130"/>
    </row>
    <row r="97" spans="1:11" s="24" customFormat="1" ht="21.75" customHeight="1">
      <c r="A97" s="65"/>
      <c r="B97" s="66"/>
      <c r="C97" s="72" t="s">
        <v>164</v>
      </c>
      <c r="D97" s="70" t="s">
        <v>11</v>
      </c>
      <c r="E97" s="64">
        <v>200</v>
      </c>
      <c r="F97" s="64"/>
      <c r="G97" s="64">
        <f>SUM(E97:F97)</f>
        <v>200</v>
      </c>
      <c r="H97" s="64"/>
      <c r="I97" s="64">
        <f>SUM(G97:H97)</f>
        <v>200</v>
      </c>
      <c r="J97" s="130"/>
      <c r="K97" s="130"/>
    </row>
    <row r="98" spans="1:11" s="24" customFormat="1" ht="21.75" customHeight="1">
      <c r="A98" s="65"/>
      <c r="B98" s="66"/>
      <c r="C98" s="72" t="s">
        <v>165</v>
      </c>
      <c r="D98" s="38" t="s">
        <v>12</v>
      </c>
      <c r="E98" s="64">
        <v>150</v>
      </c>
      <c r="F98" s="64"/>
      <c r="G98" s="64">
        <f>SUM(E98:F98)</f>
        <v>150</v>
      </c>
      <c r="H98" s="64"/>
      <c r="I98" s="64">
        <f>SUM(G98:H98)</f>
        <v>150</v>
      </c>
      <c r="J98" s="130"/>
      <c r="K98" s="130"/>
    </row>
    <row r="99" spans="1:11" s="24" customFormat="1" ht="33.75">
      <c r="A99" s="65"/>
      <c r="B99" s="66"/>
      <c r="C99" s="67">
        <v>2030</v>
      </c>
      <c r="D99" s="70" t="s">
        <v>213</v>
      </c>
      <c r="E99" s="64">
        <v>374299</v>
      </c>
      <c r="F99" s="64"/>
      <c r="G99" s="64">
        <f>SUM(E99:F99)</f>
        <v>374299</v>
      </c>
      <c r="H99" s="64"/>
      <c r="I99" s="64">
        <f>SUM(G99:H99)</f>
        <v>374299</v>
      </c>
      <c r="J99" s="130"/>
      <c r="K99" s="130"/>
    </row>
    <row r="100" spans="1:11" s="24" customFormat="1" ht="24" customHeight="1">
      <c r="A100" s="65"/>
      <c r="B100" s="66">
        <v>85295</v>
      </c>
      <c r="C100" s="67"/>
      <c r="D100" s="70" t="s">
        <v>202</v>
      </c>
      <c r="E100" s="64">
        <f>SUM(E101:E102)</f>
        <v>356895</v>
      </c>
      <c r="F100" s="64">
        <f>SUM(F101:F102)</f>
        <v>530000</v>
      </c>
      <c r="G100" s="64">
        <f>SUM(G101:G102)</f>
        <v>886895</v>
      </c>
      <c r="H100" s="64">
        <f>SUM(H101:H102)</f>
        <v>0</v>
      </c>
      <c r="I100" s="64">
        <f>SUM(I101:I102)</f>
        <v>886895</v>
      </c>
      <c r="J100" s="130"/>
      <c r="K100" s="130"/>
    </row>
    <row r="101" spans="1:11" s="24" customFormat="1" ht="24" customHeight="1">
      <c r="A101" s="65"/>
      <c r="B101" s="66"/>
      <c r="C101" s="72" t="s">
        <v>195</v>
      </c>
      <c r="D101" s="70" t="s">
        <v>196</v>
      </c>
      <c r="E101" s="64">
        <v>356895</v>
      </c>
      <c r="F101" s="64"/>
      <c r="G101" s="64">
        <f>SUM(E101:F101)</f>
        <v>356895</v>
      </c>
      <c r="H101" s="64"/>
      <c r="I101" s="64">
        <f>SUM(G101:H101)</f>
        <v>356895</v>
      </c>
      <c r="J101" s="130"/>
      <c r="K101" s="130"/>
    </row>
    <row r="102" spans="1:11" s="24" customFormat="1" ht="33.75">
      <c r="A102" s="65"/>
      <c r="B102" s="66"/>
      <c r="C102" s="72">
        <v>2030</v>
      </c>
      <c r="D102" s="70" t="s">
        <v>213</v>
      </c>
      <c r="E102" s="64">
        <v>0</v>
      </c>
      <c r="F102" s="64">
        <v>530000</v>
      </c>
      <c r="G102" s="64">
        <f>SUM(E102:F102)</f>
        <v>530000</v>
      </c>
      <c r="H102" s="64"/>
      <c r="I102" s="64">
        <f>SUM(G102:H102)</f>
        <v>530000</v>
      </c>
      <c r="J102" s="130"/>
      <c r="K102" s="130"/>
    </row>
    <row r="103" spans="1:11" s="8" customFormat="1" ht="24" customHeight="1">
      <c r="A103" s="28">
        <v>900</v>
      </c>
      <c r="B103" s="31"/>
      <c r="C103" s="32"/>
      <c r="D103" s="29" t="s">
        <v>63</v>
      </c>
      <c r="E103" s="51">
        <f>SUM(E106,E104)</f>
        <v>16000</v>
      </c>
      <c r="F103" s="51">
        <f>SUM(F106,F104)</f>
        <v>0</v>
      </c>
      <c r="G103" s="51">
        <f>SUM(G106,G104)</f>
        <v>16000</v>
      </c>
      <c r="H103" s="51">
        <f>SUM(H106,H104)</f>
        <v>0</v>
      </c>
      <c r="I103" s="51">
        <f>SUM(I106,I104)</f>
        <v>16000</v>
      </c>
      <c r="J103" s="23"/>
      <c r="K103" s="23"/>
    </row>
    <row r="104" spans="1:11" s="137" customFormat="1" ht="24" customHeight="1">
      <c r="A104" s="138"/>
      <c r="B104" s="139">
        <v>90001</v>
      </c>
      <c r="C104" s="140"/>
      <c r="D104" s="38" t="s">
        <v>64</v>
      </c>
      <c r="E104" s="64">
        <f>SUM(E105)</f>
        <v>10000</v>
      </c>
      <c r="F104" s="64">
        <f>SUM(F105)</f>
        <v>0</v>
      </c>
      <c r="G104" s="64">
        <f>SUM(G105)</f>
        <v>10000</v>
      </c>
      <c r="H104" s="64">
        <f>SUM(H105)</f>
        <v>0</v>
      </c>
      <c r="I104" s="64">
        <f>SUM(I105)</f>
        <v>10000</v>
      </c>
      <c r="J104" s="141"/>
      <c r="K104" s="141"/>
    </row>
    <row r="105" spans="1:11" s="137" customFormat="1" ht="24" customHeight="1">
      <c r="A105" s="142"/>
      <c r="B105" s="143"/>
      <c r="C105" s="72" t="s">
        <v>165</v>
      </c>
      <c r="D105" s="70" t="s">
        <v>12</v>
      </c>
      <c r="E105" s="64">
        <v>10000</v>
      </c>
      <c r="F105" s="64"/>
      <c r="G105" s="64">
        <f>SUM(E105:F105)</f>
        <v>10000</v>
      </c>
      <c r="H105" s="64"/>
      <c r="I105" s="64">
        <f>SUM(G105:H105)</f>
        <v>10000</v>
      </c>
      <c r="J105" s="141"/>
      <c r="K105" s="141"/>
    </row>
    <row r="106" spans="1:11" s="24" customFormat="1" ht="24" customHeight="1">
      <c r="A106" s="65"/>
      <c r="B106" s="66">
        <v>90095</v>
      </c>
      <c r="C106" s="67"/>
      <c r="D106" s="70" t="s">
        <v>6</v>
      </c>
      <c r="E106" s="64">
        <f>SUM(E107)</f>
        <v>6000</v>
      </c>
      <c r="F106" s="64">
        <f>SUM(F107)</f>
        <v>0</v>
      </c>
      <c r="G106" s="64">
        <f>SUM(G107)</f>
        <v>6000</v>
      </c>
      <c r="H106" s="64">
        <f>SUM(H107)</f>
        <v>0</v>
      </c>
      <c r="I106" s="64">
        <f>SUM(I107)</f>
        <v>6000</v>
      </c>
      <c r="J106" s="130"/>
      <c r="K106" s="130"/>
    </row>
    <row r="107" spans="1:11" s="24" customFormat="1" ht="21.75" customHeight="1">
      <c r="A107" s="65"/>
      <c r="B107" s="66"/>
      <c r="C107" s="67" t="s">
        <v>179</v>
      </c>
      <c r="D107" s="70" t="s">
        <v>250</v>
      </c>
      <c r="E107" s="64">
        <v>6000</v>
      </c>
      <c r="F107" s="64"/>
      <c r="G107" s="64">
        <f>SUM(E107:F107)</f>
        <v>6000</v>
      </c>
      <c r="H107" s="64"/>
      <c r="I107" s="64">
        <f>SUM(G107:H107)</f>
        <v>6000</v>
      </c>
      <c r="J107" s="130"/>
      <c r="K107" s="130"/>
    </row>
    <row r="108" spans="1:11" s="8" customFormat="1" ht="24" customHeight="1">
      <c r="A108" s="28" t="s">
        <v>65</v>
      </c>
      <c r="B108" s="3"/>
      <c r="C108" s="4"/>
      <c r="D108" s="29" t="s">
        <v>71</v>
      </c>
      <c r="E108" s="51">
        <f aca="true" t="shared" si="5" ref="E108:I109">SUM(E109)</f>
        <v>60000</v>
      </c>
      <c r="F108" s="51">
        <f t="shared" si="5"/>
        <v>0</v>
      </c>
      <c r="G108" s="51">
        <f t="shared" si="5"/>
        <v>60000</v>
      </c>
      <c r="H108" s="51">
        <f t="shared" si="5"/>
        <v>0</v>
      </c>
      <c r="I108" s="51">
        <f t="shared" si="5"/>
        <v>60000</v>
      </c>
      <c r="J108" s="23"/>
      <c r="K108" s="23"/>
    </row>
    <row r="109" spans="1:11" s="24" customFormat="1" ht="24" customHeight="1">
      <c r="A109" s="65"/>
      <c r="B109" s="66" t="s">
        <v>66</v>
      </c>
      <c r="C109" s="73"/>
      <c r="D109" s="70" t="s">
        <v>67</v>
      </c>
      <c r="E109" s="64">
        <f t="shared" si="5"/>
        <v>60000</v>
      </c>
      <c r="F109" s="64">
        <f t="shared" si="5"/>
        <v>0</v>
      </c>
      <c r="G109" s="64">
        <f t="shared" si="5"/>
        <v>60000</v>
      </c>
      <c r="H109" s="64">
        <f t="shared" si="5"/>
        <v>0</v>
      </c>
      <c r="I109" s="64">
        <f t="shared" si="5"/>
        <v>60000</v>
      </c>
      <c r="J109" s="130"/>
      <c r="K109" s="130"/>
    </row>
    <row r="110" spans="1:11" s="24" customFormat="1" ht="45">
      <c r="A110" s="66"/>
      <c r="B110" s="66"/>
      <c r="C110" s="67">
        <v>2320</v>
      </c>
      <c r="D110" s="70" t="s">
        <v>214</v>
      </c>
      <c r="E110" s="64">
        <v>60000</v>
      </c>
      <c r="F110" s="64"/>
      <c r="G110" s="64">
        <f>SUM(E110:F110)</f>
        <v>60000</v>
      </c>
      <c r="H110" s="64"/>
      <c r="I110" s="64">
        <f>SUM(G110:H110)</f>
        <v>60000</v>
      </c>
      <c r="J110" s="130"/>
      <c r="K110" s="130"/>
    </row>
    <row r="111" spans="1:9" ht="26.25" customHeight="1">
      <c r="A111" s="14"/>
      <c r="B111" s="15"/>
      <c r="C111" s="16"/>
      <c r="D111" s="17" t="s">
        <v>70</v>
      </c>
      <c r="E111" s="51">
        <f>SUM(E7,E11,E18,E23,E26,E30,E58,E84,E103,E108,E67)</f>
        <v>57140821</v>
      </c>
      <c r="F111" s="51">
        <f>SUM(F7,F11,F18,F23,F26,F30,F58,F84,F103,F108,F67)</f>
        <v>530000</v>
      </c>
      <c r="G111" s="51">
        <f>SUM(E111:F111)</f>
        <v>57670821</v>
      </c>
      <c r="H111" s="51">
        <f>SUM(H7,H11,H18,H23,H26,H30,H58,H84,H103,H108,H67)</f>
        <v>-73</v>
      </c>
      <c r="I111" s="51">
        <f>SUM(G111:H111)</f>
        <v>57670748</v>
      </c>
    </row>
    <row r="113" ht="12.75">
      <c r="D113" s="95"/>
    </row>
    <row r="114" ht="12.75">
      <c r="D114" s="95"/>
    </row>
    <row r="115" ht="12.75">
      <c r="D115" s="95"/>
    </row>
    <row r="116" ht="12.75">
      <c r="D116" s="95"/>
    </row>
    <row r="117" ht="12.75">
      <c r="D117" s="95"/>
    </row>
    <row r="118" ht="12.75">
      <c r="D118" s="95"/>
    </row>
    <row r="119" ht="12.75">
      <c r="D119" s="95"/>
    </row>
    <row r="120" ht="12.75">
      <c r="D120" s="95"/>
    </row>
    <row r="121" ht="12.75">
      <c r="D121" s="95"/>
    </row>
    <row r="122" ht="12.75">
      <c r="D122" s="95"/>
    </row>
    <row r="123" ht="12.75">
      <c r="D123" s="95"/>
    </row>
    <row r="124" ht="12.75">
      <c r="D124" s="95"/>
    </row>
    <row r="125" ht="12.75">
      <c r="D125" s="95"/>
    </row>
    <row r="126" ht="12.75">
      <c r="D126" s="95"/>
    </row>
    <row r="127" spans="4:9" ht="12.75">
      <c r="D127" s="95"/>
      <c r="E127" s="46"/>
      <c r="F127" s="46"/>
      <c r="G127" s="46"/>
      <c r="H127" s="46"/>
      <c r="I127" s="46"/>
    </row>
    <row r="128" ht="12.75">
      <c r="D128" s="95"/>
    </row>
    <row r="129" ht="12.75">
      <c r="D129" s="95"/>
    </row>
    <row r="130" ht="12.75">
      <c r="D130" s="95"/>
    </row>
    <row r="131" ht="12.75">
      <c r="D131" s="95"/>
    </row>
    <row r="132" ht="12.75">
      <c r="D132" s="95"/>
    </row>
    <row r="133" spans="4:9" ht="12.75">
      <c r="D133" s="95"/>
      <c r="E133" s="46"/>
      <c r="F133" s="46"/>
      <c r="G133" s="46"/>
      <c r="H133" s="46"/>
      <c r="I133" s="46"/>
    </row>
    <row r="134" ht="12.75">
      <c r="D134" s="95"/>
    </row>
    <row r="135" ht="12.75">
      <c r="D135" s="95"/>
    </row>
    <row r="136" ht="12.75">
      <c r="D136" s="95"/>
    </row>
    <row r="137" ht="12.75">
      <c r="D137" s="95"/>
    </row>
    <row r="138" ht="12.75">
      <c r="D138" s="95"/>
    </row>
    <row r="139" ht="12.75">
      <c r="D139" s="94"/>
    </row>
    <row r="152" spans="5:9" ht="12.75">
      <c r="E152" s="46"/>
      <c r="F152" s="46"/>
      <c r="G152" s="46"/>
      <c r="H152" s="46"/>
      <c r="I152" s="46"/>
    </row>
    <row r="153" spans="5:9" ht="12.75">
      <c r="E153" s="46"/>
      <c r="F153" s="46"/>
      <c r="G153" s="46"/>
      <c r="H153" s="46"/>
      <c r="I153" s="46"/>
    </row>
  </sheetData>
  <sheetProtection/>
  <printOptions horizontalCentered="1"/>
  <pageMargins left="0.33" right="0.4" top="0.7874015748031497" bottom="0.5905511811023623" header="0.5118110236220472" footer="0.31496062992125984"/>
  <pageSetup firstPageNumber="1" useFirstPageNumber="1" horizontalDpi="600" verticalDpi="600" orientation="portrait" paperSize="9" r:id="rId1"/>
  <headerFooter alignWithMargins="0">
    <oddFooter>&amp;C&amp;8Dochody - str.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646"/>
  <sheetViews>
    <sheetView zoomScalePageLayoutView="0" workbookViewId="0" topLeftCell="A427">
      <selection activeCell="P17" sqref="P17"/>
    </sheetView>
  </sheetViews>
  <sheetFormatPr defaultColWidth="9.00390625" defaultRowHeight="12.75"/>
  <cols>
    <col min="1" max="1" width="4.75390625" style="8" bestFit="1" customWidth="1"/>
    <col min="2" max="2" width="7.25390625" style="8" bestFit="1" customWidth="1"/>
    <col min="3" max="3" width="4.375" style="8" bestFit="1" customWidth="1"/>
    <col min="4" max="4" width="33.375" style="8" customWidth="1"/>
    <col min="5" max="5" width="0.12890625" style="27" hidden="1" customWidth="1"/>
    <col min="6" max="6" width="11.25390625" style="27" hidden="1" customWidth="1"/>
    <col min="7" max="8" width="14.875" style="27" hidden="1" customWidth="1"/>
    <col min="9" max="9" width="14.125" style="27" customWidth="1"/>
    <col min="10" max="10" width="14.875" style="27" customWidth="1"/>
    <col min="11" max="11" width="14.125" style="27" customWidth="1"/>
    <col min="12" max="12" width="16.875" style="0" customWidth="1"/>
    <col min="13" max="13" width="3.125" style="0" customWidth="1"/>
    <col min="14" max="14" width="7.25390625" style="0" customWidth="1"/>
    <col min="15" max="15" width="6.375" style="0" customWidth="1"/>
    <col min="16" max="16" width="5.875" style="0" customWidth="1"/>
    <col min="17" max="17" width="10.375" style="0" customWidth="1"/>
    <col min="19" max="19" width="10.00390625" style="0" bestFit="1" customWidth="1"/>
  </cols>
  <sheetData>
    <row r="1" spans="1:11" ht="12.75">
      <c r="A1" s="99"/>
      <c r="B1" s="99"/>
      <c r="C1" s="99"/>
      <c r="D1" s="99"/>
      <c r="E1" s="50"/>
      <c r="F1" s="50"/>
      <c r="G1" s="50" t="s">
        <v>313</v>
      </c>
      <c r="H1" s="50"/>
      <c r="I1" s="50" t="s">
        <v>330</v>
      </c>
      <c r="J1" s="50"/>
      <c r="K1" s="50"/>
    </row>
    <row r="2" spans="1:11" ht="12.75">
      <c r="A2" s="99"/>
      <c r="B2" s="99"/>
      <c r="C2" s="99"/>
      <c r="D2" s="99"/>
      <c r="E2" s="50"/>
      <c r="F2" s="50"/>
      <c r="G2" s="50" t="s">
        <v>310</v>
      </c>
      <c r="H2" s="50"/>
      <c r="I2" s="50" t="s">
        <v>329</v>
      </c>
      <c r="J2" s="50"/>
      <c r="K2" s="50"/>
    </row>
    <row r="3" spans="1:11" ht="12.75">
      <c r="A3" s="99"/>
      <c r="B3" s="99"/>
      <c r="C3" s="99"/>
      <c r="D3" s="99"/>
      <c r="E3" s="50"/>
      <c r="F3" s="50"/>
      <c r="G3" s="50" t="s">
        <v>314</v>
      </c>
      <c r="H3" s="50"/>
      <c r="I3" s="50" t="s">
        <v>313</v>
      </c>
      <c r="J3" s="50"/>
      <c r="K3" s="50"/>
    </row>
    <row r="4" spans="1:11" ht="12.75">
      <c r="A4" s="99"/>
      <c r="B4" s="99"/>
      <c r="C4" s="99"/>
      <c r="D4" s="99"/>
      <c r="E4" s="50"/>
      <c r="F4" s="50"/>
      <c r="G4" s="50" t="s">
        <v>312</v>
      </c>
      <c r="H4" s="50"/>
      <c r="I4" s="50" t="s">
        <v>317</v>
      </c>
      <c r="J4" s="50"/>
      <c r="K4" s="50"/>
    </row>
    <row r="5" spans="1:11" ht="21" customHeight="1">
      <c r="A5" s="197" t="s">
        <v>295</v>
      </c>
      <c r="B5" s="197"/>
      <c r="C5" s="197"/>
      <c r="D5" s="197"/>
      <c r="E5" s="197"/>
      <c r="F5" s="197"/>
      <c r="G5" s="197"/>
      <c r="H5" s="197"/>
      <c r="I5" s="197"/>
      <c r="J5"/>
      <c r="K5"/>
    </row>
    <row r="6" spans="1:11" s="8" customFormat="1" ht="24.75" customHeight="1">
      <c r="A6" s="35" t="s">
        <v>0</v>
      </c>
      <c r="B6" s="35" t="s">
        <v>1</v>
      </c>
      <c r="C6" s="35" t="s">
        <v>2</v>
      </c>
      <c r="D6" s="35" t="s">
        <v>3</v>
      </c>
      <c r="E6" s="52" t="s">
        <v>144</v>
      </c>
      <c r="F6" s="52" t="s">
        <v>302</v>
      </c>
      <c r="G6" s="52" t="s">
        <v>144</v>
      </c>
      <c r="H6" s="52" t="s">
        <v>302</v>
      </c>
      <c r="I6" s="195" t="s">
        <v>334</v>
      </c>
      <c r="J6" s="52" t="s">
        <v>302</v>
      </c>
      <c r="K6" s="195" t="s">
        <v>306</v>
      </c>
    </row>
    <row r="7" spans="1:11" s="11" customFormat="1" ht="21" customHeight="1">
      <c r="A7" s="33" t="s">
        <v>4</v>
      </c>
      <c r="B7" s="53"/>
      <c r="C7" s="54"/>
      <c r="D7" s="36" t="s">
        <v>5</v>
      </c>
      <c r="E7" s="37">
        <f aca="true" t="shared" si="0" ref="E7:K7">SUM(E8,E10,E12)</f>
        <v>302600</v>
      </c>
      <c r="F7" s="37">
        <f t="shared" si="0"/>
        <v>25000</v>
      </c>
      <c r="G7" s="37">
        <f t="shared" si="0"/>
        <v>327600</v>
      </c>
      <c r="H7" s="37">
        <f t="shared" si="0"/>
        <v>0</v>
      </c>
      <c r="I7" s="37">
        <f t="shared" si="0"/>
        <v>327600</v>
      </c>
      <c r="J7" s="37">
        <f t="shared" si="0"/>
        <v>0</v>
      </c>
      <c r="K7" s="37">
        <f t="shared" si="0"/>
        <v>327600</v>
      </c>
    </row>
    <row r="8" spans="1:11" s="137" customFormat="1" ht="21" customHeight="1">
      <c r="A8" s="161"/>
      <c r="B8" s="162" t="s">
        <v>284</v>
      </c>
      <c r="C8" s="163"/>
      <c r="D8" s="164" t="s">
        <v>285</v>
      </c>
      <c r="E8" s="74">
        <f aca="true" t="shared" si="1" ref="E8:K8">SUM(E9)</f>
        <v>45000</v>
      </c>
      <c r="F8" s="74">
        <f t="shared" si="1"/>
        <v>0</v>
      </c>
      <c r="G8" s="74">
        <f t="shared" si="1"/>
        <v>45000</v>
      </c>
      <c r="H8" s="74">
        <f t="shared" si="1"/>
        <v>0</v>
      </c>
      <c r="I8" s="74">
        <f t="shared" si="1"/>
        <v>45000</v>
      </c>
      <c r="J8" s="74">
        <f t="shared" si="1"/>
        <v>0</v>
      </c>
      <c r="K8" s="74">
        <f t="shared" si="1"/>
        <v>45000</v>
      </c>
    </row>
    <row r="9" spans="1:19" s="137" customFormat="1" ht="48">
      <c r="A9" s="161"/>
      <c r="B9" s="165"/>
      <c r="C9" s="163">
        <v>2830</v>
      </c>
      <c r="D9" s="164" t="s">
        <v>300</v>
      </c>
      <c r="E9" s="74">
        <v>45000</v>
      </c>
      <c r="F9" s="74"/>
      <c r="G9" s="74">
        <f>SUM(E9:F9)</f>
        <v>45000</v>
      </c>
      <c r="H9" s="74"/>
      <c r="I9" s="74">
        <f>SUM(G9:H9)</f>
        <v>45000</v>
      </c>
      <c r="J9" s="74"/>
      <c r="K9" s="74">
        <f>SUM(I9:J9)</f>
        <v>45000</v>
      </c>
      <c r="Q9" s="194"/>
      <c r="R9" s="194"/>
      <c r="S9" s="194"/>
    </row>
    <row r="10" spans="1:11" s="24" customFormat="1" ht="21" customHeight="1">
      <c r="A10" s="60"/>
      <c r="B10" s="75" t="s">
        <v>72</v>
      </c>
      <c r="C10" s="63"/>
      <c r="D10" s="38" t="s">
        <v>73</v>
      </c>
      <c r="E10" s="74">
        <f aca="true" t="shared" si="2" ref="E10:K10">SUM(E11)</f>
        <v>7600</v>
      </c>
      <c r="F10" s="74">
        <f t="shared" si="2"/>
        <v>0</v>
      </c>
      <c r="G10" s="74">
        <f t="shared" si="2"/>
        <v>7600</v>
      </c>
      <c r="H10" s="74">
        <f t="shared" si="2"/>
        <v>0</v>
      </c>
      <c r="I10" s="74">
        <f t="shared" si="2"/>
        <v>7600</v>
      </c>
      <c r="J10" s="74">
        <f t="shared" si="2"/>
        <v>0</v>
      </c>
      <c r="K10" s="74">
        <f t="shared" si="2"/>
        <v>7600</v>
      </c>
    </row>
    <row r="11" spans="1:11" s="24" customFormat="1" ht="36">
      <c r="A11" s="76"/>
      <c r="B11" s="77"/>
      <c r="C11" s="63">
        <v>2850</v>
      </c>
      <c r="D11" s="38" t="s">
        <v>307</v>
      </c>
      <c r="E11" s="74">
        <v>7600</v>
      </c>
      <c r="F11" s="74"/>
      <c r="G11" s="74">
        <f>SUM(E11:F11)</f>
        <v>7600</v>
      </c>
      <c r="H11" s="74"/>
      <c r="I11" s="74">
        <f>SUM(G11:H11)</f>
        <v>7600</v>
      </c>
      <c r="J11" s="74"/>
      <c r="K11" s="74">
        <f>SUM(I11:J11)</f>
        <v>7600</v>
      </c>
    </row>
    <row r="12" spans="1:11" s="24" customFormat="1" ht="24" customHeight="1">
      <c r="A12" s="76"/>
      <c r="B12" s="77" t="s">
        <v>290</v>
      </c>
      <c r="C12" s="63"/>
      <c r="D12" s="38" t="s">
        <v>292</v>
      </c>
      <c r="E12" s="74">
        <f aca="true" t="shared" si="3" ref="E12:K12">SUM(E13)</f>
        <v>250000</v>
      </c>
      <c r="F12" s="74">
        <f t="shared" si="3"/>
        <v>25000</v>
      </c>
      <c r="G12" s="74">
        <f t="shared" si="3"/>
        <v>275000</v>
      </c>
      <c r="H12" s="74">
        <f t="shared" si="3"/>
        <v>0</v>
      </c>
      <c r="I12" s="74">
        <f t="shared" si="3"/>
        <v>275000</v>
      </c>
      <c r="J12" s="74">
        <f t="shared" si="3"/>
        <v>0</v>
      </c>
      <c r="K12" s="74">
        <f t="shared" si="3"/>
        <v>275000</v>
      </c>
    </row>
    <row r="13" spans="1:11" s="24" customFormat="1" ht="24" customHeight="1">
      <c r="A13" s="76"/>
      <c r="B13" s="77"/>
      <c r="C13" s="63">
        <v>4300</v>
      </c>
      <c r="D13" s="38" t="s">
        <v>81</v>
      </c>
      <c r="E13" s="74">
        <v>250000</v>
      </c>
      <c r="F13" s="74">
        <v>25000</v>
      </c>
      <c r="G13" s="74">
        <f>SUM(E13:F13)</f>
        <v>275000</v>
      </c>
      <c r="H13" s="74"/>
      <c r="I13" s="74">
        <f>SUM(G13:H13)</f>
        <v>275000</v>
      </c>
      <c r="J13" s="74"/>
      <c r="K13" s="74">
        <f>SUM(I13:J13)</f>
        <v>275000</v>
      </c>
    </row>
    <row r="14" spans="1:11" s="7" customFormat="1" ht="21" customHeight="1">
      <c r="A14" s="33" t="s">
        <v>76</v>
      </c>
      <c r="B14" s="34"/>
      <c r="C14" s="35"/>
      <c r="D14" s="36" t="s">
        <v>77</v>
      </c>
      <c r="E14" s="37">
        <f aca="true" t="shared" si="4" ref="E14:K14">E15</f>
        <v>1046197</v>
      </c>
      <c r="F14" s="37">
        <f t="shared" si="4"/>
        <v>1460000</v>
      </c>
      <c r="G14" s="37">
        <f t="shared" si="4"/>
        <v>2506197</v>
      </c>
      <c r="H14" s="37">
        <f t="shared" si="4"/>
        <v>0</v>
      </c>
      <c r="I14" s="37">
        <f t="shared" si="4"/>
        <v>2506197</v>
      </c>
      <c r="J14" s="37">
        <f t="shared" si="4"/>
        <v>0</v>
      </c>
      <c r="K14" s="37">
        <f t="shared" si="4"/>
        <v>2506197</v>
      </c>
    </row>
    <row r="15" spans="1:11" s="24" customFormat="1" ht="21" customHeight="1">
      <c r="A15" s="60"/>
      <c r="B15" s="75" t="s">
        <v>78</v>
      </c>
      <c r="C15" s="79"/>
      <c r="D15" s="38" t="s">
        <v>79</v>
      </c>
      <c r="E15" s="74">
        <f aca="true" t="shared" si="5" ref="E15:K15">SUM(E16:E19)</f>
        <v>1046197</v>
      </c>
      <c r="F15" s="74">
        <f t="shared" si="5"/>
        <v>1460000</v>
      </c>
      <c r="G15" s="74">
        <f t="shared" si="5"/>
        <v>2506197</v>
      </c>
      <c r="H15" s="74">
        <f t="shared" si="5"/>
        <v>0</v>
      </c>
      <c r="I15" s="74">
        <f t="shared" si="5"/>
        <v>2506197</v>
      </c>
      <c r="J15" s="74">
        <f t="shared" si="5"/>
        <v>0</v>
      </c>
      <c r="K15" s="74">
        <f t="shared" si="5"/>
        <v>2506197</v>
      </c>
    </row>
    <row r="16" spans="1:11" s="24" customFormat="1" ht="21" customHeight="1">
      <c r="A16" s="60"/>
      <c r="B16" s="80"/>
      <c r="C16" s="60">
        <v>4210</v>
      </c>
      <c r="D16" s="38" t="s">
        <v>74</v>
      </c>
      <c r="E16" s="74">
        <f>19527+28019</f>
        <v>47546</v>
      </c>
      <c r="F16" s="74"/>
      <c r="G16" s="74">
        <f>SUM(E16:F16)</f>
        <v>47546</v>
      </c>
      <c r="H16" s="74"/>
      <c r="I16" s="74">
        <f>SUM(G16:H16)</f>
        <v>47546</v>
      </c>
      <c r="J16" s="74"/>
      <c r="K16" s="74">
        <f>SUM(I16:J16)</f>
        <v>47546</v>
      </c>
    </row>
    <row r="17" spans="1:11" s="24" customFormat="1" ht="21" customHeight="1">
      <c r="A17" s="60"/>
      <c r="B17" s="80"/>
      <c r="C17" s="60">
        <v>4270</v>
      </c>
      <c r="D17" s="38" t="s">
        <v>80</v>
      </c>
      <c r="E17" s="74">
        <f>250000+13800</f>
        <v>263800</v>
      </c>
      <c r="F17" s="74"/>
      <c r="G17" s="74">
        <f>SUM(E17:F17)</f>
        <v>263800</v>
      </c>
      <c r="H17" s="74"/>
      <c r="I17" s="74">
        <f>SUM(G17:H17)</f>
        <v>263800</v>
      </c>
      <c r="J17" s="74"/>
      <c r="K17" s="74">
        <f>SUM(I17:J17)</f>
        <v>263800</v>
      </c>
    </row>
    <row r="18" spans="1:11" s="24" customFormat="1" ht="21" customHeight="1">
      <c r="A18" s="60"/>
      <c r="B18" s="80"/>
      <c r="C18" s="60">
        <v>4300</v>
      </c>
      <c r="D18" s="38" t="s">
        <v>81</v>
      </c>
      <c r="E18" s="74">
        <f>245000+1200+19351</f>
        <v>265551</v>
      </c>
      <c r="F18" s="74">
        <v>20000</v>
      </c>
      <c r="G18" s="74">
        <f>SUM(E18:F18)</f>
        <v>285551</v>
      </c>
      <c r="H18" s="74"/>
      <c r="I18" s="74">
        <f>SUM(G18:H18)</f>
        <v>285551</v>
      </c>
      <c r="J18" s="74"/>
      <c r="K18" s="74">
        <f>SUM(I18:J18)</f>
        <v>285551</v>
      </c>
    </row>
    <row r="19" spans="1:16" s="24" customFormat="1" ht="24">
      <c r="A19" s="60"/>
      <c r="B19" s="80"/>
      <c r="C19" s="60">
        <v>6050</v>
      </c>
      <c r="D19" s="38" t="s">
        <v>75</v>
      </c>
      <c r="E19" s="74">
        <f>6300+13000+450000</f>
        <v>469300</v>
      </c>
      <c r="F19" s="74">
        <f>-100000+500000+30000+500000+500000+10000</f>
        <v>1440000</v>
      </c>
      <c r="G19" s="74">
        <f>SUM(E19:F19)</f>
        <v>1909300</v>
      </c>
      <c r="H19" s="74"/>
      <c r="I19" s="74">
        <f>SUM(G19:H19)</f>
        <v>1909300</v>
      </c>
      <c r="J19" s="74"/>
      <c r="K19" s="74">
        <f>SUM(I19:J19)</f>
        <v>1909300</v>
      </c>
      <c r="N19" s="112"/>
      <c r="O19" s="112"/>
      <c r="P19" s="112"/>
    </row>
    <row r="20" spans="1:11" s="7" customFormat="1" ht="21" customHeight="1">
      <c r="A20" s="33" t="s">
        <v>8</v>
      </c>
      <c r="B20" s="34"/>
      <c r="C20" s="35"/>
      <c r="D20" s="36" t="s">
        <v>9</v>
      </c>
      <c r="E20" s="37">
        <f aca="true" t="shared" si="6" ref="E20:K20">SUM(E21,E23,E35)</f>
        <v>2992517</v>
      </c>
      <c r="F20" s="37">
        <f t="shared" si="6"/>
        <v>-700000</v>
      </c>
      <c r="G20" s="37">
        <f t="shared" si="6"/>
        <v>2292517</v>
      </c>
      <c r="H20" s="37">
        <f t="shared" si="6"/>
        <v>0</v>
      </c>
      <c r="I20" s="37">
        <f t="shared" si="6"/>
        <v>2292517</v>
      </c>
      <c r="J20" s="37">
        <f t="shared" si="6"/>
        <v>0</v>
      </c>
      <c r="K20" s="37">
        <f t="shared" si="6"/>
        <v>2292517</v>
      </c>
    </row>
    <row r="21" spans="1:11" s="24" customFormat="1" ht="24">
      <c r="A21" s="60"/>
      <c r="B21" s="80">
        <v>70004</v>
      </c>
      <c r="C21" s="79"/>
      <c r="D21" s="38" t="s">
        <v>200</v>
      </c>
      <c r="E21" s="74">
        <f aca="true" t="shared" si="7" ref="E21:K21">SUM(E22)</f>
        <v>30000</v>
      </c>
      <c r="F21" s="74">
        <f t="shared" si="7"/>
        <v>0</v>
      </c>
      <c r="G21" s="74">
        <f t="shared" si="7"/>
        <v>30000</v>
      </c>
      <c r="H21" s="74">
        <f t="shared" si="7"/>
        <v>0</v>
      </c>
      <c r="I21" s="74">
        <f t="shared" si="7"/>
        <v>30000</v>
      </c>
      <c r="J21" s="74">
        <f t="shared" si="7"/>
        <v>0</v>
      </c>
      <c r="K21" s="74">
        <f t="shared" si="7"/>
        <v>30000</v>
      </c>
    </row>
    <row r="22" spans="1:11" s="24" customFormat="1" ht="21" customHeight="1">
      <c r="A22" s="60"/>
      <c r="B22" s="80"/>
      <c r="C22" s="79">
        <v>4300</v>
      </c>
      <c r="D22" s="38" t="s">
        <v>81</v>
      </c>
      <c r="E22" s="74">
        <v>30000</v>
      </c>
      <c r="F22" s="74"/>
      <c r="G22" s="74">
        <f>SUM(E22:F22)</f>
        <v>30000</v>
      </c>
      <c r="H22" s="74"/>
      <c r="I22" s="74">
        <f>SUM(G22:H22)</f>
        <v>30000</v>
      </c>
      <c r="J22" s="74"/>
      <c r="K22" s="74">
        <f>SUM(I22:J22)</f>
        <v>30000</v>
      </c>
    </row>
    <row r="23" spans="1:11" s="24" customFormat="1" ht="21" customHeight="1">
      <c r="A23" s="60"/>
      <c r="B23" s="75" t="s">
        <v>10</v>
      </c>
      <c r="C23" s="79"/>
      <c r="D23" s="38" t="s">
        <v>150</v>
      </c>
      <c r="E23" s="74">
        <f aca="true" t="shared" si="8" ref="E23:K23">SUM(E24:E34)</f>
        <v>2461932</v>
      </c>
      <c r="F23" s="74">
        <f t="shared" si="8"/>
        <v>-500000</v>
      </c>
      <c r="G23" s="74">
        <f t="shared" si="8"/>
        <v>1961932</v>
      </c>
      <c r="H23" s="74">
        <f t="shared" si="8"/>
        <v>0</v>
      </c>
      <c r="I23" s="74">
        <f t="shared" si="8"/>
        <v>1961932</v>
      </c>
      <c r="J23" s="74">
        <f t="shared" si="8"/>
        <v>0</v>
      </c>
      <c r="K23" s="74">
        <f t="shared" si="8"/>
        <v>1961932</v>
      </c>
    </row>
    <row r="24" spans="1:11" s="24" customFormat="1" ht="21" customHeight="1">
      <c r="A24" s="60"/>
      <c r="B24" s="75"/>
      <c r="C24" s="79">
        <v>4170</v>
      </c>
      <c r="D24" s="38" t="s">
        <v>194</v>
      </c>
      <c r="E24" s="74">
        <v>5000</v>
      </c>
      <c r="F24" s="74"/>
      <c r="G24" s="74">
        <f>SUM(E24:F24)</f>
        <v>5000</v>
      </c>
      <c r="H24" s="74"/>
      <c r="I24" s="74">
        <f>SUM(G24:H24)</f>
        <v>5000</v>
      </c>
      <c r="J24" s="74"/>
      <c r="K24" s="74">
        <f>SUM(I24:J24)</f>
        <v>5000</v>
      </c>
    </row>
    <row r="25" spans="1:11" s="24" customFormat="1" ht="21" customHeight="1">
      <c r="A25" s="60"/>
      <c r="B25" s="75"/>
      <c r="C25" s="79">
        <v>4210</v>
      </c>
      <c r="D25" s="38" t="s">
        <v>74</v>
      </c>
      <c r="E25" s="74">
        <v>74000</v>
      </c>
      <c r="F25" s="74"/>
      <c r="G25" s="74">
        <f aca="true" t="shared" si="9" ref="G25:G34">SUM(E25:F25)</f>
        <v>74000</v>
      </c>
      <c r="H25" s="74"/>
      <c r="I25" s="74">
        <f aca="true" t="shared" si="10" ref="I25:I34">SUM(G25:H25)</f>
        <v>74000</v>
      </c>
      <c r="J25" s="74"/>
      <c r="K25" s="74">
        <f aca="true" t="shared" si="11" ref="K25:K34">SUM(I25:J25)</f>
        <v>74000</v>
      </c>
    </row>
    <row r="26" spans="1:11" s="24" customFormat="1" ht="21" customHeight="1">
      <c r="A26" s="60"/>
      <c r="B26" s="75"/>
      <c r="C26" s="79">
        <v>4260</v>
      </c>
      <c r="D26" s="38" t="s">
        <v>97</v>
      </c>
      <c r="E26" s="74">
        <v>73800</v>
      </c>
      <c r="F26" s="74"/>
      <c r="G26" s="74">
        <f t="shared" si="9"/>
        <v>73800</v>
      </c>
      <c r="H26" s="74"/>
      <c r="I26" s="74">
        <f t="shared" si="10"/>
        <v>73800</v>
      </c>
      <c r="J26" s="74"/>
      <c r="K26" s="74">
        <f t="shared" si="11"/>
        <v>73800</v>
      </c>
    </row>
    <row r="27" spans="1:11" s="24" customFormat="1" ht="21" customHeight="1">
      <c r="A27" s="60"/>
      <c r="B27" s="75"/>
      <c r="C27" s="79">
        <v>4270</v>
      </c>
      <c r="D27" s="38" t="s">
        <v>80</v>
      </c>
      <c r="E27" s="74">
        <v>1200000</v>
      </c>
      <c r="F27" s="74">
        <v>-500000</v>
      </c>
      <c r="G27" s="74">
        <f t="shared" si="9"/>
        <v>700000</v>
      </c>
      <c r="H27" s="74"/>
      <c r="I27" s="74">
        <f t="shared" si="10"/>
        <v>700000</v>
      </c>
      <c r="J27" s="74"/>
      <c r="K27" s="74">
        <f t="shared" si="11"/>
        <v>700000</v>
      </c>
    </row>
    <row r="28" spans="1:11" s="192" customFormat="1" ht="21" customHeight="1">
      <c r="A28" s="190"/>
      <c r="B28" s="191"/>
      <c r="C28" s="60">
        <v>4300</v>
      </c>
      <c r="D28" s="38" t="s">
        <v>81</v>
      </c>
      <c r="E28" s="74">
        <f>600+201200+90000-5000</f>
        <v>286800</v>
      </c>
      <c r="F28" s="74"/>
      <c r="G28" s="74">
        <f t="shared" si="9"/>
        <v>286800</v>
      </c>
      <c r="H28" s="74"/>
      <c r="I28" s="74">
        <f t="shared" si="10"/>
        <v>286800</v>
      </c>
      <c r="J28" s="74">
        <v>-10000</v>
      </c>
      <c r="K28" s="74">
        <f t="shared" si="11"/>
        <v>276800</v>
      </c>
    </row>
    <row r="29" spans="1:11" s="192" customFormat="1" ht="21" customHeight="1">
      <c r="A29" s="190"/>
      <c r="B29" s="191"/>
      <c r="C29" s="60">
        <v>4390</v>
      </c>
      <c r="D29" s="38" t="s">
        <v>260</v>
      </c>
      <c r="E29" s="74"/>
      <c r="F29" s="74"/>
      <c r="G29" s="74"/>
      <c r="H29" s="74"/>
      <c r="I29" s="74">
        <v>0</v>
      </c>
      <c r="J29" s="74">
        <v>10000</v>
      </c>
      <c r="K29" s="74">
        <f t="shared" si="11"/>
        <v>10000</v>
      </c>
    </row>
    <row r="30" spans="1:11" s="24" customFormat="1" ht="26.25" customHeight="1">
      <c r="A30" s="60"/>
      <c r="B30" s="80"/>
      <c r="C30" s="60">
        <v>4400</v>
      </c>
      <c r="D30" s="38" t="s">
        <v>246</v>
      </c>
      <c r="E30" s="74">
        <v>786500</v>
      </c>
      <c r="F30" s="74"/>
      <c r="G30" s="74">
        <f t="shared" si="9"/>
        <v>786500</v>
      </c>
      <c r="H30" s="74"/>
      <c r="I30" s="74">
        <f t="shared" si="10"/>
        <v>786500</v>
      </c>
      <c r="J30" s="74"/>
      <c r="K30" s="74">
        <f t="shared" si="11"/>
        <v>786500</v>
      </c>
    </row>
    <row r="31" spans="1:11" s="24" customFormat="1" ht="21.75" customHeight="1">
      <c r="A31" s="60"/>
      <c r="B31" s="80"/>
      <c r="C31" s="60">
        <v>4430</v>
      </c>
      <c r="D31" s="38" t="s">
        <v>96</v>
      </c>
      <c r="E31" s="74">
        <v>5000</v>
      </c>
      <c r="F31" s="74"/>
      <c r="G31" s="74">
        <f t="shared" si="9"/>
        <v>5000</v>
      </c>
      <c r="H31" s="74"/>
      <c r="I31" s="74">
        <f t="shared" si="10"/>
        <v>5000</v>
      </c>
      <c r="J31" s="74"/>
      <c r="K31" s="74">
        <f t="shared" si="11"/>
        <v>5000</v>
      </c>
    </row>
    <row r="32" spans="1:11" s="24" customFormat="1" ht="21" customHeight="1">
      <c r="A32" s="60"/>
      <c r="B32" s="80"/>
      <c r="C32" s="60">
        <v>4480</v>
      </c>
      <c r="D32" s="38" t="s">
        <v>32</v>
      </c>
      <c r="E32" s="74">
        <v>132</v>
      </c>
      <c r="F32" s="74"/>
      <c r="G32" s="74">
        <f t="shared" si="9"/>
        <v>132</v>
      </c>
      <c r="H32" s="74"/>
      <c r="I32" s="74">
        <f t="shared" si="10"/>
        <v>132</v>
      </c>
      <c r="J32" s="74"/>
      <c r="K32" s="74">
        <f t="shared" si="11"/>
        <v>132</v>
      </c>
    </row>
    <row r="33" spans="1:11" s="24" customFormat="1" ht="21" customHeight="1">
      <c r="A33" s="60"/>
      <c r="B33" s="80"/>
      <c r="C33" s="79">
        <v>4510</v>
      </c>
      <c r="D33" s="38" t="s">
        <v>148</v>
      </c>
      <c r="E33" s="74">
        <v>700</v>
      </c>
      <c r="F33" s="74"/>
      <c r="G33" s="74">
        <f t="shared" si="9"/>
        <v>700</v>
      </c>
      <c r="H33" s="74"/>
      <c r="I33" s="74">
        <f t="shared" si="10"/>
        <v>700</v>
      </c>
      <c r="J33" s="74"/>
      <c r="K33" s="74">
        <f t="shared" si="11"/>
        <v>700</v>
      </c>
    </row>
    <row r="34" spans="1:11" s="24" customFormat="1" ht="24">
      <c r="A34" s="60"/>
      <c r="B34" s="80"/>
      <c r="C34" s="79">
        <v>4610</v>
      </c>
      <c r="D34" s="38" t="s">
        <v>184</v>
      </c>
      <c r="E34" s="74">
        <v>30000</v>
      </c>
      <c r="F34" s="74"/>
      <c r="G34" s="74">
        <f t="shared" si="9"/>
        <v>30000</v>
      </c>
      <c r="H34" s="74"/>
      <c r="I34" s="74">
        <f t="shared" si="10"/>
        <v>30000</v>
      </c>
      <c r="J34" s="74"/>
      <c r="K34" s="74">
        <f t="shared" si="11"/>
        <v>30000</v>
      </c>
    </row>
    <row r="35" spans="1:11" s="24" customFormat="1" ht="21" customHeight="1">
      <c r="A35" s="60"/>
      <c r="B35" s="75">
        <v>70095</v>
      </c>
      <c r="C35" s="79"/>
      <c r="D35" s="38" t="s">
        <v>6</v>
      </c>
      <c r="E35" s="74">
        <f aca="true" t="shared" si="12" ref="E35:K35">SUM(E36:E38)</f>
        <v>500585</v>
      </c>
      <c r="F35" s="74">
        <f t="shared" si="12"/>
        <v>-200000</v>
      </c>
      <c r="G35" s="74">
        <f t="shared" si="12"/>
        <v>300585</v>
      </c>
      <c r="H35" s="74">
        <f t="shared" si="12"/>
        <v>0</v>
      </c>
      <c r="I35" s="74">
        <f t="shared" si="12"/>
        <v>300585</v>
      </c>
      <c r="J35" s="74">
        <f t="shared" si="12"/>
        <v>0</v>
      </c>
      <c r="K35" s="74">
        <f t="shared" si="12"/>
        <v>300585</v>
      </c>
    </row>
    <row r="36" spans="1:11" s="24" customFormat="1" ht="21" customHeight="1">
      <c r="A36" s="60"/>
      <c r="B36" s="75"/>
      <c r="C36" s="79">
        <v>4260</v>
      </c>
      <c r="D36" s="38" t="s">
        <v>97</v>
      </c>
      <c r="E36" s="74">
        <v>500</v>
      </c>
      <c r="F36" s="74"/>
      <c r="G36" s="74">
        <f>SUM(E36:F36)</f>
        <v>500</v>
      </c>
      <c r="H36" s="74"/>
      <c r="I36" s="74">
        <f>SUM(G36:H36)</f>
        <v>500</v>
      </c>
      <c r="J36" s="74"/>
      <c r="K36" s="74">
        <f>SUM(I36:J36)</f>
        <v>500</v>
      </c>
    </row>
    <row r="37" spans="1:11" s="24" customFormat="1" ht="21" customHeight="1">
      <c r="A37" s="60"/>
      <c r="B37" s="75"/>
      <c r="C37" s="79">
        <v>4300</v>
      </c>
      <c r="D37" s="38" t="s">
        <v>81</v>
      </c>
      <c r="E37" s="74">
        <v>85</v>
      </c>
      <c r="F37" s="74"/>
      <c r="G37" s="74">
        <f>SUM(E37:F37)</f>
        <v>85</v>
      </c>
      <c r="H37" s="74"/>
      <c r="I37" s="74">
        <f>SUM(G37:H37)</f>
        <v>85</v>
      </c>
      <c r="J37" s="74"/>
      <c r="K37" s="74">
        <f>SUM(I37:J37)</f>
        <v>85</v>
      </c>
    </row>
    <row r="38" spans="1:16" s="24" customFormat="1" ht="24">
      <c r="A38" s="60"/>
      <c r="B38" s="75"/>
      <c r="C38" s="60">
        <v>6050</v>
      </c>
      <c r="D38" s="38" t="s">
        <v>75</v>
      </c>
      <c r="E38" s="74">
        <v>500000</v>
      </c>
      <c r="F38" s="74">
        <v>-200000</v>
      </c>
      <c r="G38" s="74">
        <f>SUM(E38:F38)</f>
        <v>300000</v>
      </c>
      <c r="H38" s="74"/>
      <c r="I38" s="74">
        <f>SUM(G38:H38)</f>
        <v>300000</v>
      </c>
      <c r="J38" s="74"/>
      <c r="K38" s="74">
        <f>SUM(I38:J38)</f>
        <v>300000</v>
      </c>
      <c r="N38" s="112"/>
      <c r="O38" s="112"/>
      <c r="P38" s="112"/>
    </row>
    <row r="39" spans="1:11" s="7" customFormat="1" ht="21" customHeight="1">
      <c r="A39" s="33" t="s">
        <v>13</v>
      </c>
      <c r="B39" s="34"/>
      <c r="C39" s="35"/>
      <c r="D39" s="36" t="s">
        <v>82</v>
      </c>
      <c r="E39" s="37">
        <f aca="true" t="shared" si="13" ref="E39:K39">SUM(E40,E43)</f>
        <v>270200</v>
      </c>
      <c r="F39" s="37">
        <f t="shared" si="13"/>
        <v>20000</v>
      </c>
      <c r="G39" s="37">
        <f t="shared" si="13"/>
        <v>290200</v>
      </c>
      <c r="H39" s="37">
        <f t="shared" si="13"/>
        <v>0</v>
      </c>
      <c r="I39" s="37">
        <f t="shared" si="13"/>
        <v>290200</v>
      </c>
      <c r="J39" s="37">
        <f t="shared" si="13"/>
        <v>0</v>
      </c>
      <c r="K39" s="37">
        <f t="shared" si="13"/>
        <v>290200</v>
      </c>
    </row>
    <row r="40" spans="1:11" s="24" customFormat="1" ht="21" customHeight="1">
      <c r="A40" s="60"/>
      <c r="B40" s="75" t="s">
        <v>83</v>
      </c>
      <c r="C40" s="79"/>
      <c r="D40" s="38" t="s">
        <v>84</v>
      </c>
      <c r="E40" s="74">
        <f aca="true" t="shared" si="14" ref="E40:K40">SUM(E41:E42)</f>
        <v>150000</v>
      </c>
      <c r="F40" s="74">
        <f t="shared" si="14"/>
        <v>0</v>
      </c>
      <c r="G40" s="74">
        <f t="shared" si="14"/>
        <v>150000</v>
      </c>
      <c r="H40" s="74">
        <f t="shared" si="14"/>
        <v>0</v>
      </c>
      <c r="I40" s="74">
        <f t="shared" si="14"/>
        <v>150000</v>
      </c>
      <c r="J40" s="74">
        <f t="shared" si="14"/>
        <v>0</v>
      </c>
      <c r="K40" s="74">
        <f t="shared" si="14"/>
        <v>150000</v>
      </c>
    </row>
    <row r="41" spans="1:11" s="24" customFormat="1" ht="21" customHeight="1">
      <c r="A41" s="60"/>
      <c r="B41" s="75"/>
      <c r="C41" s="79">
        <v>4170</v>
      </c>
      <c r="D41" s="38" t="s">
        <v>194</v>
      </c>
      <c r="E41" s="74">
        <v>20000</v>
      </c>
      <c r="F41" s="74"/>
      <c r="G41" s="74">
        <f>SUM(E41:F41)</f>
        <v>20000</v>
      </c>
      <c r="H41" s="74"/>
      <c r="I41" s="74">
        <f>SUM(G41:H41)</f>
        <v>20000</v>
      </c>
      <c r="J41" s="74"/>
      <c r="K41" s="74">
        <f>SUM(I41:J41)</f>
        <v>20000</v>
      </c>
    </row>
    <row r="42" spans="1:11" s="24" customFormat="1" ht="21" customHeight="1">
      <c r="A42" s="60"/>
      <c r="B42" s="75"/>
      <c r="C42" s="60">
        <v>4300</v>
      </c>
      <c r="D42" s="38" t="s">
        <v>81</v>
      </c>
      <c r="E42" s="74">
        <v>130000</v>
      </c>
      <c r="F42" s="74"/>
      <c r="G42" s="74">
        <f>SUM(E42:F42)</f>
        <v>130000</v>
      </c>
      <c r="H42" s="74"/>
      <c r="I42" s="74">
        <f>SUM(G42:H42)</f>
        <v>130000</v>
      </c>
      <c r="J42" s="74"/>
      <c r="K42" s="74">
        <f>SUM(I42:J42)</f>
        <v>130000</v>
      </c>
    </row>
    <row r="43" spans="1:11" s="24" customFormat="1" ht="21" customHeight="1">
      <c r="A43" s="60"/>
      <c r="B43" s="75">
        <v>71035</v>
      </c>
      <c r="C43" s="60"/>
      <c r="D43" s="38" t="s">
        <v>14</v>
      </c>
      <c r="E43" s="74">
        <f aca="true" t="shared" si="15" ref="E43:K43">SUM(E44:E47)</f>
        <v>120200</v>
      </c>
      <c r="F43" s="74">
        <f t="shared" si="15"/>
        <v>20000</v>
      </c>
      <c r="G43" s="74">
        <f t="shared" si="15"/>
        <v>140200</v>
      </c>
      <c r="H43" s="74">
        <f t="shared" si="15"/>
        <v>0</v>
      </c>
      <c r="I43" s="74">
        <f t="shared" si="15"/>
        <v>140200</v>
      </c>
      <c r="J43" s="74">
        <f t="shared" si="15"/>
        <v>0</v>
      </c>
      <c r="K43" s="74">
        <f t="shared" si="15"/>
        <v>140200</v>
      </c>
    </row>
    <row r="44" spans="1:11" s="24" customFormat="1" ht="21" customHeight="1">
      <c r="A44" s="60"/>
      <c r="B44" s="75"/>
      <c r="C44" s="60">
        <v>4260</v>
      </c>
      <c r="D44" s="38" t="s">
        <v>97</v>
      </c>
      <c r="E44" s="74">
        <f>1000+200</f>
        <v>1200</v>
      </c>
      <c r="F44" s="74"/>
      <c r="G44" s="74">
        <f>SUM(E44:F44)</f>
        <v>1200</v>
      </c>
      <c r="H44" s="74"/>
      <c r="I44" s="74">
        <f>SUM(G44:H44)</f>
        <v>1200</v>
      </c>
      <c r="J44" s="74"/>
      <c r="K44" s="74">
        <f>SUM(I44:J44)</f>
        <v>1200</v>
      </c>
    </row>
    <row r="45" spans="1:11" s="24" customFormat="1" ht="21" customHeight="1">
      <c r="A45" s="60"/>
      <c r="B45" s="75"/>
      <c r="C45" s="60">
        <v>4270</v>
      </c>
      <c r="D45" s="38" t="s">
        <v>80</v>
      </c>
      <c r="E45" s="74">
        <v>100000</v>
      </c>
      <c r="F45" s="74"/>
      <c r="G45" s="74">
        <f>SUM(E45:F45)</f>
        <v>100000</v>
      </c>
      <c r="H45" s="74"/>
      <c r="I45" s="74">
        <f>SUM(G45:H45)</f>
        <v>100000</v>
      </c>
      <c r="J45" s="74"/>
      <c r="K45" s="74">
        <f>SUM(I45:J45)</f>
        <v>100000</v>
      </c>
    </row>
    <row r="46" spans="1:11" s="24" customFormat="1" ht="21" customHeight="1">
      <c r="A46" s="60"/>
      <c r="B46" s="75"/>
      <c r="C46" s="60">
        <v>4300</v>
      </c>
      <c r="D46" s="38" t="s">
        <v>81</v>
      </c>
      <c r="E46" s="74">
        <v>19000</v>
      </c>
      <c r="F46" s="74"/>
      <c r="G46" s="74">
        <f>SUM(E46:F46)</f>
        <v>19000</v>
      </c>
      <c r="H46" s="74"/>
      <c r="I46" s="74">
        <f>SUM(G46:H46)</f>
        <v>19000</v>
      </c>
      <c r="J46" s="74"/>
      <c r="K46" s="74">
        <f>SUM(I46:J46)</f>
        <v>19000</v>
      </c>
    </row>
    <row r="47" spans="1:16" s="24" customFormat="1" ht="24">
      <c r="A47" s="60"/>
      <c r="B47" s="75"/>
      <c r="C47" s="60">
        <v>6050</v>
      </c>
      <c r="D47" s="38" t="s">
        <v>75</v>
      </c>
      <c r="E47" s="74">
        <v>0</v>
      </c>
      <c r="F47" s="74">
        <v>20000</v>
      </c>
      <c r="G47" s="74">
        <f>SUM(E47:F47)</f>
        <v>20000</v>
      </c>
      <c r="H47" s="74"/>
      <c r="I47" s="74">
        <f>SUM(G47:H47)</f>
        <v>20000</v>
      </c>
      <c r="J47" s="74"/>
      <c r="K47" s="74">
        <f>SUM(I47:J47)</f>
        <v>20000</v>
      </c>
      <c r="N47" s="112"/>
      <c r="O47" s="112"/>
      <c r="P47" s="112"/>
    </row>
    <row r="48" spans="1:11" s="7" customFormat="1" ht="21" customHeight="1">
      <c r="A48" s="33" t="s">
        <v>15</v>
      </c>
      <c r="B48" s="34"/>
      <c r="C48" s="35"/>
      <c r="D48" s="36" t="s">
        <v>85</v>
      </c>
      <c r="E48" s="37">
        <f aca="true" t="shared" si="16" ref="E48:K48">SUM(E49,E64,E75,E99,E111,)</f>
        <v>6136665</v>
      </c>
      <c r="F48" s="37">
        <f t="shared" si="16"/>
        <v>-414000</v>
      </c>
      <c r="G48" s="37">
        <f t="shared" si="16"/>
        <v>5722665</v>
      </c>
      <c r="H48" s="37">
        <f t="shared" si="16"/>
        <v>0</v>
      </c>
      <c r="I48" s="37">
        <f t="shared" si="16"/>
        <v>5722665</v>
      </c>
      <c r="J48" s="37">
        <f t="shared" si="16"/>
        <v>0</v>
      </c>
      <c r="K48" s="37">
        <f t="shared" si="16"/>
        <v>5722665</v>
      </c>
    </row>
    <row r="49" spans="1:11" s="24" customFormat="1" ht="21" customHeight="1">
      <c r="A49" s="60"/>
      <c r="B49" s="75">
        <v>75011</v>
      </c>
      <c r="C49" s="79"/>
      <c r="D49" s="38" t="s">
        <v>17</v>
      </c>
      <c r="E49" s="74">
        <f aca="true" t="shared" si="17" ref="E49:K49">SUM(E50:E63)</f>
        <v>411600</v>
      </c>
      <c r="F49" s="74">
        <f t="shared" si="17"/>
        <v>0</v>
      </c>
      <c r="G49" s="74">
        <f t="shared" si="17"/>
        <v>411600</v>
      </c>
      <c r="H49" s="74">
        <f t="shared" si="17"/>
        <v>0</v>
      </c>
      <c r="I49" s="74">
        <f t="shared" si="17"/>
        <v>411600</v>
      </c>
      <c r="J49" s="74">
        <f t="shared" si="17"/>
        <v>0</v>
      </c>
      <c r="K49" s="74">
        <f t="shared" si="17"/>
        <v>411600</v>
      </c>
    </row>
    <row r="50" spans="1:11" s="24" customFormat="1" ht="24">
      <c r="A50" s="60"/>
      <c r="B50" s="75"/>
      <c r="C50" s="79">
        <v>3020</v>
      </c>
      <c r="D50" s="38" t="s">
        <v>191</v>
      </c>
      <c r="E50" s="74">
        <v>2000</v>
      </c>
      <c r="F50" s="74"/>
      <c r="G50" s="74">
        <f>SUM(E50:F50)</f>
        <v>2000</v>
      </c>
      <c r="H50" s="74"/>
      <c r="I50" s="74">
        <f>SUM(G50:H50)</f>
        <v>2000</v>
      </c>
      <c r="J50" s="74"/>
      <c r="K50" s="74">
        <f>SUM(I50:J50)</f>
        <v>2000</v>
      </c>
    </row>
    <row r="51" spans="1:11" s="24" customFormat="1" ht="21" customHeight="1">
      <c r="A51" s="60"/>
      <c r="B51" s="80"/>
      <c r="C51" s="60">
        <v>4010</v>
      </c>
      <c r="D51" s="38" t="s">
        <v>86</v>
      </c>
      <c r="E51" s="74">
        <v>294200</v>
      </c>
      <c r="F51" s="74"/>
      <c r="G51" s="74">
        <f aca="true" t="shared" si="18" ref="G51:G63">SUM(E51:F51)</f>
        <v>294200</v>
      </c>
      <c r="H51" s="74"/>
      <c r="I51" s="74">
        <f aca="true" t="shared" si="19" ref="I51:I63">SUM(G51:H51)</f>
        <v>294200</v>
      </c>
      <c r="J51" s="74"/>
      <c r="K51" s="74">
        <f aca="true" t="shared" si="20" ref="K51:K63">SUM(I51:J51)</f>
        <v>294200</v>
      </c>
    </row>
    <row r="52" spans="1:11" s="24" customFormat="1" ht="21" customHeight="1">
      <c r="A52" s="60"/>
      <c r="B52" s="80"/>
      <c r="C52" s="60">
        <v>4040</v>
      </c>
      <c r="D52" s="38" t="s">
        <v>87</v>
      </c>
      <c r="E52" s="74">
        <v>22400</v>
      </c>
      <c r="F52" s="74"/>
      <c r="G52" s="74">
        <f t="shared" si="18"/>
        <v>22400</v>
      </c>
      <c r="H52" s="74"/>
      <c r="I52" s="74">
        <f t="shared" si="19"/>
        <v>22400</v>
      </c>
      <c r="J52" s="74"/>
      <c r="K52" s="74">
        <f t="shared" si="20"/>
        <v>22400</v>
      </c>
    </row>
    <row r="53" spans="1:11" s="24" customFormat="1" ht="21" customHeight="1">
      <c r="A53" s="60"/>
      <c r="B53" s="80"/>
      <c r="C53" s="60">
        <v>4110</v>
      </c>
      <c r="D53" s="38" t="s">
        <v>88</v>
      </c>
      <c r="E53" s="74">
        <v>48100</v>
      </c>
      <c r="F53" s="74"/>
      <c r="G53" s="74">
        <f t="shared" si="18"/>
        <v>48100</v>
      </c>
      <c r="H53" s="74"/>
      <c r="I53" s="74">
        <f t="shared" si="19"/>
        <v>48100</v>
      </c>
      <c r="J53" s="74"/>
      <c r="K53" s="74">
        <f t="shared" si="20"/>
        <v>48100</v>
      </c>
    </row>
    <row r="54" spans="1:11" s="24" customFormat="1" ht="21" customHeight="1">
      <c r="A54" s="60"/>
      <c r="B54" s="80"/>
      <c r="C54" s="60">
        <v>4120</v>
      </c>
      <c r="D54" s="38" t="s">
        <v>89</v>
      </c>
      <c r="E54" s="74">
        <v>7800</v>
      </c>
      <c r="F54" s="74"/>
      <c r="G54" s="74">
        <f t="shared" si="18"/>
        <v>7800</v>
      </c>
      <c r="H54" s="74"/>
      <c r="I54" s="74">
        <f t="shared" si="19"/>
        <v>7800</v>
      </c>
      <c r="J54" s="74"/>
      <c r="K54" s="74">
        <f t="shared" si="20"/>
        <v>7800</v>
      </c>
    </row>
    <row r="55" spans="1:11" s="24" customFormat="1" ht="21" customHeight="1">
      <c r="A55" s="60"/>
      <c r="B55" s="80"/>
      <c r="C55" s="60">
        <v>4210</v>
      </c>
      <c r="D55" s="38" t="s">
        <v>94</v>
      </c>
      <c r="E55" s="74">
        <v>11000</v>
      </c>
      <c r="F55" s="74"/>
      <c r="G55" s="74">
        <f t="shared" si="18"/>
        <v>11000</v>
      </c>
      <c r="H55" s="74"/>
      <c r="I55" s="74">
        <f t="shared" si="19"/>
        <v>11000</v>
      </c>
      <c r="J55" s="74"/>
      <c r="K55" s="74">
        <f t="shared" si="20"/>
        <v>11000</v>
      </c>
    </row>
    <row r="56" spans="1:11" s="24" customFormat="1" ht="21" customHeight="1">
      <c r="A56" s="60"/>
      <c r="B56" s="80"/>
      <c r="C56" s="60">
        <v>4280</v>
      </c>
      <c r="D56" s="38" t="s">
        <v>218</v>
      </c>
      <c r="E56" s="74">
        <v>1000</v>
      </c>
      <c r="F56" s="74"/>
      <c r="G56" s="74">
        <f t="shared" si="18"/>
        <v>1000</v>
      </c>
      <c r="H56" s="74"/>
      <c r="I56" s="74">
        <f t="shared" si="19"/>
        <v>1000</v>
      </c>
      <c r="J56" s="74"/>
      <c r="K56" s="74">
        <f t="shared" si="20"/>
        <v>1000</v>
      </c>
    </row>
    <row r="57" spans="1:11" s="24" customFormat="1" ht="21" customHeight="1">
      <c r="A57" s="60"/>
      <c r="B57" s="80"/>
      <c r="C57" s="60">
        <v>4300</v>
      </c>
      <c r="D57" s="38" t="s">
        <v>81</v>
      </c>
      <c r="E57" s="74">
        <v>6800</v>
      </c>
      <c r="F57" s="74"/>
      <c r="G57" s="74">
        <f t="shared" si="18"/>
        <v>6800</v>
      </c>
      <c r="H57" s="74"/>
      <c r="I57" s="74">
        <f t="shared" si="19"/>
        <v>6800</v>
      </c>
      <c r="J57" s="74"/>
      <c r="K57" s="74">
        <f t="shared" si="20"/>
        <v>6800</v>
      </c>
    </row>
    <row r="58" spans="1:11" s="24" customFormat="1" ht="21" customHeight="1">
      <c r="A58" s="60"/>
      <c r="B58" s="80"/>
      <c r="C58" s="60">
        <v>4410</v>
      </c>
      <c r="D58" s="38" t="s">
        <v>92</v>
      </c>
      <c r="E58" s="74">
        <v>1000</v>
      </c>
      <c r="F58" s="74"/>
      <c r="G58" s="74">
        <f t="shared" si="18"/>
        <v>1000</v>
      </c>
      <c r="H58" s="74"/>
      <c r="I58" s="74">
        <f t="shared" si="19"/>
        <v>1000</v>
      </c>
      <c r="J58" s="74"/>
      <c r="K58" s="74">
        <f t="shared" si="20"/>
        <v>1000</v>
      </c>
    </row>
    <row r="59" spans="1:11" s="24" customFormat="1" ht="21" customHeight="1">
      <c r="A59" s="60"/>
      <c r="B59" s="80"/>
      <c r="C59" s="60">
        <v>4430</v>
      </c>
      <c r="D59" s="38" t="s">
        <v>96</v>
      </c>
      <c r="E59" s="74">
        <v>3000</v>
      </c>
      <c r="F59" s="74"/>
      <c r="G59" s="74">
        <f t="shared" si="18"/>
        <v>3000</v>
      </c>
      <c r="H59" s="74"/>
      <c r="I59" s="74">
        <f t="shared" si="19"/>
        <v>3000</v>
      </c>
      <c r="J59" s="74"/>
      <c r="K59" s="74">
        <f t="shared" si="20"/>
        <v>3000</v>
      </c>
    </row>
    <row r="60" spans="1:11" s="24" customFormat="1" ht="24">
      <c r="A60" s="60"/>
      <c r="B60" s="80"/>
      <c r="C60" s="63">
        <v>4440</v>
      </c>
      <c r="D60" s="38" t="s">
        <v>90</v>
      </c>
      <c r="E60" s="74">
        <v>9300</v>
      </c>
      <c r="F60" s="74"/>
      <c r="G60" s="74">
        <f t="shared" si="18"/>
        <v>9300</v>
      </c>
      <c r="H60" s="74"/>
      <c r="I60" s="74">
        <f t="shared" si="19"/>
        <v>9300</v>
      </c>
      <c r="J60" s="74"/>
      <c r="K60" s="74">
        <f t="shared" si="20"/>
        <v>9300</v>
      </c>
    </row>
    <row r="61" spans="1:11" s="24" customFormat="1" ht="27.75" customHeight="1">
      <c r="A61" s="60"/>
      <c r="B61" s="80"/>
      <c r="C61" s="63">
        <v>4700</v>
      </c>
      <c r="D61" s="38" t="s">
        <v>254</v>
      </c>
      <c r="E61" s="74">
        <v>2000</v>
      </c>
      <c r="F61" s="74"/>
      <c r="G61" s="74">
        <f t="shared" si="18"/>
        <v>2000</v>
      </c>
      <c r="H61" s="74"/>
      <c r="I61" s="74">
        <f t="shared" si="19"/>
        <v>2000</v>
      </c>
      <c r="J61" s="74"/>
      <c r="K61" s="74">
        <f t="shared" si="20"/>
        <v>2000</v>
      </c>
    </row>
    <row r="62" spans="1:11" s="24" customFormat="1" ht="27.75" customHeight="1">
      <c r="A62" s="60"/>
      <c r="B62" s="80"/>
      <c r="C62" s="63">
        <v>4740</v>
      </c>
      <c r="D62" s="38" t="s">
        <v>272</v>
      </c>
      <c r="E62" s="74">
        <v>1000</v>
      </c>
      <c r="F62" s="74"/>
      <c r="G62" s="74">
        <f t="shared" si="18"/>
        <v>1000</v>
      </c>
      <c r="H62" s="74"/>
      <c r="I62" s="74">
        <f t="shared" si="19"/>
        <v>1000</v>
      </c>
      <c r="J62" s="74"/>
      <c r="K62" s="74">
        <f t="shared" si="20"/>
        <v>1000</v>
      </c>
    </row>
    <row r="63" spans="1:11" s="24" customFormat="1" ht="27" customHeight="1">
      <c r="A63" s="60"/>
      <c r="B63" s="80"/>
      <c r="C63" s="63">
        <v>4750</v>
      </c>
      <c r="D63" s="38" t="s">
        <v>227</v>
      </c>
      <c r="E63" s="74">
        <v>2000</v>
      </c>
      <c r="F63" s="74"/>
      <c r="G63" s="74">
        <f t="shared" si="18"/>
        <v>2000</v>
      </c>
      <c r="H63" s="74"/>
      <c r="I63" s="74">
        <f t="shared" si="19"/>
        <v>2000</v>
      </c>
      <c r="J63" s="74"/>
      <c r="K63" s="74">
        <f t="shared" si="20"/>
        <v>2000</v>
      </c>
    </row>
    <row r="64" spans="1:11" s="24" customFormat="1" ht="24">
      <c r="A64" s="79"/>
      <c r="B64" s="75" t="s">
        <v>93</v>
      </c>
      <c r="C64" s="79"/>
      <c r="D64" s="38" t="s">
        <v>151</v>
      </c>
      <c r="E64" s="74">
        <f aca="true" t="shared" si="21" ref="E64:K64">SUM(E65:E74)</f>
        <v>300000</v>
      </c>
      <c r="F64" s="74">
        <f t="shared" si="21"/>
        <v>14000</v>
      </c>
      <c r="G64" s="74">
        <f t="shared" si="21"/>
        <v>314000</v>
      </c>
      <c r="H64" s="74">
        <f t="shared" si="21"/>
        <v>0</v>
      </c>
      <c r="I64" s="74">
        <f t="shared" si="21"/>
        <v>314000</v>
      </c>
      <c r="J64" s="74">
        <f t="shared" si="21"/>
        <v>0</v>
      </c>
      <c r="K64" s="74">
        <f t="shared" si="21"/>
        <v>314000</v>
      </c>
    </row>
    <row r="65" spans="1:11" s="24" customFormat="1" ht="21" customHeight="1">
      <c r="A65" s="79"/>
      <c r="B65" s="75"/>
      <c r="C65" s="60">
        <v>3030</v>
      </c>
      <c r="D65" s="38" t="s">
        <v>91</v>
      </c>
      <c r="E65" s="74">
        <v>257000</v>
      </c>
      <c r="F65" s="74"/>
      <c r="G65" s="74">
        <f>SUM(E65:F65)</f>
        <v>257000</v>
      </c>
      <c r="H65" s="74"/>
      <c r="I65" s="74">
        <f>SUM(G65:H65)</f>
        <v>257000</v>
      </c>
      <c r="J65" s="74"/>
      <c r="K65" s="74">
        <f>SUM(I65:J65)</f>
        <v>257000</v>
      </c>
    </row>
    <row r="66" spans="1:11" s="24" customFormat="1" ht="21" customHeight="1">
      <c r="A66" s="79"/>
      <c r="B66" s="75"/>
      <c r="C66" s="60">
        <v>4170</v>
      </c>
      <c r="D66" s="38" t="s">
        <v>194</v>
      </c>
      <c r="E66" s="74">
        <v>2000</v>
      </c>
      <c r="F66" s="74"/>
      <c r="G66" s="74">
        <f aca="true" t="shared" si="22" ref="G66:G74">SUM(E66:F66)</f>
        <v>2000</v>
      </c>
      <c r="H66" s="74"/>
      <c r="I66" s="74">
        <f aca="true" t="shared" si="23" ref="I66:I74">SUM(G66:H66)</f>
        <v>2000</v>
      </c>
      <c r="J66" s="74"/>
      <c r="K66" s="74">
        <f aca="true" t="shared" si="24" ref="K66:K74">SUM(I66:J66)</f>
        <v>2000</v>
      </c>
    </row>
    <row r="67" spans="1:11" s="24" customFormat="1" ht="21" customHeight="1">
      <c r="A67" s="79"/>
      <c r="B67" s="75"/>
      <c r="C67" s="60">
        <v>4210</v>
      </c>
      <c r="D67" s="38" t="s">
        <v>94</v>
      </c>
      <c r="E67" s="74">
        <v>15500</v>
      </c>
      <c r="F67" s="74">
        <v>5000</v>
      </c>
      <c r="G67" s="74">
        <f t="shared" si="22"/>
        <v>20500</v>
      </c>
      <c r="H67" s="74"/>
      <c r="I67" s="74">
        <f t="shared" si="23"/>
        <v>20500</v>
      </c>
      <c r="J67" s="74"/>
      <c r="K67" s="74">
        <f t="shared" si="24"/>
        <v>20500</v>
      </c>
    </row>
    <row r="68" spans="1:11" s="24" customFormat="1" ht="27" customHeight="1">
      <c r="A68" s="79"/>
      <c r="B68" s="75"/>
      <c r="C68" s="60">
        <v>4300</v>
      </c>
      <c r="D68" s="38" t="s">
        <v>81</v>
      </c>
      <c r="E68" s="74">
        <v>17900</v>
      </c>
      <c r="F68" s="74">
        <v>3000</v>
      </c>
      <c r="G68" s="74">
        <f t="shared" si="22"/>
        <v>20900</v>
      </c>
      <c r="H68" s="74"/>
      <c r="I68" s="74">
        <f t="shared" si="23"/>
        <v>20900</v>
      </c>
      <c r="J68" s="74"/>
      <c r="K68" s="74">
        <f t="shared" si="24"/>
        <v>20900</v>
      </c>
    </row>
    <row r="69" spans="1:11" s="24" customFormat="1" ht="21" customHeight="1">
      <c r="A69" s="79"/>
      <c r="B69" s="75"/>
      <c r="C69" s="60">
        <v>4370</v>
      </c>
      <c r="D69" s="38" t="s">
        <v>225</v>
      </c>
      <c r="E69" s="74">
        <v>100</v>
      </c>
      <c r="F69" s="74"/>
      <c r="G69" s="74">
        <f t="shared" si="22"/>
        <v>100</v>
      </c>
      <c r="H69" s="74"/>
      <c r="I69" s="74">
        <f t="shared" si="23"/>
        <v>100</v>
      </c>
      <c r="J69" s="74"/>
      <c r="K69" s="74">
        <f t="shared" si="24"/>
        <v>100</v>
      </c>
    </row>
    <row r="70" spans="1:11" s="24" customFormat="1" ht="21" customHeight="1">
      <c r="A70" s="79"/>
      <c r="B70" s="75"/>
      <c r="C70" s="60">
        <v>4410</v>
      </c>
      <c r="D70" s="38" t="s">
        <v>92</v>
      </c>
      <c r="E70" s="74">
        <v>2000</v>
      </c>
      <c r="F70" s="74">
        <v>6000</v>
      </c>
      <c r="G70" s="74">
        <f t="shared" si="22"/>
        <v>8000</v>
      </c>
      <c r="H70" s="74"/>
      <c r="I70" s="74">
        <f t="shared" si="23"/>
        <v>8000</v>
      </c>
      <c r="J70" s="74"/>
      <c r="K70" s="74">
        <f t="shared" si="24"/>
        <v>8000</v>
      </c>
    </row>
    <row r="71" spans="1:11" s="24" customFormat="1" ht="21" customHeight="1">
      <c r="A71" s="79"/>
      <c r="B71" s="75"/>
      <c r="C71" s="60">
        <v>4420</v>
      </c>
      <c r="D71" s="38" t="s">
        <v>95</v>
      </c>
      <c r="E71" s="74">
        <v>2000</v>
      </c>
      <c r="F71" s="74"/>
      <c r="G71" s="74">
        <f t="shared" si="22"/>
        <v>2000</v>
      </c>
      <c r="H71" s="74"/>
      <c r="I71" s="74">
        <f t="shared" si="23"/>
        <v>2000</v>
      </c>
      <c r="J71" s="74"/>
      <c r="K71" s="74">
        <f t="shared" si="24"/>
        <v>2000</v>
      </c>
    </row>
    <row r="72" spans="1:11" s="24" customFormat="1" ht="21" customHeight="1">
      <c r="A72" s="79"/>
      <c r="B72" s="75"/>
      <c r="C72" s="63">
        <v>4430</v>
      </c>
      <c r="D72" s="38" t="s">
        <v>96</v>
      </c>
      <c r="E72" s="74">
        <v>500</v>
      </c>
      <c r="F72" s="74"/>
      <c r="G72" s="74">
        <f t="shared" si="22"/>
        <v>500</v>
      </c>
      <c r="H72" s="74"/>
      <c r="I72" s="74">
        <f t="shared" si="23"/>
        <v>500</v>
      </c>
      <c r="J72" s="74"/>
      <c r="K72" s="74">
        <f t="shared" si="24"/>
        <v>500</v>
      </c>
    </row>
    <row r="73" spans="1:11" s="24" customFormat="1" ht="24">
      <c r="A73" s="79"/>
      <c r="B73" s="75"/>
      <c r="C73" s="63">
        <v>4740</v>
      </c>
      <c r="D73" s="38" t="s">
        <v>272</v>
      </c>
      <c r="E73" s="74">
        <v>2000</v>
      </c>
      <c r="F73" s="74"/>
      <c r="G73" s="74">
        <f t="shared" si="22"/>
        <v>2000</v>
      </c>
      <c r="H73" s="74"/>
      <c r="I73" s="74">
        <f t="shared" si="23"/>
        <v>2000</v>
      </c>
      <c r="J73" s="74"/>
      <c r="K73" s="74">
        <f t="shared" si="24"/>
        <v>2000</v>
      </c>
    </row>
    <row r="74" spans="1:11" s="24" customFormat="1" ht="24.75" customHeight="1">
      <c r="A74" s="79"/>
      <c r="B74" s="75"/>
      <c r="C74" s="63">
        <v>4750</v>
      </c>
      <c r="D74" s="38" t="s">
        <v>227</v>
      </c>
      <c r="E74" s="74">
        <v>1000</v>
      </c>
      <c r="F74" s="74"/>
      <c r="G74" s="74">
        <f t="shared" si="22"/>
        <v>1000</v>
      </c>
      <c r="H74" s="74"/>
      <c r="I74" s="74">
        <f t="shared" si="23"/>
        <v>1000</v>
      </c>
      <c r="J74" s="74"/>
      <c r="K74" s="74">
        <f t="shared" si="24"/>
        <v>1000</v>
      </c>
    </row>
    <row r="75" spans="1:11" s="24" customFormat="1" ht="21" customHeight="1">
      <c r="A75" s="79"/>
      <c r="B75" s="75" t="s">
        <v>18</v>
      </c>
      <c r="C75" s="79"/>
      <c r="D75" s="38" t="s">
        <v>19</v>
      </c>
      <c r="E75" s="74">
        <f aca="true" t="shared" si="25" ref="E75:K75">SUM(E76:E98)</f>
        <v>5072300</v>
      </c>
      <c r="F75" s="74">
        <f t="shared" si="25"/>
        <v>-380000</v>
      </c>
      <c r="G75" s="74">
        <f t="shared" si="25"/>
        <v>4692300</v>
      </c>
      <c r="H75" s="74">
        <f t="shared" si="25"/>
        <v>0</v>
      </c>
      <c r="I75" s="74">
        <f t="shared" si="25"/>
        <v>4692300</v>
      </c>
      <c r="J75" s="74">
        <f t="shared" si="25"/>
        <v>0</v>
      </c>
      <c r="K75" s="74">
        <f t="shared" si="25"/>
        <v>4692300</v>
      </c>
    </row>
    <row r="76" spans="1:11" s="24" customFormat="1" ht="21" customHeight="1">
      <c r="A76" s="79"/>
      <c r="B76" s="75"/>
      <c r="C76" s="60">
        <v>3020</v>
      </c>
      <c r="D76" s="38" t="s">
        <v>191</v>
      </c>
      <c r="E76" s="74">
        <v>27600</v>
      </c>
      <c r="F76" s="74"/>
      <c r="G76" s="74">
        <f>SUM(E76:F76)</f>
        <v>27600</v>
      </c>
      <c r="H76" s="74"/>
      <c r="I76" s="74">
        <f>SUM(G76:H76)</f>
        <v>27600</v>
      </c>
      <c r="J76" s="74"/>
      <c r="K76" s="74">
        <f>SUM(I76:J76)</f>
        <v>27600</v>
      </c>
    </row>
    <row r="77" spans="1:11" s="24" customFormat="1" ht="21" customHeight="1">
      <c r="A77" s="79"/>
      <c r="B77" s="75"/>
      <c r="C77" s="60">
        <v>4010</v>
      </c>
      <c r="D77" s="38" t="s">
        <v>86</v>
      </c>
      <c r="E77" s="74">
        <v>3160586</v>
      </c>
      <c r="F77" s="74">
        <v>-200000</v>
      </c>
      <c r="G77" s="74">
        <f aca="true" t="shared" si="26" ref="G77:G98">SUM(E77:F77)</f>
        <v>2960586</v>
      </c>
      <c r="H77" s="74"/>
      <c r="I77" s="74">
        <f aca="true" t="shared" si="27" ref="I77:I96">SUM(G77:H77)</f>
        <v>2960586</v>
      </c>
      <c r="J77" s="74"/>
      <c r="K77" s="74">
        <f aca="true" t="shared" si="28" ref="K77:K96">SUM(I77:J77)</f>
        <v>2960586</v>
      </c>
    </row>
    <row r="78" spans="1:11" s="24" customFormat="1" ht="21" customHeight="1">
      <c r="A78" s="79"/>
      <c r="B78" s="75"/>
      <c r="C78" s="60">
        <v>4040</v>
      </c>
      <c r="D78" s="38" t="s">
        <v>87</v>
      </c>
      <c r="E78" s="74">
        <v>203749</v>
      </c>
      <c r="F78" s="74"/>
      <c r="G78" s="74">
        <f t="shared" si="26"/>
        <v>203749</v>
      </c>
      <c r="H78" s="74"/>
      <c r="I78" s="74">
        <f t="shared" si="27"/>
        <v>203749</v>
      </c>
      <c r="J78" s="74">
        <v>-8000</v>
      </c>
      <c r="K78" s="74">
        <f t="shared" si="28"/>
        <v>195749</v>
      </c>
    </row>
    <row r="79" spans="1:11" s="24" customFormat="1" ht="21" customHeight="1">
      <c r="A79" s="79"/>
      <c r="B79" s="75"/>
      <c r="C79" s="60">
        <v>4110</v>
      </c>
      <c r="D79" s="38" t="s">
        <v>88</v>
      </c>
      <c r="E79" s="74">
        <v>496390</v>
      </c>
      <c r="F79" s="74"/>
      <c r="G79" s="74">
        <f t="shared" si="26"/>
        <v>496390</v>
      </c>
      <c r="H79" s="74"/>
      <c r="I79" s="74">
        <f t="shared" si="27"/>
        <v>496390</v>
      </c>
      <c r="J79" s="74"/>
      <c r="K79" s="74">
        <f t="shared" si="28"/>
        <v>496390</v>
      </c>
    </row>
    <row r="80" spans="1:11" s="24" customFormat="1" ht="21" customHeight="1">
      <c r="A80" s="79"/>
      <c r="B80" s="75"/>
      <c r="C80" s="60">
        <v>4120</v>
      </c>
      <c r="D80" s="38" t="s">
        <v>89</v>
      </c>
      <c r="E80" s="74">
        <v>92714</v>
      </c>
      <c r="F80" s="74"/>
      <c r="G80" s="74">
        <f t="shared" si="26"/>
        <v>92714</v>
      </c>
      <c r="H80" s="74"/>
      <c r="I80" s="74">
        <f t="shared" si="27"/>
        <v>92714</v>
      </c>
      <c r="J80" s="74"/>
      <c r="K80" s="74">
        <f t="shared" si="28"/>
        <v>92714</v>
      </c>
    </row>
    <row r="81" spans="1:11" s="24" customFormat="1" ht="21" customHeight="1">
      <c r="A81" s="79"/>
      <c r="B81" s="75"/>
      <c r="C81" s="60">
        <v>4170</v>
      </c>
      <c r="D81" s="38" t="s">
        <v>194</v>
      </c>
      <c r="E81" s="74">
        <v>23200</v>
      </c>
      <c r="F81" s="74"/>
      <c r="G81" s="74">
        <f t="shared" si="26"/>
        <v>23200</v>
      </c>
      <c r="H81" s="74"/>
      <c r="I81" s="74">
        <f t="shared" si="27"/>
        <v>23200</v>
      </c>
      <c r="J81" s="74">
        <v>8000</v>
      </c>
      <c r="K81" s="74">
        <f t="shared" si="28"/>
        <v>31200</v>
      </c>
    </row>
    <row r="82" spans="1:11" s="24" customFormat="1" ht="21" customHeight="1">
      <c r="A82" s="79"/>
      <c r="B82" s="75"/>
      <c r="C82" s="60">
        <v>4210</v>
      </c>
      <c r="D82" s="38" t="s">
        <v>94</v>
      </c>
      <c r="E82" s="74">
        <v>107373</v>
      </c>
      <c r="F82" s="74"/>
      <c r="G82" s="74">
        <f t="shared" si="26"/>
        <v>107373</v>
      </c>
      <c r="H82" s="74"/>
      <c r="I82" s="74">
        <f t="shared" si="27"/>
        <v>107373</v>
      </c>
      <c r="J82" s="74">
        <v>3000</v>
      </c>
      <c r="K82" s="74">
        <f t="shared" si="28"/>
        <v>110373</v>
      </c>
    </row>
    <row r="83" spans="1:11" s="24" customFormat="1" ht="21" customHeight="1">
      <c r="A83" s="79"/>
      <c r="B83" s="75"/>
      <c r="C83" s="60">
        <v>4260</v>
      </c>
      <c r="D83" s="38" t="s">
        <v>97</v>
      </c>
      <c r="E83" s="74">
        <v>102000</v>
      </c>
      <c r="F83" s="74"/>
      <c r="G83" s="74">
        <f t="shared" si="26"/>
        <v>102000</v>
      </c>
      <c r="H83" s="74"/>
      <c r="I83" s="74">
        <f t="shared" si="27"/>
        <v>102000</v>
      </c>
      <c r="J83" s="74"/>
      <c r="K83" s="74">
        <f t="shared" si="28"/>
        <v>102000</v>
      </c>
    </row>
    <row r="84" spans="1:11" s="24" customFormat="1" ht="21" customHeight="1">
      <c r="A84" s="79"/>
      <c r="B84" s="75"/>
      <c r="C84" s="60">
        <v>4270</v>
      </c>
      <c r="D84" s="38" t="s">
        <v>80</v>
      </c>
      <c r="E84" s="74">
        <v>109000</v>
      </c>
      <c r="F84" s="74">
        <v>-50000</v>
      </c>
      <c r="G84" s="74">
        <f t="shared" si="26"/>
        <v>59000</v>
      </c>
      <c r="H84" s="74"/>
      <c r="I84" s="74">
        <f t="shared" si="27"/>
        <v>59000</v>
      </c>
      <c r="J84" s="74"/>
      <c r="K84" s="74">
        <f t="shared" si="28"/>
        <v>59000</v>
      </c>
    </row>
    <row r="85" spans="1:11" s="24" customFormat="1" ht="21" customHeight="1">
      <c r="A85" s="79"/>
      <c r="B85" s="75"/>
      <c r="C85" s="60">
        <v>4280</v>
      </c>
      <c r="D85" s="38" t="s">
        <v>218</v>
      </c>
      <c r="E85" s="74">
        <v>10200</v>
      </c>
      <c r="F85" s="74"/>
      <c r="G85" s="74">
        <f t="shared" si="26"/>
        <v>10200</v>
      </c>
      <c r="H85" s="74"/>
      <c r="I85" s="74">
        <f t="shared" si="27"/>
        <v>10200</v>
      </c>
      <c r="J85" s="74"/>
      <c r="K85" s="74">
        <f t="shared" si="28"/>
        <v>10200</v>
      </c>
    </row>
    <row r="86" spans="1:11" s="24" customFormat="1" ht="21" customHeight="1">
      <c r="A86" s="79"/>
      <c r="B86" s="75"/>
      <c r="C86" s="60">
        <v>4300</v>
      </c>
      <c r="D86" s="38" t="s">
        <v>81</v>
      </c>
      <c r="E86" s="74">
        <v>168000</v>
      </c>
      <c r="F86" s="74"/>
      <c r="G86" s="74">
        <f t="shared" si="26"/>
        <v>168000</v>
      </c>
      <c r="H86" s="74"/>
      <c r="I86" s="74">
        <f t="shared" si="27"/>
        <v>168000</v>
      </c>
      <c r="J86" s="74">
        <v>14000</v>
      </c>
      <c r="K86" s="74">
        <f t="shared" si="28"/>
        <v>182000</v>
      </c>
    </row>
    <row r="87" spans="1:11" s="24" customFormat="1" ht="21" customHeight="1">
      <c r="A87" s="79"/>
      <c r="B87" s="75"/>
      <c r="C87" s="60">
        <v>4350</v>
      </c>
      <c r="D87" s="38" t="s">
        <v>207</v>
      </c>
      <c r="E87" s="74">
        <v>14500</v>
      </c>
      <c r="F87" s="74"/>
      <c r="G87" s="74">
        <f t="shared" si="26"/>
        <v>14500</v>
      </c>
      <c r="H87" s="74"/>
      <c r="I87" s="74">
        <f t="shared" si="27"/>
        <v>14500</v>
      </c>
      <c r="J87" s="74"/>
      <c r="K87" s="74">
        <f t="shared" si="28"/>
        <v>14500</v>
      </c>
    </row>
    <row r="88" spans="1:11" s="24" customFormat="1" ht="27.75" customHeight="1">
      <c r="A88" s="79"/>
      <c r="B88" s="75"/>
      <c r="C88" s="60">
        <v>4360</v>
      </c>
      <c r="D88" s="38" t="s">
        <v>228</v>
      </c>
      <c r="E88" s="74">
        <v>26000</v>
      </c>
      <c r="F88" s="74"/>
      <c r="G88" s="74">
        <f t="shared" si="26"/>
        <v>26000</v>
      </c>
      <c r="H88" s="74"/>
      <c r="I88" s="74">
        <f t="shared" si="27"/>
        <v>26000</v>
      </c>
      <c r="J88" s="74"/>
      <c r="K88" s="74">
        <f t="shared" si="28"/>
        <v>26000</v>
      </c>
    </row>
    <row r="89" spans="1:11" s="24" customFormat="1" ht="27" customHeight="1">
      <c r="A89" s="79"/>
      <c r="B89" s="75"/>
      <c r="C89" s="60">
        <v>4370</v>
      </c>
      <c r="D89" s="38" t="s">
        <v>225</v>
      </c>
      <c r="E89" s="74">
        <v>28500</v>
      </c>
      <c r="F89" s="74"/>
      <c r="G89" s="74">
        <f t="shared" si="26"/>
        <v>28500</v>
      </c>
      <c r="H89" s="74"/>
      <c r="I89" s="74">
        <f t="shared" si="27"/>
        <v>28500</v>
      </c>
      <c r="J89" s="74"/>
      <c r="K89" s="74">
        <f t="shared" si="28"/>
        <v>28500</v>
      </c>
    </row>
    <row r="90" spans="1:11" s="24" customFormat="1" ht="16.5" customHeight="1">
      <c r="A90" s="79"/>
      <c r="B90" s="75"/>
      <c r="C90" s="60">
        <v>4410</v>
      </c>
      <c r="D90" s="38" t="s">
        <v>92</v>
      </c>
      <c r="E90" s="74">
        <v>55000</v>
      </c>
      <c r="F90" s="74">
        <v>-20000</v>
      </c>
      <c r="G90" s="74">
        <f t="shared" si="26"/>
        <v>35000</v>
      </c>
      <c r="H90" s="74"/>
      <c r="I90" s="74">
        <f t="shared" si="27"/>
        <v>35000</v>
      </c>
      <c r="J90" s="74"/>
      <c r="K90" s="74">
        <f t="shared" si="28"/>
        <v>35000</v>
      </c>
    </row>
    <row r="91" spans="1:11" s="24" customFormat="1" ht="15.75" customHeight="1">
      <c r="A91" s="79"/>
      <c r="B91" s="75"/>
      <c r="C91" s="60">
        <v>4420</v>
      </c>
      <c r="D91" s="38" t="s">
        <v>95</v>
      </c>
      <c r="E91" s="74"/>
      <c r="F91" s="74"/>
      <c r="G91" s="74"/>
      <c r="H91" s="74"/>
      <c r="I91" s="74">
        <v>0</v>
      </c>
      <c r="J91" s="74">
        <v>500</v>
      </c>
      <c r="K91" s="74">
        <f t="shared" si="28"/>
        <v>500</v>
      </c>
    </row>
    <row r="92" spans="1:11" s="24" customFormat="1" ht="16.5" customHeight="1">
      <c r="A92" s="79"/>
      <c r="B92" s="75"/>
      <c r="C92" s="63">
        <v>4430</v>
      </c>
      <c r="D92" s="38" t="s">
        <v>96</v>
      </c>
      <c r="E92" s="74">
        <v>8300</v>
      </c>
      <c r="F92" s="74"/>
      <c r="G92" s="74">
        <f t="shared" si="26"/>
        <v>8300</v>
      </c>
      <c r="H92" s="74"/>
      <c r="I92" s="74">
        <f t="shared" si="27"/>
        <v>8300</v>
      </c>
      <c r="J92" s="74"/>
      <c r="K92" s="74">
        <f t="shared" si="28"/>
        <v>8300</v>
      </c>
    </row>
    <row r="93" spans="1:11" s="24" customFormat="1" ht="24">
      <c r="A93" s="79"/>
      <c r="B93" s="75"/>
      <c r="C93" s="63">
        <v>4440</v>
      </c>
      <c r="D93" s="38" t="s">
        <v>90</v>
      </c>
      <c r="E93" s="74">
        <v>108869</v>
      </c>
      <c r="F93" s="74"/>
      <c r="G93" s="74">
        <f t="shared" si="26"/>
        <v>108869</v>
      </c>
      <c r="H93" s="74"/>
      <c r="I93" s="74">
        <f t="shared" si="27"/>
        <v>108869</v>
      </c>
      <c r="J93" s="74">
        <v>-17500</v>
      </c>
      <c r="K93" s="74">
        <f t="shared" si="28"/>
        <v>91369</v>
      </c>
    </row>
    <row r="94" spans="1:11" s="24" customFormat="1" ht="15.75" customHeight="1">
      <c r="A94" s="79"/>
      <c r="B94" s="75"/>
      <c r="C94" s="63">
        <v>4510</v>
      </c>
      <c r="D94" s="38" t="s">
        <v>148</v>
      </c>
      <c r="E94" s="74"/>
      <c r="F94" s="74"/>
      <c r="G94" s="74"/>
      <c r="H94" s="74"/>
      <c r="I94" s="74">
        <v>0</v>
      </c>
      <c r="J94" s="74">
        <v>500</v>
      </c>
      <c r="K94" s="74">
        <f t="shared" si="28"/>
        <v>500</v>
      </c>
    </row>
    <row r="95" spans="1:11" s="24" customFormat="1" ht="22.5" customHeight="1">
      <c r="A95" s="79"/>
      <c r="B95" s="75"/>
      <c r="C95" s="63">
        <v>4700</v>
      </c>
      <c r="D95" s="38" t="s">
        <v>254</v>
      </c>
      <c r="E95" s="74">
        <v>40800</v>
      </c>
      <c r="F95" s="74">
        <v>-10000</v>
      </c>
      <c r="G95" s="74">
        <f t="shared" si="26"/>
        <v>30800</v>
      </c>
      <c r="H95" s="74"/>
      <c r="I95" s="74">
        <f t="shared" si="27"/>
        <v>30800</v>
      </c>
      <c r="J95" s="74">
        <v>-500</v>
      </c>
      <c r="K95" s="74">
        <f t="shared" si="28"/>
        <v>30300</v>
      </c>
    </row>
    <row r="96" spans="1:11" s="24" customFormat="1" ht="28.5" customHeight="1">
      <c r="A96" s="79"/>
      <c r="B96" s="75"/>
      <c r="C96" s="63">
        <v>4740</v>
      </c>
      <c r="D96" s="38" t="s">
        <v>272</v>
      </c>
      <c r="E96" s="74">
        <v>20000</v>
      </c>
      <c r="F96" s="74"/>
      <c r="G96" s="74">
        <f t="shared" si="26"/>
        <v>20000</v>
      </c>
      <c r="H96" s="74"/>
      <c r="I96" s="74">
        <f t="shared" si="27"/>
        <v>20000</v>
      </c>
      <c r="J96" s="74"/>
      <c r="K96" s="74">
        <f t="shared" si="28"/>
        <v>20000</v>
      </c>
    </row>
    <row r="97" spans="1:11" s="24" customFormat="1" ht="27.75" customHeight="1">
      <c r="A97" s="79"/>
      <c r="B97" s="75"/>
      <c r="C97" s="63">
        <v>4750</v>
      </c>
      <c r="D97" s="38" t="s">
        <v>227</v>
      </c>
      <c r="E97" s="74">
        <v>119519</v>
      </c>
      <c r="F97" s="74"/>
      <c r="G97" s="74">
        <f>SUM(E97:F97)</f>
        <v>119519</v>
      </c>
      <c r="H97" s="74"/>
      <c r="I97" s="74">
        <f>SUM(G97:H97)</f>
        <v>119519</v>
      </c>
      <c r="J97" s="74"/>
      <c r="K97" s="74">
        <f>SUM(I97:J97)</f>
        <v>119519</v>
      </c>
    </row>
    <row r="98" spans="1:16" s="24" customFormat="1" ht="24">
      <c r="A98" s="79"/>
      <c r="B98" s="75"/>
      <c r="C98" s="63">
        <v>6050</v>
      </c>
      <c r="D98" s="38" t="s">
        <v>75</v>
      </c>
      <c r="E98" s="74">
        <v>150000</v>
      </c>
      <c r="F98" s="74">
        <v>-100000</v>
      </c>
      <c r="G98" s="74">
        <f t="shared" si="26"/>
        <v>50000</v>
      </c>
      <c r="H98" s="74"/>
      <c r="I98" s="74">
        <f>SUM(G98:H98)</f>
        <v>50000</v>
      </c>
      <c r="J98" s="74"/>
      <c r="K98" s="74">
        <f>SUM(I98:J98)</f>
        <v>50000</v>
      </c>
      <c r="N98" s="112"/>
      <c r="O98" s="112"/>
      <c r="P98" s="112"/>
    </row>
    <row r="99" spans="1:11" s="24" customFormat="1" ht="24">
      <c r="A99" s="79"/>
      <c r="B99" s="75">
        <v>75075</v>
      </c>
      <c r="C99" s="79"/>
      <c r="D99" s="38" t="s">
        <v>204</v>
      </c>
      <c r="E99" s="74">
        <f aca="true" t="shared" si="29" ref="E99:K99">SUM(E100:E110)</f>
        <v>238000</v>
      </c>
      <c r="F99" s="74">
        <f t="shared" si="29"/>
        <v>-48000</v>
      </c>
      <c r="G99" s="74">
        <f t="shared" si="29"/>
        <v>190000</v>
      </c>
      <c r="H99" s="74">
        <f t="shared" si="29"/>
        <v>0</v>
      </c>
      <c r="I99" s="74">
        <f t="shared" si="29"/>
        <v>190000</v>
      </c>
      <c r="J99" s="74">
        <f t="shared" si="29"/>
        <v>0</v>
      </c>
      <c r="K99" s="74">
        <f t="shared" si="29"/>
        <v>190000</v>
      </c>
    </row>
    <row r="100" spans="1:11" s="24" customFormat="1" ht="21" customHeight="1">
      <c r="A100" s="79"/>
      <c r="B100" s="75"/>
      <c r="C100" s="79">
        <v>3020</v>
      </c>
      <c r="D100" s="38" t="s">
        <v>191</v>
      </c>
      <c r="E100" s="74">
        <v>10000</v>
      </c>
      <c r="F100" s="74"/>
      <c r="G100" s="74">
        <f>SUM(E100:F100)</f>
        <v>10000</v>
      </c>
      <c r="H100" s="74"/>
      <c r="I100" s="74">
        <f>SUM(G100:H100)</f>
        <v>10000</v>
      </c>
      <c r="J100" s="74"/>
      <c r="K100" s="74">
        <f>SUM(I100:J100)</f>
        <v>10000</v>
      </c>
    </row>
    <row r="101" spans="1:11" s="24" customFormat="1" ht="21" customHeight="1">
      <c r="A101" s="79"/>
      <c r="B101" s="75"/>
      <c r="C101" s="79">
        <v>4110</v>
      </c>
      <c r="D101" s="38" t="s">
        <v>88</v>
      </c>
      <c r="E101" s="74">
        <v>1300</v>
      </c>
      <c r="F101" s="74"/>
      <c r="G101" s="74">
        <f aca="true" t="shared" si="30" ref="G101:G110">SUM(E101:F101)</f>
        <v>1300</v>
      </c>
      <c r="H101" s="74"/>
      <c r="I101" s="74">
        <f aca="true" t="shared" si="31" ref="I101:I110">SUM(G101:H101)</f>
        <v>1300</v>
      </c>
      <c r="J101" s="74"/>
      <c r="K101" s="74">
        <f aca="true" t="shared" si="32" ref="K101:K110">SUM(I101:J101)</f>
        <v>1300</v>
      </c>
    </row>
    <row r="102" spans="1:11" s="24" customFormat="1" ht="21" customHeight="1">
      <c r="A102" s="79"/>
      <c r="B102" s="75"/>
      <c r="C102" s="79">
        <v>4120</v>
      </c>
      <c r="D102" s="38" t="s">
        <v>89</v>
      </c>
      <c r="E102" s="74">
        <v>200</v>
      </c>
      <c r="F102" s="74"/>
      <c r="G102" s="74">
        <f t="shared" si="30"/>
        <v>200</v>
      </c>
      <c r="H102" s="74"/>
      <c r="I102" s="74">
        <f t="shared" si="31"/>
        <v>200</v>
      </c>
      <c r="J102" s="74"/>
      <c r="K102" s="74">
        <f t="shared" si="32"/>
        <v>200</v>
      </c>
    </row>
    <row r="103" spans="1:11" s="24" customFormat="1" ht="21" customHeight="1">
      <c r="A103" s="79"/>
      <c r="B103" s="75"/>
      <c r="C103" s="79">
        <v>4170</v>
      </c>
      <c r="D103" s="38" t="s">
        <v>194</v>
      </c>
      <c r="E103" s="74">
        <v>15000</v>
      </c>
      <c r="F103" s="74"/>
      <c r="G103" s="74">
        <f t="shared" si="30"/>
        <v>15000</v>
      </c>
      <c r="H103" s="74"/>
      <c r="I103" s="74">
        <f t="shared" si="31"/>
        <v>15000</v>
      </c>
      <c r="J103" s="74"/>
      <c r="K103" s="74">
        <f t="shared" si="32"/>
        <v>15000</v>
      </c>
    </row>
    <row r="104" spans="1:11" s="24" customFormat="1" ht="21" customHeight="1">
      <c r="A104" s="79"/>
      <c r="B104" s="75"/>
      <c r="C104" s="79">
        <v>4210</v>
      </c>
      <c r="D104" s="38" t="s">
        <v>94</v>
      </c>
      <c r="E104" s="74">
        <v>64500</v>
      </c>
      <c r="F104" s="74">
        <v>-20000</v>
      </c>
      <c r="G104" s="74">
        <f t="shared" si="30"/>
        <v>44500</v>
      </c>
      <c r="H104" s="74"/>
      <c r="I104" s="74">
        <f t="shared" si="31"/>
        <v>44500</v>
      </c>
      <c r="J104" s="74"/>
      <c r="K104" s="74">
        <f t="shared" si="32"/>
        <v>44500</v>
      </c>
    </row>
    <row r="105" spans="1:11" s="24" customFormat="1" ht="21" customHeight="1">
      <c r="A105" s="79"/>
      <c r="B105" s="75"/>
      <c r="C105" s="60">
        <v>4300</v>
      </c>
      <c r="D105" s="38" t="s">
        <v>81</v>
      </c>
      <c r="E105" s="74">
        <v>130200</v>
      </c>
      <c r="F105" s="74">
        <f>-23000-5000</f>
        <v>-28000</v>
      </c>
      <c r="G105" s="74">
        <f t="shared" si="30"/>
        <v>102200</v>
      </c>
      <c r="H105" s="74"/>
      <c r="I105" s="74">
        <f t="shared" si="31"/>
        <v>102200</v>
      </c>
      <c r="J105" s="74"/>
      <c r="K105" s="74">
        <f t="shared" si="32"/>
        <v>102200</v>
      </c>
    </row>
    <row r="106" spans="1:11" s="24" customFormat="1" ht="21" customHeight="1">
      <c r="A106" s="79"/>
      <c r="B106" s="75"/>
      <c r="C106" s="60">
        <v>4410</v>
      </c>
      <c r="D106" s="38" t="s">
        <v>92</v>
      </c>
      <c r="E106" s="74">
        <v>4000</v>
      </c>
      <c r="F106" s="74"/>
      <c r="G106" s="74">
        <f t="shared" si="30"/>
        <v>4000</v>
      </c>
      <c r="H106" s="74"/>
      <c r="I106" s="74">
        <f t="shared" si="31"/>
        <v>4000</v>
      </c>
      <c r="J106" s="74"/>
      <c r="K106" s="74">
        <f t="shared" si="32"/>
        <v>4000</v>
      </c>
    </row>
    <row r="107" spans="1:11" s="24" customFormat="1" ht="21" customHeight="1">
      <c r="A107" s="79"/>
      <c r="B107" s="75"/>
      <c r="C107" s="79">
        <v>4420</v>
      </c>
      <c r="D107" s="38" t="s">
        <v>95</v>
      </c>
      <c r="E107" s="74">
        <v>10000</v>
      </c>
      <c r="F107" s="74"/>
      <c r="G107" s="74">
        <f t="shared" si="30"/>
        <v>10000</v>
      </c>
      <c r="H107" s="74"/>
      <c r="I107" s="74">
        <f t="shared" si="31"/>
        <v>10000</v>
      </c>
      <c r="J107" s="74"/>
      <c r="K107" s="74">
        <f t="shared" si="32"/>
        <v>10000</v>
      </c>
    </row>
    <row r="108" spans="1:11" s="24" customFormat="1" ht="21" customHeight="1">
      <c r="A108" s="79"/>
      <c r="B108" s="75"/>
      <c r="C108" s="60">
        <v>4430</v>
      </c>
      <c r="D108" s="38" t="s">
        <v>96</v>
      </c>
      <c r="E108" s="74">
        <v>2000</v>
      </c>
      <c r="F108" s="74"/>
      <c r="G108" s="74">
        <f t="shared" si="30"/>
        <v>2000</v>
      </c>
      <c r="H108" s="74"/>
      <c r="I108" s="74">
        <f t="shared" si="31"/>
        <v>2000</v>
      </c>
      <c r="J108" s="74"/>
      <c r="K108" s="74">
        <f t="shared" si="32"/>
        <v>2000</v>
      </c>
    </row>
    <row r="109" spans="1:11" s="24" customFormat="1" ht="28.5" customHeight="1">
      <c r="A109" s="79"/>
      <c r="B109" s="75"/>
      <c r="C109" s="60">
        <v>4740</v>
      </c>
      <c r="D109" s="38" t="s">
        <v>272</v>
      </c>
      <c r="E109" s="74">
        <v>300</v>
      </c>
      <c r="F109" s="74"/>
      <c r="G109" s="74">
        <f t="shared" si="30"/>
        <v>300</v>
      </c>
      <c r="H109" s="74"/>
      <c r="I109" s="74">
        <f t="shared" si="31"/>
        <v>300</v>
      </c>
      <c r="J109" s="74"/>
      <c r="K109" s="74">
        <f t="shared" si="32"/>
        <v>300</v>
      </c>
    </row>
    <row r="110" spans="1:11" s="24" customFormat="1" ht="24">
      <c r="A110" s="79"/>
      <c r="B110" s="75"/>
      <c r="C110" s="60">
        <v>4750</v>
      </c>
      <c r="D110" s="38" t="s">
        <v>227</v>
      </c>
      <c r="E110" s="74">
        <v>500</v>
      </c>
      <c r="F110" s="74"/>
      <c r="G110" s="74">
        <f t="shared" si="30"/>
        <v>500</v>
      </c>
      <c r="H110" s="74"/>
      <c r="I110" s="74">
        <f t="shared" si="31"/>
        <v>500</v>
      </c>
      <c r="J110" s="74"/>
      <c r="K110" s="74">
        <f t="shared" si="32"/>
        <v>500</v>
      </c>
    </row>
    <row r="111" spans="1:11" s="24" customFormat="1" ht="21" customHeight="1">
      <c r="A111" s="79"/>
      <c r="B111" s="75">
        <v>75095</v>
      </c>
      <c r="C111" s="60"/>
      <c r="D111" s="38" t="s">
        <v>6</v>
      </c>
      <c r="E111" s="74">
        <f aca="true" t="shared" si="33" ref="E111:K111">SUM(E112:E115)</f>
        <v>114765</v>
      </c>
      <c r="F111" s="74">
        <f t="shared" si="33"/>
        <v>0</v>
      </c>
      <c r="G111" s="74">
        <f t="shared" si="33"/>
        <v>114765</v>
      </c>
      <c r="H111" s="74">
        <f t="shared" si="33"/>
        <v>0</v>
      </c>
      <c r="I111" s="74">
        <f t="shared" si="33"/>
        <v>114765</v>
      </c>
      <c r="J111" s="74">
        <f t="shared" si="33"/>
        <v>0</v>
      </c>
      <c r="K111" s="74">
        <f t="shared" si="33"/>
        <v>114765</v>
      </c>
    </row>
    <row r="112" spans="1:11" s="24" customFormat="1" ht="21" customHeight="1">
      <c r="A112" s="79"/>
      <c r="B112" s="75"/>
      <c r="C112" s="60">
        <v>3030</v>
      </c>
      <c r="D112" s="38" t="s">
        <v>91</v>
      </c>
      <c r="E112" s="74">
        <v>60000</v>
      </c>
      <c r="F112" s="74"/>
      <c r="G112" s="74">
        <f>SUM(E112:F112)</f>
        <v>60000</v>
      </c>
      <c r="H112" s="74"/>
      <c r="I112" s="74">
        <f>SUM(G112:H112)</f>
        <v>60000</v>
      </c>
      <c r="J112" s="74"/>
      <c r="K112" s="74">
        <f>SUM(I112:J112)</f>
        <v>60000</v>
      </c>
    </row>
    <row r="113" spans="1:11" s="24" customFormat="1" ht="21" customHeight="1">
      <c r="A113" s="79"/>
      <c r="B113" s="75"/>
      <c r="C113" s="60">
        <v>4210</v>
      </c>
      <c r="D113" s="38" t="s">
        <v>94</v>
      </c>
      <c r="E113" s="74">
        <f>6000+1665</f>
        <v>7665</v>
      </c>
      <c r="F113" s="74"/>
      <c r="G113" s="74">
        <f>SUM(E113:F113)</f>
        <v>7665</v>
      </c>
      <c r="H113" s="74"/>
      <c r="I113" s="74">
        <f>SUM(G113:H113)</f>
        <v>7665</v>
      </c>
      <c r="J113" s="74"/>
      <c r="K113" s="74">
        <f>SUM(I113:J113)</f>
        <v>7665</v>
      </c>
    </row>
    <row r="114" spans="1:11" s="24" customFormat="1" ht="21" customHeight="1">
      <c r="A114" s="79"/>
      <c r="B114" s="75"/>
      <c r="C114" s="60">
        <v>4410</v>
      </c>
      <c r="D114" s="38" t="s">
        <v>92</v>
      </c>
      <c r="E114" s="74">
        <v>6000</v>
      </c>
      <c r="F114" s="74"/>
      <c r="G114" s="74">
        <f>SUM(E114:F114)</f>
        <v>6000</v>
      </c>
      <c r="H114" s="74"/>
      <c r="I114" s="74">
        <f>SUM(G114:H114)</f>
        <v>6000</v>
      </c>
      <c r="J114" s="74"/>
      <c r="K114" s="74">
        <f>SUM(I114:J114)</f>
        <v>6000</v>
      </c>
    </row>
    <row r="115" spans="1:11" s="24" customFormat="1" ht="21" customHeight="1">
      <c r="A115" s="79"/>
      <c r="B115" s="75"/>
      <c r="C115" s="60">
        <v>4430</v>
      </c>
      <c r="D115" s="38" t="s">
        <v>96</v>
      </c>
      <c r="E115" s="74">
        <v>41100</v>
      </c>
      <c r="F115" s="74"/>
      <c r="G115" s="74">
        <f>SUM(E115:F115)</f>
        <v>41100</v>
      </c>
      <c r="H115" s="74"/>
      <c r="I115" s="74">
        <f>SUM(G115:H115)</f>
        <v>41100</v>
      </c>
      <c r="J115" s="74"/>
      <c r="K115" s="74">
        <f>SUM(I115:J115)</f>
        <v>41100</v>
      </c>
    </row>
    <row r="116" spans="1:11" s="7" customFormat="1" ht="36">
      <c r="A116" s="33">
        <v>751</v>
      </c>
      <c r="B116" s="34"/>
      <c r="C116" s="35"/>
      <c r="D116" s="36" t="s">
        <v>100</v>
      </c>
      <c r="E116" s="37">
        <f aca="true" t="shared" si="34" ref="E116:K116">SUM(E117)</f>
        <v>3952</v>
      </c>
      <c r="F116" s="37">
        <f t="shared" si="34"/>
        <v>0</v>
      </c>
      <c r="G116" s="37">
        <f t="shared" si="34"/>
        <v>3952</v>
      </c>
      <c r="H116" s="37">
        <f t="shared" si="34"/>
        <v>0</v>
      </c>
      <c r="I116" s="37">
        <f t="shared" si="34"/>
        <v>3952</v>
      </c>
      <c r="J116" s="37">
        <f t="shared" si="34"/>
        <v>0</v>
      </c>
      <c r="K116" s="37">
        <f t="shared" si="34"/>
        <v>3952</v>
      </c>
    </row>
    <row r="117" spans="1:11" s="24" customFormat="1" ht="28.5" customHeight="1">
      <c r="A117" s="79"/>
      <c r="B117" s="75">
        <v>75101</v>
      </c>
      <c r="C117" s="79"/>
      <c r="D117" s="38" t="s">
        <v>21</v>
      </c>
      <c r="E117" s="74">
        <f aca="true" t="shared" si="35" ref="E117:K117">SUM(E118:E120)</f>
        <v>3952</v>
      </c>
      <c r="F117" s="74">
        <f t="shared" si="35"/>
        <v>0</v>
      </c>
      <c r="G117" s="74">
        <f t="shared" si="35"/>
        <v>3952</v>
      </c>
      <c r="H117" s="74">
        <f t="shared" si="35"/>
        <v>0</v>
      </c>
      <c r="I117" s="74">
        <f t="shared" si="35"/>
        <v>3952</v>
      </c>
      <c r="J117" s="74">
        <f t="shared" si="35"/>
        <v>0</v>
      </c>
      <c r="K117" s="74">
        <f t="shared" si="35"/>
        <v>3952</v>
      </c>
    </row>
    <row r="118" spans="1:11" s="24" customFormat="1" ht="21.75" customHeight="1">
      <c r="A118" s="79"/>
      <c r="B118" s="75"/>
      <c r="C118" s="79">
        <v>4010</v>
      </c>
      <c r="D118" s="38" t="s">
        <v>86</v>
      </c>
      <c r="E118" s="74">
        <v>3360</v>
      </c>
      <c r="F118" s="74"/>
      <c r="G118" s="74">
        <f>SUM(E118:F118)</f>
        <v>3360</v>
      </c>
      <c r="H118" s="74"/>
      <c r="I118" s="74">
        <f>SUM(G118:H118)</f>
        <v>3360</v>
      </c>
      <c r="J118" s="74"/>
      <c r="K118" s="74">
        <f>SUM(I118:J118)</f>
        <v>3360</v>
      </c>
    </row>
    <row r="119" spans="1:11" s="24" customFormat="1" ht="18.75" customHeight="1">
      <c r="A119" s="79"/>
      <c r="B119" s="75"/>
      <c r="C119" s="79">
        <v>4110</v>
      </c>
      <c r="D119" s="38" t="s">
        <v>88</v>
      </c>
      <c r="E119" s="74">
        <v>510</v>
      </c>
      <c r="F119" s="74"/>
      <c r="G119" s="74">
        <f>SUM(E119:F119)</f>
        <v>510</v>
      </c>
      <c r="H119" s="74"/>
      <c r="I119" s="74">
        <f>SUM(G119:H119)</f>
        <v>510</v>
      </c>
      <c r="J119" s="74"/>
      <c r="K119" s="74">
        <f>SUM(I119:J119)</f>
        <v>510</v>
      </c>
    </row>
    <row r="120" spans="1:11" s="24" customFormat="1" ht="19.5" customHeight="1">
      <c r="A120" s="79"/>
      <c r="B120" s="75"/>
      <c r="C120" s="79">
        <v>4120</v>
      </c>
      <c r="D120" s="38" t="s">
        <v>89</v>
      </c>
      <c r="E120" s="74">
        <v>82</v>
      </c>
      <c r="F120" s="74"/>
      <c r="G120" s="74">
        <f>SUM(E120:F120)</f>
        <v>82</v>
      </c>
      <c r="H120" s="74"/>
      <c r="I120" s="74">
        <f>SUM(G120:H120)</f>
        <v>82</v>
      </c>
      <c r="J120" s="74"/>
      <c r="K120" s="74">
        <f>SUM(I120:J120)</f>
        <v>82</v>
      </c>
    </row>
    <row r="121" spans="1:11" s="7" customFormat="1" ht="24.75" customHeight="1">
      <c r="A121" s="33" t="s">
        <v>22</v>
      </c>
      <c r="B121" s="34"/>
      <c r="C121" s="35"/>
      <c r="D121" s="36" t="s">
        <v>23</v>
      </c>
      <c r="E121" s="37">
        <f aca="true" t="shared" si="36" ref="E121:K121">SUM(E122,E137,E154,)</f>
        <v>481515</v>
      </c>
      <c r="F121" s="37">
        <f t="shared" si="36"/>
        <v>290000</v>
      </c>
      <c r="G121" s="37">
        <f t="shared" si="36"/>
        <v>771515</v>
      </c>
      <c r="H121" s="37">
        <f t="shared" si="36"/>
        <v>0</v>
      </c>
      <c r="I121" s="37">
        <f t="shared" si="36"/>
        <v>771515</v>
      </c>
      <c r="J121" s="37">
        <f t="shared" si="36"/>
        <v>0</v>
      </c>
      <c r="K121" s="37">
        <f t="shared" si="36"/>
        <v>771515</v>
      </c>
    </row>
    <row r="122" spans="1:11" s="24" customFormat="1" ht="21.75" customHeight="1">
      <c r="A122" s="79"/>
      <c r="B122" s="75" t="s">
        <v>101</v>
      </c>
      <c r="C122" s="79"/>
      <c r="D122" s="38" t="s">
        <v>102</v>
      </c>
      <c r="E122" s="74">
        <f aca="true" t="shared" si="37" ref="E122:K122">SUM(E123:E136)</f>
        <v>197515</v>
      </c>
      <c r="F122" s="74">
        <f t="shared" si="37"/>
        <v>220000</v>
      </c>
      <c r="G122" s="74">
        <f t="shared" si="37"/>
        <v>417515</v>
      </c>
      <c r="H122" s="74">
        <f t="shared" si="37"/>
        <v>0</v>
      </c>
      <c r="I122" s="74">
        <f t="shared" si="37"/>
        <v>417515</v>
      </c>
      <c r="J122" s="74">
        <f t="shared" si="37"/>
        <v>0</v>
      </c>
      <c r="K122" s="74">
        <f t="shared" si="37"/>
        <v>417515</v>
      </c>
    </row>
    <row r="123" spans="1:11" s="24" customFormat="1" ht="21" customHeight="1">
      <c r="A123" s="79"/>
      <c r="B123" s="75"/>
      <c r="C123" s="79">
        <v>3020</v>
      </c>
      <c r="D123" s="38" t="s">
        <v>191</v>
      </c>
      <c r="E123" s="74">
        <f>1200+1000+13600</f>
        <v>15800</v>
      </c>
      <c r="F123" s="74"/>
      <c r="G123" s="74">
        <f>SUM(E123:F123)</f>
        <v>15800</v>
      </c>
      <c r="H123" s="74"/>
      <c r="I123" s="74">
        <f>SUM(G123:H123)</f>
        <v>15800</v>
      </c>
      <c r="J123" s="74"/>
      <c r="K123" s="74">
        <f>SUM(I123:J123)</f>
        <v>15800</v>
      </c>
    </row>
    <row r="124" spans="1:11" s="24" customFormat="1" ht="21" customHeight="1">
      <c r="A124" s="79"/>
      <c r="B124" s="75"/>
      <c r="C124" s="79">
        <v>3030</v>
      </c>
      <c r="D124" s="38" t="s">
        <v>91</v>
      </c>
      <c r="E124" s="74">
        <v>14180</v>
      </c>
      <c r="F124" s="74"/>
      <c r="G124" s="74">
        <f aca="true" t="shared" si="38" ref="G124:G136">SUM(E124:F124)</f>
        <v>14180</v>
      </c>
      <c r="H124" s="74"/>
      <c r="I124" s="74">
        <f aca="true" t="shared" si="39" ref="I124:I136">SUM(G124:H124)</f>
        <v>14180</v>
      </c>
      <c r="J124" s="74"/>
      <c r="K124" s="74">
        <f aca="true" t="shared" si="40" ref="K124:K136">SUM(I124:J124)</f>
        <v>14180</v>
      </c>
    </row>
    <row r="125" spans="1:11" s="24" customFormat="1" ht="21" customHeight="1">
      <c r="A125" s="79"/>
      <c r="B125" s="75"/>
      <c r="C125" s="79">
        <v>4110</v>
      </c>
      <c r="D125" s="38" t="s">
        <v>88</v>
      </c>
      <c r="E125" s="74">
        <v>5500</v>
      </c>
      <c r="F125" s="74"/>
      <c r="G125" s="74">
        <f t="shared" si="38"/>
        <v>5500</v>
      </c>
      <c r="H125" s="74"/>
      <c r="I125" s="74">
        <f t="shared" si="39"/>
        <v>5500</v>
      </c>
      <c r="J125" s="74"/>
      <c r="K125" s="74">
        <f t="shared" si="40"/>
        <v>5500</v>
      </c>
    </row>
    <row r="126" spans="1:11" s="24" customFormat="1" ht="21" customHeight="1">
      <c r="A126" s="79"/>
      <c r="B126" s="75"/>
      <c r="C126" s="79">
        <v>4120</v>
      </c>
      <c r="D126" s="38" t="s">
        <v>219</v>
      </c>
      <c r="E126" s="74">
        <v>880</v>
      </c>
      <c r="F126" s="74"/>
      <c r="G126" s="74">
        <f t="shared" si="38"/>
        <v>880</v>
      </c>
      <c r="H126" s="74"/>
      <c r="I126" s="74">
        <f t="shared" si="39"/>
        <v>880</v>
      </c>
      <c r="J126" s="74"/>
      <c r="K126" s="74">
        <f t="shared" si="40"/>
        <v>880</v>
      </c>
    </row>
    <row r="127" spans="1:11" s="24" customFormat="1" ht="21" customHeight="1">
      <c r="A127" s="79"/>
      <c r="B127" s="75"/>
      <c r="C127" s="60">
        <v>4170</v>
      </c>
      <c r="D127" s="38" t="s">
        <v>194</v>
      </c>
      <c r="E127" s="74">
        <v>35640</v>
      </c>
      <c r="F127" s="74"/>
      <c r="G127" s="74">
        <f t="shared" si="38"/>
        <v>35640</v>
      </c>
      <c r="H127" s="74"/>
      <c r="I127" s="74">
        <f t="shared" si="39"/>
        <v>35640</v>
      </c>
      <c r="J127" s="74"/>
      <c r="K127" s="74">
        <f t="shared" si="40"/>
        <v>35640</v>
      </c>
    </row>
    <row r="128" spans="1:11" s="24" customFormat="1" ht="21" customHeight="1">
      <c r="A128" s="79"/>
      <c r="B128" s="75"/>
      <c r="C128" s="60">
        <v>4210</v>
      </c>
      <c r="D128" s="38" t="s">
        <v>94</v>
      </c>
      <c r="E128" s="74">
        <f>32800+3400+1915</f>
        <v>38115</v>
      </c>
      <c r="F128" s="74"/>
      <c r="G128" s="74">
        <f t="shared" si="38"/>
        <v>38115</v>
      </c>
      <c r="H128" s="74"/>
      <c r="I128" s="74">
        <f t="shared" si="39"/>
        <v>38115</v>
      </c>
      <c r="J128" s="74"/>
      <c r="K128" s="74">
        <f t="shared" si="40"/>
        <v>38115</v>
      </c>
    </row>
    <row r="129" spans="1:11" s="24" customFormat="1" ht="21" customHeight="1">
      <c r="A129" s="79"/>
      <c r="B129" s="75"/>
      <c r="C129" s="60">
        <v>4260</v>
      </c>
      <c r="D129" s="38" t="s">
        <v>97</v>
      </c>
      <c r="E129" s="74">
        <v>15300</v>
      </c>
      <c r="F129" s="74"/>
      <c r="G129" s="74">
        <f t="shared" si="38"/>
        <v>15300</v>
      </c>
      <c r="H129" s="74"/>
      <c r="I129" s="74">
        <f t="shared" si="39"/>
        <v>15300</v>
      </c>
      <c r="J129" s="74"/>
      <c r="K129" s="74">
        <f t="shared" si="40"/>
        <v>15300</v>
      </c>
    </row>
    <row r="130" spans="1:11" s="24" customFormat="1" ht="21" customHeight="1">
      <c r="A130" s="79"/>
      <c r="B130" s="75"/>
      <c r="C130" s="60">
        <v>4270</v>
      </c>
      <c r="D130" s="38" t="s">
        <v>80</v>
      </c>
      <c r="E130" s="74">
        <v>13500</v>
      </c>
      <c r="F130" s="74"/>
      <c r="G130" s="74">
        <f t="shared" si="38"/>
        <v>13500</v>
      </c>
      <c r="H130" s="74"/>
      <c r="I130" s="74">
        <f t="shared" si="39"/>
        <v>13500</v>
      </c>
      <c r="J130" s="74"/>
      <c r="K130" s="74">
        <f t="shared" si="40"/>
        <v>13500</v>
      </c>
    </row>
    <row r="131" spans="1:11" s="24" customFormat="1" ht="21" customHeight="1">
      <c r="A131" s="79"/>
      <c r="B131" s="75"/>
      <c r="C131" s="60">
        <v>4280</v>
      </c>
      <c r="D131" s="38" t="s">
        <v>218</v>
      </c>
      <c r="E131" s="74">
        <v>6000</v>
      </c>
      <c r="F131" s="74"/>
      <c r="G131" s="74">
        <f t="shared" si="38"/>
        <v>6000</v>
      </c>
      <c r="H131" s="74"/>
      <c r="I131" s="74">
        <f t="shared" si="39"/>
        <v>6000</v>
      </c>
      <c r="J131" s="74"/>
      <c r="K131" s="74">
        <f t="shared" si="40"/>
        <v>6000</v>
      </c>
    </row>
    <row r="132" spans="1:11" s="24" customFormat="1" ht="21" customHeight="1">
      <c r="A132" s="79"/>
      <c r="B132" s="75"/>
      <c r="C132" s="60">
        <v>4300</v>
      </c>
      <c r="D132" s="38" t="s">
        <v>81</v>
      </c>
      <c r="E132" s="74">
        <v>10594</v>
      </c>
      <c r="F132" s="74"/>
      <c r="G132" s="74">
        <f t="shared" si="38"/>
        <v>10594</v>
      </c>
      <c r="H132" s="74"/>
      <c r="I132" s="74">
        <f t="shared" si="39"/>
        <v>10594</v>
      </c>
      <c r="J132" s="74"/>
      <c r="K132" s="74">
        <f t="shared" si="40"/>
        <v>10594</v>
      </c>
    </row>
    <row r="133" spans="1:11" s="24" customFormat="1" ht="21" customHeight="1">
      <c r="A133" s="79"/>
      <c r="B133" s="75"/>
      <c r="C133" s="60">
        <v>4410</v>
      </c>
      <c r="D133" s="38" t="s">
        <v>92</v>
      </c>
      <c r="E133" s="74">
        <v>4000</v>
      </c>
      <c r="F133" s="74"/>
      <c r="G133" s="74">
        <f t="shared" si="38"/>
        <v>4000</v>
      </c>
      <c r="H133" s="74"/>
      <c r="I133" s="74">
        <f t="shared" si="39"/>
        <v>4000</v>
      </c>
      <c r="J133" s="74"/>
      <c r="K133" s="74">
        <f t="shared" si="40"/>
        <v>4000</v>
      </c>
    </row>
    <row r="134" spans="1:11" s="24" customFormat="1" ht="21" customHeight="1">
      <c r="A134" s="79"/>
      <c r="B134" s="75"/>
      <c r="C134" s="60">
        <v>4430</v>
      </c>
      <c r="D134" s="38" t="s">
        <v>96</v>
      </c>
      <c r="E134" s="74">
        <v>13006</v>
      </c>
      <c r="F134" s="74"/>
      <c r="G134" s="74">
        <f t="shared" si="38"/>
        <v>13006</v>
      </c>
      <c r="H134" s="74"/>
      <c r="I134" s="74">
        <f t="shared" si="39"/>
        <v>13006</v>
      </c>
      <c r="J134" s="74"/>
      <c r="K134" s="74">
        <f t="shared" si="40"/>
        <v>13006</v>
      </c>
    </row>
    <row r="135" spans="1:16" s="24" customFormat="1" ht="24">
      <c r="A135" s="79"/>
      <c r="B135" s="75"/>
      <c r="C135" s="60">
        <v>6050</v>
      </c>
      <c r="D135" s="13" t="s">
        <v>75</v>
      </c>
      <c r="E135" s="74">
        <v>0</v>
      </c>
      <c r="F135" s="74">
        <f>200000+20000</f>
        <v>220000</v>
      </c>
      <c r="G135" s="74">
        <f t="shared" si="38"/>
        <v>220000</v>
      </c>
      <c r="H135" s="74"/>
      <c r="I135" s="74">
        <f t="shared" si="39"/>
        <v>220000</v>
      </c>
      <c r="J135" s="74"/>
      <c r="K135" s="74">
        <f t="shared" si="40"/>
        <v>220000</v>
      </c>
      <c r="N135" s="112"/>
      <c r="O135" s="112"/>
      <c r="P135" s="112"/>
    </row>
    <row r="136" spans="1:16" s="24" customFormat="1" ht="24">
      <c r="A136" s="79"/>
      <c r="B136" s="75"/>
      <c r="C136" s="60">
        <v>6060</v>
      </c>
      <c r="D136" s="38" t="s">
        <v>98</v>
      </c>
      <c r="E136" s="74">
        <v>25000</v>
      </c>
      <c r="F136" s="74"/>
      <c r="G136" s="74">
        <f t="shared" si="38"/>
        <v>25000</v>
      </c>
      <c r="H136" s="74"/>
      <c r="I136" s="74">
        <f t="shared" si="39"/>
        <v>25000</v>
      </c>
      <c r="J136" s="74"/>
      <c r="K136" s="74">
        <f t="shared" si="40"/>
        <v>25000</v>
      </c>
      <c r="N136" s="112"/>
      <c r="O136" s="112"/>
      <c r="P136" s="112"/>
    </row>
    <row r="137" spans="1:11" s="24" customFormat="1" ht="21" customHeight="1">
      <c r="A137" s="79"/>
      <c r="B137" s="75">
        <v>75416</v>
      </c>
      <c r="C137" s="79"/>
      <c r="D137" s="38" t="s">
        <v>25</v>
      </c>
      <c r="E137" s="74">
        <f aca="true" t="shared" si="41" ref="E137:K137">SUM(E138:E153)</f>
        <v>275000</v>
      </c>
      <c r="F137" s="74">
        <f t="shared" si="41"/>
        <v>0</v>
      </c>
      <c r="G137" s="74">
        <f t="shared" si="41"/>
        <v>275000</v>
      </c>
      <c r="H137" s="74">
        <f t="shared" si="41"/>
        <v>0</v>
      </c>
      <c r="I137" s="74">
        <f t="shared" si="41"/>
        <v>275000</v>
      </c>
      <c r="J137" s="74">
        <f t="shared" si="41"/>
        <v>0</v>
      </c>
      <c r="K137" s="74">
        <f t="shared" si="41"/>
        <v>275000</v>
      </c>
    </row>
    <row r="138" spans="1:11" s="24" customFormat="1" ht="24">
      <c r="A138" s="79"/>
      <c r="B138" s="75"/>
      <c r="C138" s="60">
        <v>3020</v>
      </c>
      <c r="D138" s="38" t="s">
        <v>191</v>
      </c>
      <c r="E138" s="74">
        <v>7100</v>
      </c>
      <c r="F138" s="74"/>
      <c r="G138" s="74">
        <f>SUM(E138:F138)</f>
        <v>7100</v>
      </c>
      <c r="H138" s="74"/>
      <c r="I138" s="74">
        <f>SUM(G138:H138)</f>
        <v>7100</v>
      </c>
      <c r="J138" s="74"/>
      <c r="K138" s="74">
        <f>SUM(I138:J138)</f>
        <v>7100</v>
      </c>
    </row>
    <row r="139" spans="1:11" s="24" customFormat="1" ht="21" customHeight="1">
      <c r="A139" s="79"/>
      <c r="B139" s="75"/>
      <c r="C139" s="60">
        <v>4010</v>
      </c>
      <c r="D139" s="38" t="s">
        <v>86</v>
      </c>
      <c r="E139" s="74">
        <v>186240</v>
      </c>
      <c r="F139" s="74"/>
      <c r="G139" s="74">
        <f aca="true" t="shared" si="42" ref="G139:G153">SUM(E139:F139)</f>
        <v>186240</v>
      </c>
      <c r="H139" s="74"/>
      <c r="I139" s="74">
        <f aca="true" t="shared" si="43" ref="I139:I153">SUM(G139:H139)</f>
        <v>186240</v>
      </c>
      <c r="J139" s="74"/>
      <c r="K139" s="74">
        <f aca="true" t="shared" si="44" ref="K139:K153">SUM(I139:J139)</f>
        <v>186240</v>
      </c>
    </row>
    <row r="140" spans="1:11" s="24" customFormat="1" ht="21" customHeight="1">
      <c r="A140" s="79"/>
      <c r="B140" s="75"/>
      <c r="C140" s="60">
        <v>4040</v>
      </c>
      <c r="D140" s="38" t="s">
        <v>87</v>
      </c>
      <c r="E140" s="74">
        <v>13500</v>
      </c>
      <c r="F140" s="74"/>
      <c r="G140" s="74">
        <f t="shared" si="42"/>
        <v>13500</v>
      </c>
      <c r="H140" s="74"/>
      <c r="I140" s="74">
        <f t="shared" si="43"/>
        <v>13500</v>
      </c>
      <c r="J140" s="74"/>
      <c r="K140" s="74">
        <f t="shared" si="44"/>
        <v>13500</v>
      </c>
    </row>
    <row r="141" spans="1:11" s="24" customFormat="1" ht="21" customHeight="1">
      <c r="A141" s="79"/>
      <c r="B141" s="75"/>
      <c r="C141" s="60">
        <v>4110</v>
      </c>
      <c r="D141" s="38" t="s">
        <v>88</v>
      </c>
      <c r="E141" s="74">
        <v>29000</v>
      </c>
      <c r="F141" s="74"/>
      <c r="G141" s="74">
        <f t="shared" si="42"/>
        <v>29000</v>
      </c>
      <c r="H141" s="74"/>
      <c r="I141" s="74">
        <f t="shared" si="43"/>
        <v>29000</v>
      </c>
      <c r="J141" s="74"/>
      <c r="K141" s="74">
        <f t="shared" si="44"/>
        <v>29000</v>
      </c>
    </row>
    <row r="142" spans="1:11" s="24" customFormat="1" ht="21" customHeight="1">
      <c r="A142" s="79"/>
      <c r="B142" s="75"/>
      <c r="C142" s="60">
        <v>4120</v>
      </c>
      <c r="D142" s="38" t="s">
        <v>89</v>
      </c>
      <c r="E142" s="74">
        <v>4800</v>
      </c>
      <c r="F142" s="74"/>
      <c r="G142" s="74">
        <f t="shared" si="42"/>
        <v>4800</v>
      </c>
      <c r="H142" s="74"/>
      <c r="I142" s="74">
        <f t="shared" si="43"/>
        <v>4800</v>
      </c>
      <c r="J142" s="74"/>
      <c r="K142" s="74">
        <f t="shared" si="44"/>
        <v>4800</v>
      </c>
    </row>
    <row r="143" spans="1:11" s="24" customFormat="1" ht="21" customHeight="1">
      <c r="A143" s="79"/>
      <c r="B143" s="75"/>
      <c r="C143" s="60">
        <v>4210</v>
      </c>
      <c r="D143" s="38" t="s">
        <v>94</v>
      </c>
      <c r="E143" s="74">
        <v>10850</v>
      </c>
      <c r="F143" s="74"/>
      <c r="G143" s="74">
        <f t="shared" si="42"/>
        <v>10850</v>
      </c>
      <c r="H143" s="74"/>
      <c r="I143" s="74">
        <f t="shared" si="43"/>
        <v>10850</v>
      </c>
      <c r="J143" s="74">
        <v>-112</v>
      </c>
      <c r="K143" s="74">
        <f t="shared" si="44"/>
        <v>10738</v>
      </c>
    </row>
    <row r="144" spans="1:11" s="24" customFormat="1" ht="21" customHeight="1">
      <c r="A144" s="79"/>
      <c r="B144" s="75"/>
      <c r="C144" s="60">
        <v>4270</v>
      </c>
      <c r="D144" s="38" t="s">
        <v>80</v>
      </c>
      <c r="E144" s="74">
        <v>1000</v>
      </c>
      <c r="F144" s="74"/>
      <c r="G144" s="74">
        <f t="shared" si="42"/>
        <v>1000</v>
      </c>
      <c r="H144" s="74"/>
      <c r="I144" s="74">
        <f t="shared" si="43"/>
        <v>1000</v>
      </c>
      <c r="J144" s="74">
        <v>200</v>
      </c>
      <c r="K144" s="74">
        <f t="shared" si="44"/>
        <v>1200</v>
      </c>
    </row>
    <row r="145" spans="1:11" s="24" customFormat="1" ht="21" customHeight="1">
      <c r="A145" s="79"/>
      <c r="B145" s="75"/>
      <c r="C145" s="60">
        <v>4280</v>
      </c>
      <c r="D145" s="38" t="s">
        <v>218</v>
      </c>
      <c r="E145" s="74">
        <v>500</v>
      </c>
      <c r="F145" s="74"/>
      <c r="G145" s="74">
        <f t="shared" si="42"/>
        <v>500</v>
      </c>
      <c r="H145" s="74"/>
      <c r="I145" s="74">
        <f t="shared" si="43"/>
        <v>500</v>
      </c>
      <c r="J145" s="74"/>
      <c r="K145" s="74">
        <f t="shared" si="44"/>
        <v>500</v>
      </c>
    </row>
    <row r="146" spans="1:11" s="24" customFormat="1" ht="21" customHeight="1">
      <c r="A146" s="79"/>
      <c r="B146" s="75"/>
      <c r="C146" s="60">
        <v>4300</v>
      </c>
      <c r="D146" s="38" t="s">
        <v>81</v>
      </c>
      <c r="E146" s="74">
        <v>4700</v>
      </c>
      <c r="F146" s="74"/>
      <c r="G146" s="74">
        <f t="shared" si="42"/>
        <v>4700</v>
      </c>
      <c r="H146" s="74"/>
      <c r="I146" s="74">
        <f t="shared" si="43"/>
        <v>4700</v>
      </c>
      <c r="J146" s="74">
        <v>-200</v>
      </c>
      <c r="K146" s="74">
        <f t="shared" si="44"/>
        <v>4500</v>
      </c>
    </row>
    <row r="147" spans="1:11" s="24" customFormat="1" ht="27.75" customHeight="1">
      <c r="A147" s="79"/>
      <c r="B147" s="75"/>
      <c r="C147" s="60">
        <v>4360</v>
      </c>
      <c r="D147" s="38" t="s">
        <v>228</v>
      </c>
      <c r="E147" s="74">
        <v>2200</v>
      </c>
      <c r="F147" s="74"/>
      <c r="G147" s="74">
        <f t="shared" si="42"/>
        <v>2200</v>
      </c>
      <c r="H147" s="74"/>
      <c r="I147" s="74">
        <f t="shared" si="43"/>
        <v>2200</v>
      </c>
      <c r="J147" s="74"/>
      <c r="K147" s="74">
        <f t="shared" si="44"/>
        <v>2200</v>
      </c>
    </row>
    <row r="148" spans="1:11" s="24" customFormat="1" ht="27.75" customHeight="1">
      <c r="A148" s="79"/>
      <c r="B148" s="75"/>
      <c r="C148" s="60">
        <v>4400</v>
      </c>
      <c r="D148" s="38" t="s">
        <v>246</v>
      </c>
      <c r="E148" s="74">
        <v>560</v>
      </c>
      <c r="F148" s="74"/>
      <c r="G148" s="74">
        <f t="shared" si="42"/>
        <v>560</v>
      </c>
      <c r="H148" s="74"/>
      <c r="I148" s="74">
        <f t="shared" si="43"/>
        <v>560</v>
      </c>
      <c r="J148" s="74">
        <v>112</v>
      </c>
      <c r="K148" s="74">
        <f t="shared" si="44"/>
        <v>672</v>
      </c>
    </row>
    <row r="149" spans="1:11" s="24" customFormat="1" ht="21" customHeight="1">
      <c r="A149" s="79"/>
      <c r="B149" s="75"/>
      <c r="C149" s="60">
        <v>4410</v>
      </c>
      <c r="D149" s="38" t="s">
        <v>92</v>
      </c>
      <c r="E149" s="74">
        <v>1000</v>
      </c>
      <c r="F149" s="74"/>
      <c r="G149" s="74">
        <f t="shared" si="42"/>
        <v>1000</v>
      </c>
      <c r="H149" s="74"/>
      <c r="I149" s="74">
        <f t="shared" si="43"/>
        <v>1000</v>
      </c>
      <c r="J149" s="74"/>
      <c r="K149" s="74">
        <f t="shared" si="44"/>
        <v>1000</v>
      </c>
    </row>
    <row r="150" spans="1:11" s="24" customFormat="1" ht="21" customHeight="1">
      <c r="A150" s="79"/>
      <c r="B150" s="75"/>
      <c r="C150" s="63">
        <v>4430</v>
      </c>
      <c r="D150" s="38" t="s">
        <v>96</v>
      </c>
      <c r="E150" s="74">
        <v>2500</v>
      </c>
      <c r="F150" s="74"/>
      <c r="G150" s="74">
        <f t="shared" si="42"/>
        <v>2500</v>
      </c>
      <c r="H150" s="74"/>
      <c r="I150" s="74">
        <f t="shared" si="43"/>
        <v>2500</v>
      </c>
      <c r="J150" s="74"/>
      <c r="K150" s="74">
        <f t="shared" si="44"/>
        <v>2500</v>
      </c>
    </row>
    <row r="151" spans="1:11" s="24" customFormat="1" ht="24">
      <c r="A151" s="79"/>
      <c r="B151" s="75"/>
      <c r="C151" s="63">
        <v>4440</v>
      </c>
      <c r="D151" s="38" t="s">
        <v>90</v>
      </c>
      <c r="E151" s="74">
        <v>5850</v>
      </c>
      <c r="F151" s="74"/>
      <c r="G151" s="74">
        <f t="shared" si="42"/>
        <v>5850</v>
      </c>
      <c r="H151" s="74"/>
      <c r="I151" s="74">
        <f t="shared" si="43"/>
        <v>5850</v>
      </c>
      <c r="J151" s="74"/>
      <c r="K151" s="74">
        <f t="shared" si="44"/>
        <v>5850</v>
      </c>
    </row>
    <row r="152" spans="1:11" s="24" customFormat="1" ht="21" customHeight="1">
      <c r="A152" s="79"/>
      <c r="B152" s="75"/>
      <c r="C152" s="63">
        <v>4510</v>
      </c>
      <c r="D152" s="38" t="s">
        <v>148</v>
      </c>
      <c r="E152" s="74">
        <v>100</v>
      </c>
      <c r="F152" s="74"/>
      <c r="G152" s="74">
        <f t="shared" si="42"/>
        <v>100</v>
      </c>
      <c r="H152" s="74"/>
      <c r="I152" s="74">
        <f t="shared" si="43"/>
        <v>100</v>
      </c>
      <c r="J152" s="74"/>
      <c r="K152" s="74">
        <f t="shared" si="44"/>
        <v>100</v>
      </c>
    </row>
    <row r="153" spans="1:11" s="24" customFormat="1" ht="28.5" customHeight="1">
      <c r="A153" s="79"/>
      <c r="B153" s="75"/>
      <c r="C153" s="63">
        <v>4700</v>
      </c>
      <c r="D153" s="38" t="s">
        <v>254</v>
      </c>
      <c r="E153" s="74">
        <v>5100</v>
      </c>
      <c r="F153" s="74"/>
      <c r="G153" s="74">
        <f t="shared" si="42"/>
        <v>5100</v>
      </c>
      <c r="H153" s="74"/>
      <c r="I153" s="74">
        <f t="shared" si="43"/>
        <v>5100</v>
      </c>
      <c r="J153" s="74"/>
      <c r="K153" s="74">
        <f t="shared" si="44"/>
        <v>5100</v>
      </c>
    </row>
    <row r="154" spans="1:11" s="24" customFormat="1" ht="21" customHeight="1">
      <c r="A154" s="79"/>
      <c r="B154" s="75" t="s">
        <v>103</v>
      </c>
      <c r="C154" s="79"/>
      <c r="D154" s="38" t="s">
        <v>6</v>
      </c>
      <c r="E154" s="74">
        <f aca="true" t="shared" si="45" ref="E154:K154">SUM(E155:E158)</f>
        <v>9000</v>
      </c>
      <c r="F154" s="74">
        <f t="shared" si="45"/>
        <v>70000</v>
      </c>
      <c r="G154" s="74">
        <f t="shared" si="45"/>
        <v>79000</v>
      </c>
      <c r="H154" s="74">
        <f t="shared" si="45"/>
        <v>0</v>
      </c>
      <c r="I154" s="74">
        <f t="shared" si="45"/>
        <v>79000</v>
      </c>
      <c r="J154" s="74">
        <f t="shared" si="45"/>
        <v>0</v>
      </c>
      <c r="K154" s="74">
        <f t="shared" si="45"/>
        <v>79000</v>
      </c>
    </row>
    <row r="155" spans="1:11" s="24" customFormat="1" ht="21" customHeight="1">
      <c r="A155" s="79"/>
      <c r="B155" s="75"/>
      <c r="C155" s="79">
        <v>4210</v>
      </c>
      <c r="D155" s="38" t="s">
        <v>94</v>
      </c>
      <c r="E155" s="74">
        <v>3900</v>
      </c>
      <c r="F155" s="74"/>
      <c r="G155" s="74">
        <f>SUM(E155:F155)</f>
        <v>3900</v>
      </c>
      <c r="H155" s="74"/>
      <c r="I155" s="74">
        <f>SUM(G155:H155)</f>
        <v>3900</v>
      </c>
      <c r="J155" s="74"/>
      <c r="K155" s="74">
        <f>SUM(I155:J155)</f>
        <v>3900</v>
      </c>
    </row>
    <row r="156" spans="1:11" s="24" customFormat="1" ht="21" customHeight="1">
      <c r="A156" s="79"/>
      <c r="B156" s="75"/>
      <c r="C156" s="63">
        <v>4430</v>
      </c>
      <c r="D156" s="38" t="s">
        <v>96</v>
      </c>
      <c r="E156" s="74">
        <v>5000</v>
      </c>
      <c r="F156" s="74"/>
      <c r="G156" s="74">
        <f>SUM(E156:F156)</f>
        <v>5000</v>
      </c>
      <c r="H156" s="74"/>
      <c r="I156" s="74">
        <f>SUM(G156:H156)</f>
        <v>5000</v>
      </c>
      <c r="J156" s="74"/>
      <c r="K156" s="74">
        <f>SUM(I156:J156)</f>
        <v>5000</v>
      </c>
    </row>
    <row r="157" spans="1:11" s="24" customFormat="1" ht="24">
      <c r="A157" s="79"/>
      <c r="B157" s="75"/>
      <c r="C157" s="63">
        <v>4740</v>
      </c>
      <c r="D157" s="38" t="s">
        <v>226</v>
      </c>
      <c r="E157" s="74">
        <v>100</v>
      </c>
      <c r="F157" s="74"/>
      <c r="G157" s="74">
        <f>SUM(E157:F157)</f>
        <v>100</v>
      </c>
      <c r="H157" s="74"/>
      <c r="I157" s="74">
        <f>SUM(G157:H157)</f>
        <v>100</v>
      </c>
      <c r="J157" s="74"/>
      <c r="K157" s="74">
        <f>SUM(I157:J157)</f>
        <v>100</v>
      </c>
    </row>
    <row r="158" spans="1:16" s="24" customFormat="1" ht="24">
      <c r="A158" s="79"/>
      <c r="B158" s="75"/>
      <c r="C158" s="63">
        <v>6050</v>
      </c>
      <c r="D158" s="13" t="s">
        <v>75</v>
      </c>
      <c r="E158" s="74">
        <v>0</v>
      </c>
      <c r="F158" s="74">
        <f>70000</f>
        <v>70000</v>
      </c>
      <c r="G158" s="74">
        <f>SUM(E158:F158)</f>
        <v>70000</v>
      </c>
      <c r="H158" s="74"/>
      <c r="I158" s="74">
        <f>SUM(G158:H158)</f>
        <v>70000</v>
      </c>
      <c r="J158" s="74"/>
      <c r="K158" s="74">
        <f>SUM(I158:J158)</f>
        <v>70000</v>
      </c>
      <c r="N158" s="112"/>
      <c r="O158" s="112"/>
      <c r="P158" s="112"/>
    </row>
    <row r="159" spans="1:11" s="39" customFormat="1" ht="60">
      <c r="A159" s="35">
        <v>756</v>
      </c>
      <c r="B159" s="55"/>
      <c r="C159" s="54"/>
      <c r="D159" s="36" t="s">
        <v>155</v>
      </c>
      <c r="E159" s="37">
        <f aca="true" t="shared" si="46" ref="E159:K159">SUM(E160)</f>
        <v>102000</v>
      </c>
      <c r="F159" s="37">
        <f t="shared" si="46"/>
        <v>0</v>
      </c>
      <c r="G159" s="37">
        <f t="shared" si="46"/>
        <v>102000</v>
      </c>
      <c r="H159" s="37">
        <f t="shared" si="46"/>
        <v>0</v>
      </c>
      <c r="I159" s="37">
        <f t="shared" si="46"/>
        <v>102000</v>
      </c>
      <c r="J159" s="37">
        <f t="shared" si="46"/>
        <v>0</v>
      </c>
      <c r="K159" s="37">
        <f t="shared" si="46"/>
        <v>102000</v>
      </c>
    </row>
    <row r="160" spans="1:11" s="24" customFormat="1" ht="31.5" customHeight="1">
      <c r="A160" s="79"/>
      <c r="B160" s="75">
        <v>75647</v>
      </c>
      <c r="C160" s="63"/>
      <c r="D160" s="38" t="s">
        <v>183</v>
      </c>
      <c r="E160" s="74">
        <f aca="true" t="shared" si="47" ref="E160:K160">SUM(E161:E168)</f>
        <v>102000</v>
      </c>
      <c r="F160" s="74">
        <f t="shared" si="47"/>
        <v>0</v>
      </c>
      <c r="G160" s="74">
        <f t="shared" si="47"/>
        <v>102000</v>
      </c>
      <c r="H160" s="74">
        <f t="shared" si="47"/>
        <v>0</v>
      </c>
      <c r="I160" s="74">
        <f t="shared" si="47"/>
        <v>102000</v>
      </c>
      <c r="J160" s="74">
        <f t="shared" si="47"/>
        <v>0</v>
      </c>
      <c r="K160" s="74">
        <f t="shared" si="47"/>
        <v>102000</v>
      </c>
    </row>
    <row r="161" spans="1:11" s="24" customFormat="1" ht="21" customHeight="1">
      <c r="A161" s="79"/>
      <c r="B161" s="75"/>
      <c r="C161" s="63">
        <v>4100</v>
      </c>
      <c r="D161" s="38" t="s">
        <v>99</v>
      </c>
      <c r="E161" s="74">
        <v>40000</v>
      </c>
      <c r="F161" s="74"/>
      <c r="G161" s="74">
        <f>SUM(E161:F161)</f>
        <v>40000</v>
      </c>
      <c r="H161" s="74"/>
      <c r="I161" s="74">
        <f>SUM(G161:H161)</f>
        <v>40000</v>
      </c>
      <c r="J161" s="74"/>
      <c r="K161" s="74">
        <f>SUM(I161:J161)</f>
        <v>40000</v>
      </c>
    </row>
    <row r="162" spans="1:11" s="24" customFormat="1" ht="21" customHeight="1">
      <c r="A162" s="79"/>
      <c r="B162" s="75"/>
      <c r="C162" s="63">
        <v>4170</v>
      </c>
      <c r="D162" s="38" t="s">
        <v>194</v>
      </c>
      <c r="E162" s="74">
        <v>5000</v>
      </c>
      <c r="F162" s="74"/>
      <c r="G162" s="74">
        <f aca="true" t="shared" si="48" ref="G162:G168">SUM(E162:F162)</f>
        <v>5000</v>
      </c>
      <c r="H162" s="74"/>
      <c r="I162" s="74">
        <f aca="true" t="shared" si="49" ref="I162:I168">SUM(G162:H162)</f>
        <v>5000</v>
      </c>
      <c r="J162" s="74"/>
      <c r="K162" s="74">
        <f aca="true" t="shared" si="50" ref="K162:K168">SUM(I162:J162)</f>
        <v>5000</v>
      </c>
    </row>
    <row r="163" spans="1:11" s="24" customFormat="1" ht="21" customHeight="1">
      <c r="A163" s="79"/>
      <c r="B163" s="75"/>
      <c r="C163" s="63">
        <v>4210</v>
      </c>
      <c r="D163" s="38" t="s">
        <v>74</v>
      </c>
      <c r="E163" s="74">
        <v>2000</v>
      </c>
      <c r="F163" s="74"/>
      <c r="G163" s="74">
        <f t="shared" si="48"/>
        <v>2000</v>
      </c>
      <c r="H163" s="74"/>
      <c r="I163" s="74">
        <f t="shared" si="49"/>
        <v>2000</v>
      </c>
      <c r="J163" s="74"/>
      <c r="K163" s="74">
        <f t="shared" si="50"/>
        <v>2000</v>
      </c>
    </row>
    <row r="164" spans="1:11" s="24" customFormat="1" ht="21" customHeight="1">
      <c r="A164" s="79"/>
      <c r="B164" s="75"/>
      <c r="C164" s="63">
        <v>4300</v>
      </c>
      <c r="D164" s="38" t="s">
        <v>81</v>
      </c>
      <c r="E164" s="74">
        <v>20000</v>
      </c>
      <c r="F164" s="74"/>
      <c r="G164" s="74">
        <f t="shared" si="48"/>
        <v>20000</v>
      </c>
      <c r="H164" s="74"/>
      <c r="I164" s="74">
        <f t="shared" si="49"/>
        <v>20000</v>
      </c>
      <c r="J164" s="74"/>
      <c r="K164" s="74">
        <f t="shared" si="50"/>
        <v>20000</v>
      </c>
    </row>
    <row r="165" spans="1:11" s="24" customFormat="1" ht="21" customHeight="1">
      <c r="A165" s="79"/>
      <c r="B165" s="75"/>
      <c r="C165" s="63">
        <v>4430</v>
      </c>
      <c r="D165" s="38" t="s">
        <v>96</v>
      </c>
      <c r="E165" s="74">
        <v>2000</v>
      </c>
      <c r="F165" s="74"/>
      <c r="G165" s="74">
        <f t="shared" si="48"/>
        <v>2000</v>
      </c>
      <c r="H165" s="74"/>
      <c r="I165" s="74">
        <f t="shared" si="49"/>
        <v>2000</v>
      </c>
      <c r="J165" s="74"/>
      <c r="K165" s="74">
        <f t="shared" si="50"/>
        <v>2000</v>
      </c>
    </row>
    <row r="166" spans="1:11" s="24" customFormat="1" ht="27" customHeight="1">
      <c r="A166" s="79"/>
      <c r="B166" s="75"/>
      <c r="C166" s="63">
        <v>4610</v>
      </c>
      <c r="D166" s="38" t="s">
        <v>184</v>
      </c>
      <c r="E166" s="74">
        <v>29000</v>
      </c>
      <c r="F166" s="74"/>
      <c r="G166" s="74">
        <f t="shared" si="48"/>
        <v>29000</v>
      </c>
      <c r="H166" s="74"/>
      <c r="I166" s="74">
        <f t="shared" si="49"/>
        <v>29000</v>
      </c>
      <c r="J166" s="74"/>
      <c r="K166" s="74">
        <f t="shared" si="50"/>
        <v>29000</v>
      </c>
    </row>
    <row r="167" spans="1:11" s="24" customFormat="1" ht="24">
      <c r="A167" s="79"/>
      <c r="B167" s="75"/>
      <c r="C167" s="63">
        <v>4740</v>
      </c>
      <c r="D167" s="38" t="s">
        <v>272</v>
      </c>
      <c r="E167" s="74">
        <v>2000</v>
      </c>
      <c r="F167" s="74"/>
      <c r="G167" s="74">
        <f t="shared" si="48"/>
        <v>2000</v>
      </c>
      <c r="H167" s="74"/>
      <c r="I167" s="74">
        <f t="shared" si="49"/>
        <v>2000</v>
      </c>
      <c r="J167" s="74"/>
      <c r="K167" s="74">
        <f t="shared" si="50"/>
        <v>2000</v>
      </c>
    </row>
    <row r="168" spans="1:11" s="24" customFormat="1" ht="24.75" customHeight="1">
      <c r="A168" s="79"/>
      <c r="B168" s="75"/>
      <c r="C168" s="63">
        <v>4750</v>
      </c>
      <c r="D168" s="38" t="s">
        <v>227</v>
      </c>
      <c r="E168" s="74">
        <v>2000</v>
      </c>
      <c r="F168" s="74"/>
      <c r="G168" s="74">
        <f t="shared" si="48"/>
        <v>2000</v>
      </c>
      <c r="H168" s="74"/>
      <c r="I168" s="74">
        <f t="shared" si="49"/>
        <v>2000</v>
      </c>
      <c r="J168" s="74"/>
      <c r="K168" s="74">
        <f t="shared" si="50"/>
        <v>2000</v>
      </c>
    </row>
    <row r="169" spans="1:11" s="7" customFormat="1" ht="21.75" customHeight="1">
      <c r="A169" s="33" t="s">
        <v>104</v>
      </c>
      <c r="B169" s="34"/>
      <c r="C169" s="35"/>
      <c r="D169" s="36" t="s">
        <v>105</v>
      </c>
      <c r="E169" s="37">
        <f aca="true" t="shared" si="51" ref="E169:K169">SUM(E170)</f>
        <v>900004</v>
      </c>
      <c r="F169" s="37">
        <f t="shared" si="51"/>
        <v>0</v>
      </c>
      <c r="G169" s="37">
        <f t="shared" si="51"/>
        <v>900004</v>
      </c>
      <c r="H169" s="37">
        <f t="shared" si="51"/>
        <v>0</v>
      </c>
      <c r="I169" s="37">
        <f t="shared" si="51"/>
        <v>900004</v>
      </c>
      <c r="J169" s="37">
        <f t="shared" si="51"/>
        <v>0</v>
      </c>
      <c r="K169" s="37">
        <f t="shared" si="51"/>
        <v>900004</v>
      </c>
    </row>
    <row r="170" spans="1:11" s="24" customFormat="1" ht="33.75">
      <c r="A170" s="60"/>
      <c r="B170" s="75" t="s">
        <v>106</v>
      </c>
      <c r="C170" s="79"/>
      <c r="D170" s="38" t="s">
        <v>107</v>
      </c>
      <c r="E170" s="74">
        <f aca="true" t="shared" si="52" ref="E170:K170">SUM(E171:E171)</f>
        <v>900004</v>
      </c>
      <c r="F170" s="74">
        <f t="shared" si="52"/>
        <v>0</v>
      </c>
      <c r="G170" s="74">
        <f t="shared" si="52"/>
        <v>900004</v>
      </c>
      <c r="H170" s="74">
        <f t="shared" si="52"/>
        <v>0</v>
      </c>
      <c r="I170" s="74">
        <f t="shared" si="52"/>
        <v>900004</v>
      </c>
      <c r="J170" s="74">
        <f t="shared" si="52"/>
        <v>0</v>
      </c>
      <c r="K170" s="74">
        <f t="shared" si="52"/>
        <v>900004</v>
      </c>
    </row>
    <row r="171" spans="1:11" s="192" customFormat="1" ht="45">
      <c r="A171" s="190"/>
      <c r="B171" s="191"/>
      <c r="C171" s="79">
        <v>8110</v>
      </c>
      <c r="D171" s="38" t="s">
        <v>305</v>
      </c>
      <c r="E171" s="74">
        <v>900004</v>
      </c>
      <c r="F171" s="74"/>
      <c r="G171" s="74">
        <f>SUM(E171:F171)</f>
        <v>900004</v>
      </c>
      <c r="H171" s="74"/>
      <c r="I171" s="74">
        <f>SUM(G171:H171)</f>
        <v>900004</v>
      </c>
      <c r="J171" s="74"/>
      <c r="K171" s="74">
        <f>SUM(I171:J171)</f>
        <v>900004</v>
      </c>
    </row>
    <row r="172" spans="1:11" s="7" customFormat="1" ht="21" customHeight="1">
      <c r="A172" s="33" t="s">
        <v>47</v>
      </c>
      <c r="B172" s="34"/>
      <c r="C172" s="35"/>
      <c r="D172" s="36" t="s">
        <v>48</v>
      </c>
      <c r="E172" s="37">
        <f aca="true" t="shared" si="53" ref="E172:K172">SUM(E173)</f>
        <v>1295930</v>
      </c>
      <c r="F172" s="37">
        <f t="shared" si="53"/>
        <v>318684</v>
      </c>
      <c r="G172" s="37">
        <f t="shared" si="53"/>
        <v>1614614</v>
      </c>
      <c r="H172" s="37">
        <f t="shared" si="53"/>
        <v>0</v>
      </c>
      <c r="I172" s="37">
        <f t="shared" si="53"/>
        <v>1614614</v>
      </c>
      <c r="J172" s="37">
        <f t="shared" si="53"/>
        <v>-47545</v>
      </c>
      <c r="K172" s="37">
        <f t="shared" si="53"/>
        <v>1567069</v>
      </c>
    </row>
    <row r="173" spans="1:11" s="24" customFormat="1" ht="21" customHeight="1">
      <c r="A173" s="60"/>
      <c r="B173" s="75" t="s">
        <v>108</v>
      </c>
      <c r="C173" s="79"/>
      <c r="D173" s="38" t="s">
        <v>109</v>
      </c>
      <c r="E173" s="74">
        <f aca="true" t="shared" si="54" ref="E173:K173">SUM(E174:E175)</f>
        <v>1295930</v>
      </c>
      <c r="F173" s="74">
        <f t="shared" si="54"/>
        <v>318684</v>
      </c>
      <c r="G173" s="74">
        <f t="shared" si="54"/>
        <v>1614614</v>
      </c>
      <c r="H173" s="74">
        <f t="shared" si="54"/>
        <v>0</v>
      </c>
      <c r="I173" s="74">
        <f t="shared" si="54"/>
        <v>1614614</v>
      </c>
      <c r="J173" s="74">
        <f t="shared" si="54"/>
        <v>-47545</v>
      </c>
      <c r="K173" s="74">
        <f t="shared" si="54"/>
        <v>1567069</v>
      </c>
    </row>
    <row r="174" spans="1:11" s="24" customFormat="1" ht="21" customHeight="1">
      <c r="A174" s="60"/>
      <c r="B174" s="80"/>
      <c r="C174" s="79">
        <v>4810</v>
      </c>
      <c r="D174" s="38" t="s">
        <v>110</v>
      </c>
      <c r="E174" s="74">
        <f>154270+150000+40560+76000+40000+55000+13500+450000+20000+80600</f>
        <v>1079930</v>
      </c>
      <c r="F174" s="74">
        <f>25000+40000+248684+5000</f>
        <v>318684</v>
      </c>
      <c r="G174" s="74">
        <f>SUM(E174:F174)</f>
        <v>1398614</v>
      </c>
      <c r="H174" s="74"/>
      <c r="I174" s="74">
        <f>SUM(G174:H174)</f>
        <v>1398614</v>
      </c>
      <c r="J174" s="74">
        <v>-47545</v>
      </c>
      <c r="K174" s="74">
        <f>SUM(I174:J174)</f>
        <v>1351069</v>
      </c>
    </row>
    <row r="175" spans="1:16" s="24" customFormat="1" ht="21" customHeight="1">
      <c r="A175" s="60"/>
      <c r="B175" s="80"/>
      <c r="C175" s="79">
        <v>6800</v>
      </c>
      <c r="D175" s="38" t="s">
        <v>257</v>
      </c>
      <c r="E175" s="74">
        <f>25000+75000+100000+16000</f>
        <v>216000</v>
      </c>
      <c r="F175" s="74"/>
      <c r="G175" s="74">
        <f>SUM(E175:F175)</f>
        <v>216000</v>
      </c>
      <c r="H175" s="74"/>
      <c r="I175" s="74">
        <f>SUM(G175:H175)</f>
        <v>216000</v>
      </c>
      <c r="J175" s="74"/>
      <c r="K175" s="74">
        <f>SUM(I175:J175)</f>
        <v>216000</v>
      </c>
      <c r="N175" s="112"/>
      <c r="O175" s="112"/>
      <c r="P175" s="112"/>
    </row>
    <row r="176" spans="1:11" s="8" customFormat="1" ht="20.25" customHeight="1">
      <c r="A176" s="33" t="s">
        <v>111</v>
      </c>
      <c r="B176" s="34"/>
      <c r="C176" s="35"/>
      <c r="D176" s="36" t="s">
        <v>112</v>
      </c>
      <c r="E176" s="37">
        <f aca="true" t="shared" si="55" ref="E176:K176">SUM(E177,E204,E222,E225,E250,E257,E261,E276)</f>
        <v>30107018</v>
      </c>
      <c r="F176" s="37">
        <f t="shared" si="55"/>
        <v>-861184</v>
      </c>
      <c r="G176" s="37">
        <f t="shared" si="55"/>
        <v>29245834</v>
      </c>
      <c r="H176" s="37">
        <f t="shared" si="55"/>
        <v>0</v>
      </c>
      <c r="I176" s="37">
        <f t="shared" si="55"/>
        <v>29245834</v>
      </c>
      <c r="J176" s="37">
        <f t="shared" si="55"/>
        <v>0</v>
      </c>
      <c r="K176" s="37">
        <f t="shared" si="55"/>
        <v>29245834</v>
      </c>
    </row>
    <row r="177" spans="1:11" s="24" customFormat="1" ht="22.5" customHeight="1">
      <c r="A177" s="60"/>
      <c r="B177" s="75" t="s">
        <v>113</v>
      </c>
      <c r="C177" s="79"/>
      <c r="D177" s="38" t="s">
        <v>53</v>
      </c>
      <c r="E177" s="74">
        <f aca="true" t="shared" si="56" ref="E177:K177">SUM(E178:E203)</f>
        <v>12980229</v>
      </c>
      <c r="F177" s="74">
        <f t="shared" si="56"/>
        <v>-110000</v>
      </c>
      <c r="G177" s="74">
        <f t="shared" si="56"/>
        <v>12870229</v>
      </c>
      <c r="H177" s="74">
        <f t="shared" si="56"/>
        <v>0</v>
      </c>
      <c r="I177" s="74">
        <f t="shared" si="56"/>
        <v>12870229</v>
      </c>
      <c r="J177" s="74">
        <f t="shared" si="56"/>
        <v>0</v>
      </c>
      <c r="K177" s="74">
        <f t="shared" si="56"/>
        <v>12870229</v>
      </c>
    </row>
    <row r="178" spans="1:19" s="24" customFormat="1" ht="56.25">
      <c r="A178" s="60"/>
      <c r="B178" s="75"/>
      <c r="C178" s="79">
        <v>2590</v>
      </c>
      <c r="D178" s="38" t="s">
        <v>303</v>
      </c>
      <c r="E178" s="74">
        <v>746055</v>
      </c>
      <c r="F178" s="74"/>
      <c r="G178" s="74">
        <f>SUM(E178:F178)</f>
        <v>746055</v>
      </c>
      <c r="H178" s="74"/>
      <c r="I178" s="74">
        <f>SUM(G178:H178)</f>
        <v>746055</v>
      </c>
      <c r="J178" s="74"/>
      <c r="K178" s="74">
        <f>SUM(I178:J178)</f>
        <v>746055</v>
      </c>
      <c r="Q178" s="112"/>
      <c r="R178" s="112"/>
      <c r="S178" s="112"/>
    </row>
    <row r="179" spans="1:11" s="24" customFormat="1" ht="22.5">
      <c r="A179" s="60"/>
      <c r="B179" s="75"/>
      <c r="C179" s="60">
        <v>3020</v>
      </c>
      <c r="D179" s="38" t="s">
        <v>210</v>
      </c>
      <c r="E179" s="74">
        <v>220760</v>
      </c>
      <c r="F179" s="74"/>
      <c r="G179" s="74">
        <f>SUM(E179:F179)</f>
        <v>220760</v>
      </c>
      <c r="H179" s="74"/>
      <c r="I179" s="74">
        <f>SUM(G179:H179)</f>
        <v>220760</v>
      </c>
      <c r="J179" s="74"/>
      <c r="K179" s="74">
        <f>SUM(I179:J179)</f>
        <v>220760</v>
      </c>
    </row>
    <row r="180" spans="1:11" s="24" customFormat="1" ht="21" customHeight="1">
      <c r="A180" s="60"/>
      <c r="B180" s="75"/>
      <c r="C180" s="60">
        <v>4010</v>
      </c>
      <c r="D180" s="38" t="s">
        <v>86</v>
      </c>
      <c r="E180" s="74">
        <v>7370338</v>
      </c>
      <c r="F180" s="74"/>
      <c r="G180" s="74">
        <f aca="true" t="shared" si="57" ref="G180:G203">SUM(E180:F180)</f>
        <v>7370338</v>
      </c>
      <c r="H180" s="74"/>
      <c r="I180" s="74">
        <f aca="true" t="shared" si="58" ref="I180:I192">SUM(G180:H180)</f>
        <v>7370338</v>
      </c>
      <c r="J180" s="74"/>
      <c r="K180" s="74">
        <f aca="true" t="shared" si="59" ref="K180:K203">SUM(I180:J180)</f>
        <v>7370338</v>
      </c>
    </row>
    <row r="181" spans="1:11" s="24" customFormat="1" ht="21" customHeight="1">
      <c r="A181" s="60"/>
      <c r="B181" s="75"/>
      <c r="C181" s="60">
        <v>4040</v>
      </c>
      <c r="D181" s="38" t="s">
        <v>87</v>
      </c>
      <c r="E181" s="74">
        <v>586366</v>
      </c>
      <c r="F181" s="74"/>
      <c r="G181" s="74">
        <f t="shared" si="57"/>
        <v>586366</v>
      </c>
      <c r="H181" s="74"/>
      <c r="I181" s="74">
        <f t="shared" si="58"/>
        <v>586366</v>
      </c>
      <c r="J181" s="74"/>
      <c r="K181" s="74">
        <f t="shared" si="59"/>
        <v>586366</v>
      </c>
    </row>
    <row r="182" spans="1:11" s="24" customFormat="1" ht="21" customHeight="1">
      <c r="A182" s="60"/>
      <c r="B182" s="75"/>
      <c r="C182" s="60">
        <v>4110</v>
      </c>
      <c r="D182" s="38" t="s">
        <v>88</v>
      </c>
      <c r="E182" s="74">
        <v>1218585</v>
      </c>
      <c r="F182" s="74"/>
      <c r="G182" s="74">
        <f t="shared" si="57"/>
        <v>1218585</v>
      </c>
      <c r="H182" s="74"/>
      <c r="I182" s="74">
        <f t="shared" si="58"/>
        <v>1218585</v>
      </c>
      <c r="J182" s="74"/>
      <c r="K182" s="74">
        <f t="shared" si="59"/>
        <v>1218585</v>
      </c>
    </row>
    <row r="183" spans="1:11" s="24" customFormat="1" ht="21" customHeight="1">
      <c r="A183" s="60"/>
      <c r="B183" s="75"/>
      <c r="C183" s="60">
        <v>4120</v>
      </c>
      <c r="D183" s="38" t="s">
        <v>89</v>
      </c>
      <c r="E183" s="74">
        <v>200869</v>
      </c>
      <c r="F183" s="74"/>
      <c r="G183" s="74">
        <f t="shared" si="57"/>
        <v>200869</v>
      </c>
      <c r="H183" s="74"/>
      <c r="I183" s="74">
        <f t="shared" si="58"/>
        <v>200869</v>
      </c>
      <c r="J183" s="74"/>
      <c r="K183" s="74">
        <f t="shared" si="59"/>
        <v>200869</v>
      </c>
    </row>
    <row r="184" spans="1:11" s="24" customFormat="1" ht="21" customHeight="1">
      <c r="A184" s="60"/>
      <c r="B184" s="75"/>
      <c r="C184" s="60">
        <v>4170</v>
      </c>
      <c r="D184" s="38" t="s">
        <v>194</v>
      </c>
      <c r="E184" s="74">
        <v>22100</v>
      </c>
      <c r="F184" s="74"/>
      <c r="G184" s="74">
        <f t="shared" si="57"/>
        <v>22100</v>
      </c>
      <c r="H184" s="74"/>
      <c r="I184" s="74">
        <f t="shared" si="58"/>
        <v>22100</v>
      </c>
      <c r="J184" s="74"/>
      <c r="K184" s="74">
        <f t="shared" si="59"/>
        <v>22100</v>
      </c>
    </row>
    <row r="185" spans="1:11" s="24" customFormat="1" ht="21" customHeight="1">
      <c r="A185" s="60"/>
      <c r="B185" s="75"/>
      <c r="C185" s="60">
        <v>4210</v>
      </c>
      <c r="D185" s="38" t="s">
        <v>94</v>
      </c>
      <c r="E185" s="74">
        <f>380104+1968</f>
        <v>382072</v>
      </c>
      <c r="F185" s="74"/>
      <c r="G185" s="74">
        <f t="shared" si="57"/>
        <v>382072</v>
      </c>
      <c r="H185" s="74"/>
      <c r="I185" s="74">
        <f t="shared" si="58"/>
        <v>382072</v>
      </c>
      <c r="J185" s="74"/>
      <c r="K185" s="74">
        <f t="shared" si="59"/>
        <v>382072</v>
      </c>
    </row>
    <row r="186" spans="1:11" s="24" customFormat="1" ht="27" customHeight="1">
      <c r="A186" s="60"/>
      <c r="B186" s="75"/>
      <c r="C186" s="79">
        <v>4230</v>
      </c>
      <c r="D186" s="38" t="s">
        <v>252</v>
      </c>
      <c r="E186" s="74">
        <v>2150</v>
      </c>
      <c r="F186" s="74"/>
      <c r="G186" s="74">
        <f t="shared" si="57"/>
        <v>2150</v>
      </c>
      <c r="H186" s="74"/>
      <c r="I186" s="74">
        <f t="shared" si="58"/>
        <v>2150</v>
      </c>
      <c r="J186" s="74"/>
      <c r="K186" s="74">
        <f t="shared" si="59"/>
        <v>2150</v>
      </c>
    </row>
    <row r="187" spans="1:11" s="24" customFormat="1" ht="22.5">
      <c r="A187" s="60"/>
      <c r="B187" s="75"/>
      <c r="C187" s="79">
        <v>4240</v>
      </c>
      <c r="D187" s="38" t="s">
        <v>125</v>
      </c>
      <c r="E187" s="74">
        <f>40550+3400</f>
        <v>43950</v>
      </c>
      <c r="F187" s="74"/>
      <c r="G187" s="74">
        <f t="shared" si="57"/>
        <v>43950</v>
      </c>
      <c r="H187" s="74"/>
      <c r="I187" s="74">
        <f t="shared" si="58"/>
        <v>43950</v>
      </c>
      <c r="J187" s="74"/>
      <c r="K187" s="74">
        <f t="shared" si="59"/>
        <v>43950</v>
      </c>
    </row>
    <row r="188" spans="1:11" s="24" customFormat="1" ht="21" customHeight="1">
      <c r="A188" s="60"/>
      <c r="B188" s="75"/>
      <c r="C188" s="60">
        <v>4260</v>
      </c>
      <c r="D188" s="38" t="s">
        <v>97</v>
      </c>
      <c r="E188" s="74">
        <v>566857</v>
      </c>
      <c r="F188" s="74"/>
      <c r="G188" s="74">
        <f t="shared" si="57"/>
        <v>566857</v>
      </c>
      <c r="H188" s="74"/>
      <c r="I188" s="74">
        <f t="shared" si="58"/>
        <v>566857</v>
      </c>
      <c r="J188" s="74"/>
      <c r="K188" s="74">
        <f t="shared" si="59"/>
        <v>566857</v>
      </c>
    </row>
    <row r="189" spans="1:11" s="24" customFormat="1" ht="21" customHeight="1">
      <c r="A189" s="60"/>
      <c r="B189" s="75"/>
      <c r="C189" s="60">
        <v>4270</v>
      </c>
      <c r="D189" s="38" t="s">
        <v>80</v>
      </c>
      <c r="E189" s="74">
        <f>110721+150000</f>
        <v>260721</v>
      </c>
      <c r="F189" s="74"/>
      <c r="G189" s="74">
        <f t="shared" si="57"/>
        <v>260721</v>
      </c>
      <c r="H189" s="74"/>
      <c r="I189" s="74">
        <f t="shared" si="58"/>
        <v>260721</v>
      </c>
      <c r="J189" s="74"/>
      <c r="K189" s="74">
        <f t="shared" si="59"/>
        <v>260721</v>
      </c>
    </row>
    <row r="190" spans="1:11" s="24" customFormat="1" ht="21" customHeight="1">
      <c r="A190" s="60"/>
      <c r="B190" s="75"/>
      <c r="C190" s="60">
        <v>4280</v>
      </c>
      <c r="D190" s="38" t="s">
        <v>199</v>
      </c>
      <c r="E190" s="74">
        <v>19800</v>
      </c>
      <c r="F190" s="74"/>
      <c r="G190" s="74">
        <f t="shared" si="57"/>
        <v>19800</v>
      </c>
      <c r="H190" s="74"/>
      <c r="I190" s="74">
        <f t="shared" si="58"/>
        <v>19800</v>
      </c>
      <c r="J190" s="74"/>
      <c r="K190" s="74">
        <f t="shared" si="59"/>
        <v>19800</v>
      </c>
    </row>
    <row r="191" spans="1:11" s="24" customFormat="1" ht="21" customHeight="1">
      <c r="A191" s="60"/>
      <c r="B191" s="75"/>
      <c r="C191" s="60">
        <v>4300</v>
      </c>
      <c r="D191" s="38" t="s">
        <v>81</v>
      </c>
      <c r="E191" s="74">
        <v>114715</v>
      </c>
      <c r="F191" s="74"/>
      <c r="G191" s="74">
        <f t="shared" si="57"/>
        <v>114715</v>
      </c>
      <c r="H191" s="74"/>
      <c r="I191" s="74">
        <f t="shared" si="58"/>
        <v>114715</v>
      </c>
      <c r="J191" s="74"/>
      <c r="K191" s="74">
        <f t="shared" si="59"/>
        <v>114715</v>
      </c>
    </row>
    <row r="192" spans="1:11" s="24" customFormat="1" ht="21" customHeight="1">
      <c r="A192" s="60"/>
      <c r="B192" s="75"/>
      <c r="C192" s="60">
        <v>4350</v>
      </c>
      <c r="D192" s="38" t="s">
        <v>206</v>
      </c>
      <c r="E192" s="74">
        <v>8711</v>
      </c>
      <c r="F192" s="74"/>
      <c r="G192" s="74">
        <f t="shared" si="57"/>
        <v>8711</v>
      </c>
      <c r="H192" s="74"/>
      <c r="I192" s="74">
        <f t="shared" si="58"/>
        <v>8711</v>
      </c>
      <c r="J192" s="74"/>
      <c r="K192" s="74">
        <f t="shared" si="59"/>
        <v>8711</v>
      </c>
    </row>
    <row r="193" spans="1:11" s="24" customFormat="1" ht="25.5" customHeight="1">
      <c r="A193" s="60"/>
      <c r="B193" s="75"/>
      <c r="C193" s="60">
        <v>4360</v>
      </c>
      <c r="D193" s="38" t="s">
        <v>228</v>
      </c>
      <c r="E193" s="74">
        <v>500</v>
      </c>
      <c r="F193" s="74"/>
      <c r="G193" s="74">
        <f>SUM(E193:F193)</f>
        <v>500</v>
      </c>
      <c r="H193" s="74"/>
      <c r="I193" s="74">
        <f aca="true" t="shared" si="60" ref="I193:I203">SUM(G193:H193)</f>
        <v>500</v>
      </c>
      <c r="J193" s="74"/>
      <c r="K193" s="74">
        <f t="shared" si="59"/>
        <v>500</v>
      </c>
    </row>
    <row r="194" spans="1:11" s="24" customFormat="1" ht="25.5" customHeight="1">
      <c r="A194" s="60"/>
      <c r="B194" s="75"/>
      <c r="C194" s="60">
        <v>4370</v>
      </c>
      <c r="D194" s="13" t="s">
        <v>225</v>
      </c>
      <c r="E194" s="74">
        <v>17500</v>
      </c>
      <c r="F194" s="74"/>
      <c r="G194" s="74">
        <f t="shared" si="57"/>
        <v>17500</v>
      </c>
      <c r="H194" s="74"/>
      <c r="I194" s="74">
        <f t="shared" si="60"/>
        <v>17500</v>
      </c>
      <c r="J194" s="74"/>
      <c r="K194" s="74">
        <f t="shared" si="59"/>
        <v>17500</v>
      </c>
    </row>
    <row r="195" spans="1:11" s="24" customFormat="1" ht="22.5">
      <c r="A195" s="60"/>
      <c r="B195" s="75"/>
      <c r="C195" s="60">
        <v>4390</v>
      </c>
      <c r="D195" s="38" t="s">
        <v>260</v>
      </c>
      <c r="E195" s="74">
        <v>4400</v>
      </c>
      <c r="F195" s="74"/>
      <c r="G195" s="74">
        <f t="shared" si="57"/>
        <v>4400</v>
      </c>
      <c r="H195" s="74"/>
      <c r="I195" s="74">
        <f t="shared" si="60"/>
        <v>4400</v>
      </c>
      <c r="J195" s="74"/>
      <c r="K195" s="74">
        <f t="shared" si="59"/>
        <v>4400</v>
      </c>
    </row>
    <row r="196" spans="1:11" s="24" customFormat="1" ht="21" customHeight="1">
      <c r="A196" s="60"/>
      <c r="B196" s="75"/>
      <c r="C196" s="60">
        <v>4410</v>
      </c>
      <c r="D196" s="38" t="s">
        <v>92</v>
      </c>
      <c r="E196" s="74">
        <v>16080</v>
      </c>
      <c r="F196" s="74"/>
      <c r="G196" s="74">
        <f t="shared" si="57"/>
        <v>16080</v>
      </c>
      <c r="H196" s="74"/>
      <c r="I196" s="74">
        <f t="shared" si="60"/>
        <v>16080</v>
      </c>
      <c r="J196" s="74"/>
      <c r="K196" s="74">
        <f t="shared" si="59"/>
        <v>16080</v>
      </c>
    </row>
    <row r="197" spans="1:11" s="24" customFormat="1" ht="21" customHeight="1">
      <c r="A197" s="60"/>
      <c r="B197" s="75"/>
      <c r="C197" s="63">
        <v>4430</v>
      </c>
      <c r="D197" s="38" t="s">
        <v>96</v>
      </c>
      <c r="E197" s="74">
        <v>14300</v>
      </c>
      <c r="F197" s="74"/>
      <c r="G197" s="74">
        <f t="shared" si="57"/>
        <v>14300</v>
      </c>
      <c r="H197" s="74"/>
      <c r="I197" s="74">
        <f t="shared" si="60"/>
        <v>14300</v>
      </c>
      <c r="J197" s="74"/>
      <c r="K197" s="74">
        <f t="shared" si="59"/>
        <v>14300</v>
      </c>
    </row>
    <row r="198" spans="1:11" s="24" customFormat="1" ht="21" customHeight="1">
      <c r="A198" s="60"/>
      <c r="B198" s="75"/>
      <c r="C198" s="63">
        <v>4440</v>
      </c>
      <c r="D198" s="38" t="s">
        <v>90</v>
      </c>
      <c r="E198" s="74">
        <v>440278</v>
      </c>
      <c r="F198" s="74"/>
      <c r="G198" s="74">
        <f t="shared" si="57"/>
        <v>440278</v>
      </c>
      <c r="H198" s="74"/>
      <c r="I198" s="74">
        <f t="shared" si="60"/>
        <v>440278</v>
      </c>
      <c r="J198" s="74"/>
      <c r="K198" s="74">
        <f t="shared" si="59"/>
        <v>440278</v>
      </c>
    </row>
    <row r="199" spans="1:11" s="24" customFormat="1" ht="27.75" customHeight="1">
      <c r="A199" s="60"/>
      <c r="B199" s="75"/>
      <c r="C199" s="63">
        <v>4700</v>
      </c>
      <c r="D199" s="38" t="s">
        <v>254</v>
      </c>
      <c r="E199" s="74">
        <v>9000</v>
      </c>
      <c r="F199" s="74"/>
      <c r="G199" s="74">
        <f t="shared" si="57"/>
        <v>9000</v>
      </c>
      <c r="H199" s="74"/>
      <c r="I199" s="74">
        <f t="shared" si="60"/>
        <v>9000</v>
      </c>
      <c r="J199" s="74"/>
      <c r="K199" s="74">
        <f t="shared" si="59"/>
        <v>9000</v>
      </c>
    </row>
    <row r="200" spans="1:11" s="24" customFormat="1" ht="33.75" customHeight="1">
      <c r="A200" s="60"/>
      <c r="B200" s="75"/>
      <c r="C200" s="63">
        <v>4740</v>
      </c>
      <c r="D200" s="38" t="s">
        <v>272</v>
      </c>
      <c r="E200" s="74">
        <v>6800</v>
      </c>
      <c r="F200" s="74"/>
      <c r="G200" s="74">
        <f t="shared" si="57"/>
        <v>6800</v>
      </c>
      <c r="H200" s="74"/>
      <c r="I200" s="74">
        <f t="shared" si="60"/>
        <v>6800</v>
      </c>
      <c r="J200" s="74"/>
      <c r="K200" s="74">
        <f t="shared" si="59"/>
        <v>6800</v>
      </c>
    </row>
    <row r="201" spans="1:11" s="24" customFormat="1" ht="27" customHeight="1">
      <c r="A201" s="60"/>
      <c r="B201" s="75"/>
      <c r="C201" s="63">
        <v>4750</v>
      </c>
      <c r="D201" s="13" t="s">
        <v>227</v>
      </c>
      <c r="E201" s="74">
        <v>37022</v>
      </c>
      <c r="F201" s="74"/>
      <c r="G201" s="74">
        <f t="shared" si="57"/>
        <v>37022</v>
      </c>
      <c r="H201" s="74"/>
      <c r="I201" s="74">
        <f t="shared" si="60"/>
        <v>37022</v>
      </c>
      <c r="J201" s="74"/>
      <c r="K201" s="74">
        <f t="shared" si="59"/>
        <v>37022</v>
      </c>
    </row>
    <row r="202" spans="1:16" s="24" customFormat="1" ht="22.5">
      <c r="A202" s="60"/>
      <c r="B202" s="75"/>
      <c r="C202" s="63">
        <v>6050</v>
      </c>
      <c r="D202" s="13" t="s">
        <v>75</v>
      </c>
      <c r="E202" s="74">
        <v>660000</v>
      </c>
      <c r="F202" s="74">
        <v>-110000</v>
      </c>
      <c r="G202" s="74">
        <f t="shared" si="57"/>
        <v>550000</v>
      </c>
      <c r="H202" s="74"/>
      <c r="I202" s="74">
        <f t="shared" si="60"/>
        <v>550000</v>
      </c>
      <c r="J202" s="74"/>
      <c r="K202" s="74">
        <f t="shared" si="59"/>
        <v>550000</v>
      </c>
      <c r="N202" s="112"/>
      <c r="O202" s="112"/>
      <c r="P202" s="112"/>
    </row>
    <row r="203" spans="1:16" s="24" customFormat="1" ht="22.5">
      <c r="A203" s="60"/>
      <c r="B203" s="75"/>
      <c r="C203" s="63">
        <v>6060</v>
      </c>
      <c r="D203" s="13" t="s">
        <v>98</v>
      </c>
      <c r="E203" s="74">
        <v>10300</v>
      </c>
      <c r="F203" s="74"/>
      <c r="G203" s="74">
        <f t="shared" si="57"/>
        <v>10300</v>
      </c>
      <c r="H203" s="74"/>
      <c r="I203" s="74">
        <f t="shared" si="60"/>
        <v>10300</v>
      </c>
      <c r="J203" s="74"/>
      <c r="K203" s="74">
        <f t="shared" si="59"/>
        <v>10300</v>
      </c>
      <c r="N203" s="112"/>
      <c r="O203" s="112"/>
      <c r="P203" s="112"/>
    </row>
    <row r="204" spans="1:14" s="24" customFormat="1" ht="22.5">
      <c r="A204" s="60"/>
      <c r="B204" s="75">
        <v>80103</v>
      </c>
      <c r="C204" s="63"/>
      <c r="D204" s="38" t="s">
        <v>203</v>
      </c>
      <c r="E204" s="74">
        <f aca="true" t="shared" si="61" ref="E204:K204">SUM(E205:E221)</f>
        <v>629238</v>
      </c>
      <c r="F204" s="74">
        <f t="shared" si="61"/>
        <v>0</v>
      </c>
      <c r="G204" s="74">
        <f t="shared" si="61"/>
        <v>629238</v>
      </c>
      <c r="H204" s="74">
        <f t="shared" si="61"/>
        <v>0</v>
      </c>
      <c r="I204" s="74">
        <f t="shared" si="61"/>
        <v>629238</v>
      </c>
      <c r="J204" s="74">
        <f t="shared" si="61"/>
        <v>0</v>
      </c>
      <c r="K204" s="74">
        <f t="shared" si="61"/>
        <v>629238</v>
      </c>
      <c r="N204" s="112"/>
    </row>
    <row r="205" spans="1:19" s="24" customFormat="1" ht="56.25">
      <c r="A205" s="60"/>
      <c r="B205" s="75"/>
      <c r="C205" s="79">
        <v>2590</v>
      </c>
      <c r="D205" s="38" t="s">
        <v>304</v>
      </c>
      <c r="E205" s="74">
        <v>41492</v>
      </c>
      <c r="F205" s="74"/>
      <c r="G205" s="74">
        <f>SUM(E205:F205)</f>
        <v>41492</v>
      </c>
      <c r="H205" s="74"/>
      <c r="I205" s="74">
        <f>SUM(G205:H205)</f>
        <v>41492</v>
      </c>
      <c r="J205" s="74"/>
      <c r="K205" s="74">
        <f>SUM(I205:J205)</f>
        <v>41492</v>
      </c>
      <c r="Q205" s="112"/>
      <c r="R205" s="112"/>
      <c r="S205" s="112"/>
    </row>
    <row r="206" spans="1:11" s="24" customFormat="1" ht="22.5">
      <c r="A206" s="60"/>
      <c r="B206" s="75"/>
      <c r="C206" s="79">
        <v>3020</v>
      </c>
      <c r="D206" s="38" t="s">
        <v>191</v>
      </c>
      <c r="E206" s="74">
        <v>22991</v>
      </c>
      <c r="F206" s="74"/>
      <c r="G206" s="74">
        <f aca="true" t="shared" si="62" ref="G206:G221">SUM(E206:F206)</f>
        <v>22991</v>
      </c>
      <c r="H206" s="74"/>
      <c r="I206" s="74">
        <f aca="true" t="shared" si="63" ref="I206:I221">SUM(G206:H206)</f>
        <v>22991</v>
      </c>
      <c r="J206" s="74"/>
      <c r="K206" s="74">
        <f aca="true" t="shared" si="64" ref="K206:K221">SUM(I206:J206)</f>
        <v>22991</v>
      </c>
    </row>
    <row r="207" spans="1:11" s="24" customFormat="1" ht="21" customHeight="1">
      <c r="A207" s="60"/>
      <c r="B207" s="75"/>
      <c r="C207" s="79">
        <v>4010</v>
      </c>
      <c r="D207" s="38" t="s">
        <v>86</v>
      </c>
      <c r="E207" s="74">
        <v>365853</v>
      </c>
      <c r="F207" s="74"/>
      <c r="G207" s="74">
        <f t="shared" si="62"/>
        <v>365853</v>
      </c>
      <c r="H207" s="74"/>
      <c r="I207" s="74">
        <f t="shared" si="63"/>
        <v>365853</v>
      </c>
      <c r="J207" s="74"/>
      <c r="K207" s="74">
        <f t="shared" si="64"/>
        <v>365853</v>
      </c>
    </row>
    <row r="208" spans="1:11" s="24" customFormat="1" ht="21" customHeight="1">
      <c r="A208" s="60"/>
      <c r="B208" s="75"/>
      <c r="C208" s="79">
        <v>4040</v>
      </c>
      <c r="D208" s="38" t="s">
        <v>87</v>
      </c>
      <c r="E208" s="74">
        <v>26742</v>
      </c>
      <c r="F208" s="74"/>
      <c r="G208" s="74">
        <f t="shared" si="62"/>
        <v>26742</v>
      </c>
      <c r="H208" s="74"/>
      <c r="I208" s="74">
        <f t="shared" si="63"/>
        <v>26742</v>
      </c>
      <c r="J208" s="74"/>
      <c r="K208" s="74">
        <f t="shared" si="64"/>
        <v>26742</v>
      </c>
    </row>
    <row r="209" spans="1:11" s="24" customFormat="1" ht="21" customHeight="1">
      <c r="A209" s="60"/>
      <c r="B209" s="75"/>
      <c r="C209" s="79">
        <v>4110</v>
      </c>
      <c r="D209" s="38" t="s">
        <v>88</v>
      </c>
      <c r="E209" s="74">
        <v>63619</v>
      </c>
      <c r="F209" s="74"/>
      <c r="G209" s="74">
        <f t="shared" si="62"/>
        <v>63619</v>
      </c>
      <c r="H209" s="74"/>
      <c r="I209" s="74">
        <f t="shared" si="63"/>
        <v>63619</v>
      </c>
      <c r="J209" s="74"/>
      <c r="K209" s="74">
        <f t="shared" si="64"/>
        <v>63619</v>
      </c>
    </row>
    <row r="210" spans="1:11" s="24" customFormat="1" ht="21" customHeight="1">
      <c r="A210" s="60"/>
      <c r="B210" s="75"/>
      <c r="C210" s="79">
        <v>4120</v>
      </c>
      <c r="D210" s="38" t="s">
        <v>89</v>
      </c>
      <c r="E210" s="74">
        <v>10275</v>
      </c>
      <c r="F210" s="74"/>
      <c r="G210" s="74">
        <f t="shared" si="62"/>
        <v>10275</v>
      </c>
      <c r="H210" s="74"/>
      <c r="I210" s="74">
        <f t="shared" si="63"/>
        <v>10275</v>
      </c>
      <c r="J210" s="74"/>
      <c r="K210" s="74">
        <f t="shared" si="64"/>
        <v>10275</v>
      </c>
    </row>
    <row r="211" spans="1:11" s="24" customFormat="1" ht="21" customHeight="1">
      <c r="A211" s="60"/>
      <c r="B211" s="75"/>
      <c r="C211" s="79">
        <v>4170</v>
      </c>
      <c r="D211" s="38" t="s">
        <v>194</v>
      </c>
      <c r="E211" s="74">
        <v>16800</v>
      </c>
      <c r="F211" s="74"/>
      <c r="G211" s="74">
        <f t="shared" si="62"/>
        <v>16800</v>
      </c>
      <c r="H211" s="74"/>
      <c r="I211" s="74">
        <f t="shared" si="63"/>
        <v>16800</v>
      </c>
      <c r="J211" s="74"/>
      <c r="K211" s="74">
        <f t="shared" si="64"/>
        <v>16800</v>
      </c>
    </row>
    <row r="212" spans="1:11" s="24" customFormat="1" ht="21" customHeight="1">
      <c r="A212" s="60"/>
      <c r="B212" s="75"/>
      <c r="C212" s="79">
        <v>4210</v>
      </c>
      <c r="D212" s="38" t="s">
        <v>74</v>
      </c>
      <c r="E212" s="74">
        <f>30280+1000</f>
        <v>31280</v>
      </c>
      <c r="F212" s="74"/>
      <c r="G212" s="74">
        <f t="shared" si="62"/>
        <v>31280</v>
      </c>
      <c r="H212" s="74"/>
      <c r="I212" s="74">
        <f t="shared" si="63"/>
        <v>31280</v>
      </c>
      <c r="J212" s="74"/>
      <c r="K212" s="74">
        <f t="shared" si="64"/>
        <v>31280</v>
      </c>
    </row>
    <row r="213" spans="1:11" s="24" customFormat="1" ht="22.5">
      <c r="A213" s="60"/>
      <c r="B213" s="75"/>
      <c r="C213" s="79">
        <v>4240</v>
      </c>
      <c r="D213" s="38" t="s">
        <v>125</v>
      </c>
      <c r="E213" s="74">
        <f>4120+1200+500</f>
        <v>5820</v>
      </c>
      <c r="F213" s="74"/>
      <c r="G213" s="74">
        <f t="shared" si="62"/>
        <v>5820</v>
      </c>
      <c r="H213" s="74"/>
      <c r="I213" s="74">
        <f t="shared" si="63"/>
        <v>5820</v>
      </c>
      <c r="J213" s="74"/>
      <c r="K213" s="74">
        <f t="shared" si="64"/>
        <v>5820</v>
      </c>
    </row>
    <row r="214" spans="1:11" s="24" customFormat="1" ht="21" customHeight="1">
      <c r="A214" s="60"/>
      <c r="B214" s="75"/>
      <c r="C214" s="79">
        <v>4260</v>
      </c>
      <c r="D214" s="38" t="s">
        <v>97</v>
      </c>
      <c r="E214" s="74">
        <v>10740</v>
      </c>
      <c r="F214" s="74"/>
      <c r="G214" s="74">
        <f t="shared" si="62"/>
        <v>10740</v>
      </c>
      <c r="H214" s="74"/>
      <c r="I214" s="74">
        <f t="shared" si="63"/>
        <v>10740</v>
      </c>
      <c r="J214" s="74"/>
      <c r="K214" s="74">
        <f t="shared" si="64"/>
        <v>10740</v>
      </c>
    </row>
    <row r="215" spans="1:11" s="24" customFormat="1" ht="21" customHeight="1">
      <c r="A215" s="60"/>
      <c r="B215" s="75"/>
      <c r="C215" s="79">
        <v>4270</v>
      </c>
      <c r="D215" s="38" t="s">
        <v>80</v>
      </c>
      <c r="E215" s="74">
        <v>2000</v>
      </c>
      <c r="F215" s="74"/>
      <c r="G215" s="74">
        <f t="shared" si="62"/>
        <v>2000</v>
      </c>
      <c r="H215" s="74"/>
      <c r="I215" s="74">
        <f t="shared" si="63"/>
        <v>2000</v>
      </c>
      <c r="J215" s="74"/>
      <c r="K215" s="74">
        <f t="shared" si="64"/>
        <v>2000</v>
      </c>
    </row>
    <row r="216" spans="1:11" s="24" customFormat="1" ht="21" customHeight="1">
      <c r="A216" s="60"/>
      <c r="B216" s="75"/>
      <c r="C216" s="79">
        <v>4280</v>
      </c>
      <c r="D216" s="38" t="s">
        <v>199</v>
      </c>
      <c r="E216" s="74">
        <v>600</v>
      </c>
      <c r="F216" s="74"/>
      <c r="G216" s="74">
        <f t="shared" si="62"/>
        <v>600</v>
      </c>
      <c r="H216" s="74"/>
      <c r="I216" s="74">
        <f t="shared" si="63"/>
        <v>600</v>
      </c>
      <c r="J216" s="74"/>
      <c r="K216" s="74">
        <f t="shared" si="64"/>
        <v>600</v>
      </c>
    </row>
    <row r="217" spans="1:11" s="24" customFormat="1" ht="21" customHeight="1">
      <c r="A217" s="60"/>
      <c r="B217" s="75"/>
      <c r="C217" s="79">
        <v>4300</v>
      </c>
      <c r="D217" s="38" t="s">
        <v>81</v>
      </c>
      <c r="E217" s="74">
        <v>2600</v>
      </c>
      <c r="F217" s="74"/>
      <c r="G217" s="74">
        <f t="shared" si="62"/>
        <v>2600</v>
      </c>
      <c r="H217" s="74"/>
      <c r="I217" s="74">
        <f t="shared" si="63"/>
        <v>2600</v>
      </c>
      <c r="J217" s="74"/>
      <c r="K217" s="74">
        <f t="shared" si="64"/>
        <v>2600</v>
      </c>
    </row>
    <row r="218" spans="1:11" s="24" customFormat="1" ht="22.5">
      <c r="A218" s="60"/>
      <c r="B218" s="75"/>
      <c r="C218" s="79">
        <v>4370</v>
      </c>
      <c r="D218" s="13" t="s">
        <v>225</v>
      </c>
      <c r="E218" s="74">
        <v>2000</v>
      </c>
      <c r="F218" s="74"/>
      <c r="G218" s="74">
        <f t="shared" si="62"/>
        <v>2000</v>
      </c>
      <c r="H218" s="74"/>
      <c r="I218" s="74">
        <f t="shared" si="63"/>
        <v>2000</v>
      </c>
      <c r="J218" s="74"/>
      <c r="K218" s="74">
        <f t="shared" si="64"/>
        <v>2000</v>
      </c>
    </row>
    <row r="219" spans="1:11" s="24" customFormat="1" ht="22.5">
      <c r="A219" s="60"/>
      <c r="B219" s="75"/>
      <c r="C219" s="79">
        <v>4390</v>
      </c>
      <c r="D219" s="38" t="s">
        <v>260</v>
      </c>
      <c r="E219" s="74">
        <v>1000</v>
      </c>
      <c r="F219" s="74"/>
      <c r="G219" s="74">
        <f t="shared" si="62"/>
        <v>1000</v>
      </c>
      <c r="H219" s="74"/>
      <c r="I219" s="74">
        <f t="shared" si="63"/>
        <v>1000</v>
      </c>
      <c r="J219" s="74"/>
      <c r="K219" s="74">
        <f t="shared" si="64"/>
        <v>1000</v>
      </c>
    </row>
    <row r="220" spans="1:11" s="24" customFormat="1" ht="22.5">
      <c r="A220" s="60"/>
      <c r="B220" s="75"/>
      <c r="C220" s="79">
        <v>4440</v>
      </c>
      <c r="D220" s="38" t="s">
        <v>116</v>
      </c>
      <c r="E220" s="74">
        <v>25226</v>
      </c>
      <c r="F220" s="74"/>
      <c r="G220" s="74">
        <f t="shared" si="62"/>
        <v>25226</v>
      </c>
      <c r="H220" s="74"/>
      <c r="I220" s="74">
        <f t="shared" si="63"/>
        <v>25226</v>
      </c>
      <c r="J220" s="74"/>
      <c r="K220" s="74">
        <f t="shared" si="64"/>
        <v>25226</v>
      </c>
    </row>
    <row r="221" spans="1:11" s="24" customFormat="1" ht="27" customHeight="1">
      <c r="A221" s="60"/>
      <c r="B221" s="75"/>
      <c r="C221" s="79">
        <v>4740</v>
      </c>
      <c r="D221" s="38" t="s">
        <v>272</v>
      </c>
      <c r="E221" s="74">
        <v>200</v>
      </c>
      <c r="F221" s="74"/>
      <c r="G221" s="74">
        <f t="shared" si="62"/>
        <v>200</v>
      </c>
      <c r="H221" s="74"/>
      <c r="I221" s="74">
        <f t="shared" si="63"/>
        <v>200</v>
      </c>
      <c r="J221" s="74"/>
      <c r="K221" s="74">
        <f t="shared" si="64"/>
        <v>200</v>
      </c>
    </row>
    <row r="222" spans="1:11" s="24" customFormat="1" ht="21" customHeight="1">
      <c r="A222" s="81"/>
      <c r="B222" s="75" t="s">
        <v>115</v>
      </c>
      <c r="C222" s="79"/>
      <c r="D222" s="38" t="s">
        <v>126</v>
      </c>
      <c r="E222" s="74">
        <f aca="true" t="shared" si="65" ref="E222:K222">SUM(E223:E224)</f>
        <v>3712917</v>
      </c>
      <c r="F222" s="74">
        <f t="shared" si="65"/>
        <v>40000</v>
      </c>
      <c r="G222" s="74">
        <f t="shared" si="65"/>
        <v>3752917</v>
      </c>
      <c r="H222" s="74">
        <f t="shared" si="65"/>
        <v>0</v>
      </c>
      <c r="I222" s="74">
        <f t="shared" si="65"/>
        <v>3752917</v>
      </c>
      <c r="J222" s="74">
        <f t="shared" si="65"/>
        <v>0</v>
      </c>
      <c r="K222" s="74">
        <f t="shared" si="65"/>
        <v>3752917</v>
      </c>
    </row>
    <row r="223" spans="1:19" s="24" customFormat="1" ht="21" customHeight="1">
      <c r="A223" s="81"/>
      <c r="B223" s="75"/>
      <c r="C223" s="79">
        <v>2510</v>
      </c>
      <c r="D223" s="38" t="s">
        <v>127</v>
      </c>
      <c r="E223" s="74">
        <v>3632917</v>
      </c>
      <c r="F223" s="74"/>
      <c r="G223" s="74">
        <f>SUM(E223:F223)</f>
        <v>3632917</v>
      </c>
      <c r="H223" s="74"/>
      <c r="I223" s="74">
        <f>SUM(G223:H223)</f>
        <v>3632917</v>
      </c>
      <c r="J223" s="74"/>
      <c r="K223" s="74">
        <f>SUM(I223:J223)</f>
        <v>3632917</v>
      </c>
      <c r="Q223" s="112"/>
      <c r="R223" s="112"/>
      <c r="S223" s="112"/>
    </row>
    <row r="224" spans="1:11" s="24" customFormat="1" ht="21" customHeight="1">
      <c r="A224" s="81"/>
      <c r="B224" s="75"/>
      <c r="C224" s="79">
        <v>4270</v>
      </c>
      <c r="D224" s="38" t="s">
        <v>80</v>
      </c>
      <c r="E224" s="74">
        <v>80000</v>
      </c>
      <c r="F224" s="74">
        <v>40000</v>
      </c>
      <c r="G224" s="74">
        <f>SUM(E224:F224)</f>
        <v>120000</v>
      </c>
      <c r="H224" s="74"/>
      <c r="I224" s="74">
        <f>SUM(G224:H224)</f>
        <v>120000</v>
      </c>
      <c r="J224" s="74"/>
      <c r="K224" s="74">
        <f>SUM(I224:J224)</f>
        <v>120000</v>
      </c>
    </row>
    <row r="225" spans="1:11" s="24" customFormat="1" ht="21" customHeight="1">
      <c r="A225" s="81"/>
      <c r="B225" s="75" t="s">
        <v>117</v>
      </c>
      <c r="C225" s="79"/>
      <c r="D225" s="38" t="s">
        <v>54</v>
      </c>
      <c r="E225" s="74">
        <f aca="true" t="shared" si="66" ref="E225:K225">SUM(E226:E249)</f>
        <v>11879369</v>
      </c>
      <c r="F225" s="74">
        <f t="shared" si="66"/>
        <v>-791184</v>
      </c>
      <c r="G225" s="74">
        <f t="shared" si="66"/>
        <v>11088185</v>
      </c>
      <c r="H225" s="74">
        <f t="shared" si="66"/>
        <v>0</v>
      </c>
      <c r="I225" s="74">
        <f t="shared" si="66"/>
        <v>11088185</v>
      </c>
      <c r="J225" s="74">
        <f t="shared" si="66"/>
        <v>0</v>
      </c>
      <c r="K225" s="74">
        <f t="shared" si="66"/>
        <v>11088185</v>
      </c>
    </row>
    <row r="226" spans="1:19" s="24" customFormat="1" ht="56.25">
      <c r="A226" s="81"/>
      <c r="B226" s="75"/>
      <c r="C226" s="79">
        <v>2590</v>
      </c>
      <c r="D226" s="38" t="s">
        <v>259</v>
      </c>
      <c r="E226" s="74">
        <v>263533</v>
      </c>
      <c r="F226" s="74"/>
      <c r="G226" s="74">
        <f>SUM(E226:F226)</f>
        <v>263533</v>
      </c>
      <c r="H226" s="74"/>
      <c r="I226" s="74">
        <f>SUM(G226:H226)</f>
        <v>263533</v>
      </c>
      <c r="J226" s="74"/>
      <c r="K226" s="74">
        <f>SUM(I226:J226)</f>
        <v>263533</v>
      </c>
      <c r="Q226" s="112"/>
      <c r="R226" s="112"/>
      <c r="S226" s="112"/>
    </row>
    <row r="227" spans="1:11" s="24" customFormat="1" ht="22.5">
      <c r="A227" s="60"/>
      <c r="B227" s="75"/>
      <c r="C227" s="79">
        <v>3020</v>
      </c>
      <c r="D227" s="38" t="s">
        <v>191</v>
      </c>
      <c r="E227" s="74">
        <v>60743</v>
      </c>
      <c r="F227" s="74"/>
      <c r="G227" s="74">
        <f aca="true" t="shared" si="67" ref="G227:G249">SUM(E227:F227)</f>
        <v>60743</v>
      </c>
      <c r="H227" s="74"/>
      <c r="I227" s="74">
        <f aca="true" t="shared" si="68" ref="I227:I249">SUM(G227:H227)</f>
        <v>60743</v>
      </c>
      <c r="J227" s="74"/>
      <c r="K227" s="74">
        <f aca="true" t="shared" si="69" ref="K227:K249">SUM(I227:J227)</f>
        <v>60743</v>
      </c>
    </row>
    <row r="228" spans="1:11" s="24" customFormat="1" ht="21" customHeight="1">
      <c r="A228" s="60"/>
      <c r="B228" s="75"/>
      <c r="C228" s="79">
        <v>4010</v>
      </c>
      <c r="D228" s="38" t="s">
        <v>86</v>
      </c>
      <c r="E228" s="74">
        <v>3653633</v>
      </c>
      <c r="F228" s="74"/>
      <c r="G228" s="74">
        <f t="shared" si="67"/>
        <v>3653633</v>
      </c>
      <c r="H228" s="74"/>
      <c r="I228" s="74">
        <f t="shared" si="68"/>
        <v>3653633</v>
      </c>
      <c r="J228" s="74"/>
      <c r="K228" s="74">
        <f t="shared" si="69"/>
        <v>3653633</v>
      </c>
    </row>
    <row r="229" spans="1:11" s="24" customFormat="1" ht="21" customHeight="1">
      <c r="A229" s="60"/>
      <c r="B229" s="75"/>
      <c r="C229" s="79">
        <v>4040</v>
      </c>
      <c r="D229" s="38" t="s">
        <v>87</v>
      </c>
      <c r="E229" s="74">
        <v>299409</v>
      </c>
      <c r="F229" s="74"/>
      <c r="G229" s="74">
        <f t="shared" si="67"/>
        <v>299409</v>
      </c>
      <c r="H229" s="74"/>
      <c r="I229" s="74">
        <f t="shared" si="68"/>
        <v>299409</v>
      </c>
      <c r="J229" s="74"/>
      <c r="K229" s="74">
        <f t="shared" si="69"/>
        <v>299409</v>
      </c>
    </row>
    <row r="230" spans="1:11" s="24" customFormat="1" ht="21" customHeight="1">
      <c r="A230" s="60"/>
      <c r="B230" s="75"/>
      <c r="C230" s="79">
        <v>4110</v>
      </c>
      <c r="D230" s="38" t="s">
        <v>88</v>
      </c>
      <c r="E230" s="74">
        <v>585888</v>
      </c>
      <c r="F230" s="74"/>
      <c r="G230" s="74">
        <f t="shared" si="67"/>
        <v>585888</v>
      </c>
      <c r="H230" s="74"/>
      <c r="I230" s="74">
        <f t="shared" si="68"/>
        <v>585888</v>
      </c>
      <c r="J230" s="74"/>
      <c r="K230" s="74">
        <f t="shared" si="69"/>
        <v>585888</v>
      </c>
    </row>
    <row r="231" spans="1:11" s="24" customFormat="1" ht="21" customHeight="1">
      <c r="A231" s="60"/>
      <c r="B231" s="75"/>
      <c r="C231" s="79">
        <v>4120</v>
      </c>
      <c r="D231" s="38" t="s">
        <v>89</v>
      </c>
      <c r="E231" s="74">
        <v>99409</v>
      </c>
      <c r="F231" s="74"/>
      <c r="G231" s="74">
        <f t="shared" si="67"/>
        <v>99409</v>
      </c>
      <c r="H231" s="74"/>
      <c r="I231" s="74">
        <f t="shared" si="68"/>
        <v>99409</v>
      </c>
      <c r="J231" s="74"/>
      <c r="K231" s="74">
        <f t="shared" si="69"/>
        <v>99409</v>
      </c>
    </row>
    <row r="232" spans="1:11" s="24" customFormat="1" ht="21" customHeight="1">
      <c r="A232" s="60"/>
      <c r="B232" s="75"/>
      <c r="C232" s="79">
        <v>4170</v>
      </c>
      <c r="D232" s="38" t="s">
        <v>194</v>
      </c>
      <c r="E232" s="74">
        <v>12900</v>
      </c>
      <c r="F232" s="74"/>
      <c r="G232" s="74">
        <f t="shared" si="67"/>
        <v>12900</v>
      </c>
      <c r="H232" s="74"/>
      <c r="I232" s="74">
        <f t="shared" si="68"/>
        <v>12900</v>
      </c>
      <c r="J232" s="74"/>
      <c r="K232" s="74">
        <f t="shared" si="69"/>
        <v>12900</v>
      </c>
    </row>
    <row r="233" spans="1:11" s="24" customFormat="1" ht="21" customHeight="1">
      <c r="A233" s="60"/>
      <c r="B233" s="75"/>
      <c r="C233" s="79">
        <v>4210</v>
      </c>
      <c r="D233" s="38" t="s">
        <v>94</v>
      </c>
      <c r="E233" s="74">
        <f>169800+500</f>
        <v>170300</v>
      </c>
      <c r="F233" s="74"/>
      <c r="G233" s="74">
        <f t="shared" si="67"/>
        <v>170300</v>
      </c>
      <c r="H233" s="74"/>
      <c r="I233" s="74">
        <f t="shared" si="68"/>
        <v>170300</v>
      </c>
      <c r="J233" s="74"/>
      <c r="K233" s="74">
        <f t="shared" si="69"/>
        <v>170300</v>
      </c>
    </row>
    <row r="234" spans="1:11" s="24" customFormat="1" ht="26.25" customHeight="1">
      <c r="A234" s="60"/>
      <c r="B234" s="75"/>
      <c r="C234" s="79">
        <v>4230</v>
      </c>
      <c r="D234" s="38" t="s">
        <v>252</v>
      </c>
      <c r="E234" s="74">
        <v>1600</v>
      </c>
      <c r="F234" s="74"/>
      <c r="G234" s="74">
        <f t="shared" si="67"/>
        <v>1600</v>
      </c>
      <c r="H234" s="74"/>
      <c r="I234" s="74">
        <f t="shared" si="68"/>
        <v>1600</v>
      </c>
      <c r="J234" s="74"/>
      <c r="K234" s="74">
        <f t="shared" si="69"/>
        <v>1600</v>
      </c>
    </row>
    <row r="235" spans="1:11" s="24" customFormat="1" ht="22.5">
      <c r="A235" s="60"/>
      <c r="B235" s="75"/>
      <c r="C235" s="79">
        <v>4240</v>
      </c>
      <c r="D235" s="38" t="s">
        <v>125</v>
      </c>
      <c r="E235" s="74">
        <v>9500</v>
      </c>
      <c r="F235" s="74"/>
      <c r="G235" s="74">
        <f t="shared" si="67"/>
        <v>9500</v>
      </c>
      <c r="H235" s="74"/>
      <c r="I235" s="74">
        <f t="shared" si="68"/>
        <v>9500</v>
      </c>
      <c r="J235" s="74"/>
      <c r="K235" s="74">
        <f t="shared" si="69"/>
        <v>9500</v>
      </c>
    </row>
    <row r="236" spans="1:11" s="24" customFormat="1" ht="21" customHeight="1">
      <c r="A236" s="60"/>
      <c r="B236" s="75"/>
      <c r="C236" s="79">
        <v>4260</v>
      </c>
      <c r="D236" s="38" t="s">
        <v>97</v>
      </c>
      <c r="E236" s="74">
        <v>316000</v>
      </c>
      <c r="F236" s="74"/>
      <c r="G236" s="74">
        <f t="shared" si="67"/>
        <v>316000</v>
      </c>
      <c r="H236" s="74"/>
      <c r="I236" s="74">
        <f t="shared" si="68"/>
        <v>316000</v>
      </c>
      <c r="J236" s="74"/>
      <c r="K236" s="74">
        <f t="shared" si="69"/>
        <v>316000</v>
      </c>
    </row>
    <row r="237" spans="1:11" s="24" customFormat="1" ht="21" customHeight="1">
      <c r="A237" s="60"/>
      <c r="B237" s="75"/>
      <c r="C237" s="79">
        <v>4270</v>
      </c>
      <c r="D237" s="38" t="s">
        <v>80</v>
      </c>
      <c r="E237" s="74">
        <f>59680+120000</f>
        <v>179680</v>
      </c>
      <c r="F237" s="74">
        <v>-40000</v>
      </c>
      <c r="G237" s="74">
        <f t="shared" si="67"/>
        <v>139680</v>
      </c>
      <c r="H237" s="74"/>
      <c r="I237" s="74">
        <f t="shared" si="68"/>
        <v>139680</v>
      </c>
      <c r="J237" s="74"/>
      <c r="K237" s="74">
        <f t="shared" si="69"/>
        <v>139680</v>
      </c>
    </row>
    <row r="238" spans="1:11" s="24" customFormat="1" ht="21" customHeight="1">
      <c r="A238" s="60"/>
      <c r="B238" s="75"/>
      <c r="C238" s="79">
        <v>4280</v>
      </c>
      <c r="D238" s="38" t="s">
        <v>199</v>
      </c>
      <c r="E238" s="74">
        <v>9700</v>
      </c>
      <c r="F238" s="74"/>
      <c r="G238" s="74">
        <f t="shared" si="67"/>
        <v>9700</v>
      </c>
      <c r="H238" s="74"/>
      <c r="I238" s="74">
        <f t="shared" si="68"/>
        <v>9700</v>
      </c>
      <c r="J238" s="74"/>
      <c r="K238" s="74">
        <f t="shared" si="69"/>
        <v>9700</v>
      </c>
    </row>
    <row r="239" spans="1:11" s="24" customFormat="1" ht="21" customHeight="1">
      <c r="A239" s="60"/>
      <c r="B239" s="75"/>
      <c r="C239" s="79">
        <v>4300</v>
      </c>
      <c r="D239" s="38" t="s">
        <v>81</v>
      </c>
      <c r="E239" s="74">
        <v>42100</v>
      </c>
      <c r="F239" s="74"/>
      <c r="G239" s="74">
        <f t="shared" si="67"/>
        <v>42100</v>
      </c>
      <c r="H239" s="74"/>
      <c r="I239" s="74">
        <f t="shared" si="68"/>
        <v>42100</v>
      </c>
      <c r="J239" s="74"/>
      <c r="K239" s="74">
        <f t="shared" si="69"/>
        <v>42100</v>
      </c>
    </row>
    <row r="240" spans="1:11" s="24" customFormat="1" ht="21" customHeight="1">
      <c r="A240" s="60"/>
      <c r="B240" s="75"/>
      <c r="C240" s="79">
        <v>4350</v>
      </c>
      <c r="D240" s="38" t="s">
        <v>206</v>
      </c>
      <c r="E240" s="74">
        <v>4300</v>
      </c>
      <c r="F240" s="74"/>
      <c r="G240" s="74">
        <f t="shared" si="67"/>
        <v>4300</v>
      </c>
      <c r="H240" s="74"/>
      <c r="I240" s="74">
        <f t="shared" si="68"/>
        <v>4300</v>
      </c>
      <c r="J240" s="74"/>
      <c r="K240" s="74">
        <f t="shared" si="69"/>
        <v>4300</v>
      </c>
    </row>
    <row r="241" spans="1:11" s="24" customFormat="1" ht="28.5" customHeight="1">
      <c r="A241" s="60"/>
      <c r="B241" s="75"/>
      <c r="C241" s="79">
        <v>4370</v>
      </c>
      <c r="D241" s="13" t="s">
        <v>225</v>
      </c>
      <c r="E241" s="74">
        <v>7500</v>
      </c>
      <c r="F241" s="74"/>
      <c r="G241" s="74">
        <f t="shared" si="67"/>
        <v>7500</v>
      </c>
      <c r="H241" s="74"/>
      <c r="I241" s="74">
        <f t="shared" si="68"/>
        <v>7500</v>
      </c>
      <c r="J241" s="74"/>
      <c r="K241" s="74">
        <f t="shared" si="69"/>
        <v>7500</v>
      </c>
    </row>
    <row r="242" spans="1:11" s="24" customFormat="1" ht="24.75" customHeight="1">
      <c r="A242" s="60"/>
      <c r="B242" s="75"/>
      <c r="C242" s="79">
        <v>4390</v>
      </c>
      <c r="D242" s="38" t="s">
        <v>260</v>
      </c>
      <c r="E242" s="74">
        <v>2400</v>
      </c>
      <c r="F242" s="74"/>
      <c r="G242" s="74">
        <f t="shared" si="67"/>
        <v>2400</v>
      </c>
      <c r="H242" s="74"/>
      <c r="I242" s="74">
        <f t="shared" si="68"/>
        <v>2400</v>
      </c>
      <c r="J242" s="74"/>
      <c r="K242" s="74">
        <f t="shared" si="69"/>
        <v>2400</v>
      </c>
    </row>
    <row r="243" spans="1:11" s="24" customFormat="1" ht="21" customHeight="1">
      <c r="A243" s="60"/>
      <c r="B243" s="75"/>
      <c r="C243" s="79">
        <v>4410</v>
      </c>
      <c r="D243" s="38" t="s">
        <v>92</v>
      </c>
      <c r="E243" s="74">
        <v>7800</v>
      </c>
      <c r="F243" s="74"/>
      <c r="G243" s="74">
        <f t="shared" si="67"/>
        <v>7800</v>
      </c>
      <c r="H243" s="74"/>
      <c r="I243" s="74">
        <f t="shared" si="68"/>
        <v>7800</v>
      </c>
      <c r="J243" s="74"/>
      <c r="K243" s="74">
        <f t="shared" si="69"/>
        <v>7800</v>
      </c>
    </row>
    <row r="244" spans="1:11" s="24" customFormat="1" ht="21" customHeight="1">
      <c r="A244" s="60"/>
      <c r="B244" s="75"/>
      <c r="C244" s="79">
        <v>4430</v>
      </c>
      <c r="D244" s="38" t="s">
        <v>96</v>
      </c>
      <c r="E244" s="74">
        <v>3050</v>
      </c>
      <c r="F244" s="74"/>
      <c r="G244" s="74">
        <f t="shared" si="67"/>
        <v>3050</v>
      </c>
      <c r="H244" s="74"/>
      <c r="I244" s="74">
        <f t="shared" si="68"/>
        <v>3050</v>
      </c>
      <c r="J244" s="74"/>
      <c r="K244" s="74">
        <f t="shared" si="69"/>
        <v>3050</v>
      </c>
    </row>
    <row r="245" spans="1:11" s="24" customFormat="1" ht="21" customHeight="1">
      <c r="A245" s="60"/>
      <c r="B245" s="75"/>
      <c r="C245" s="79">
        <v>4440</v>
      </c>
      <c r="D245" s="38" t="s">
        <v>90</v>
      </c>
      <c r="E245" s="74">
        <v>213124</v>
      </c>
      <c r="F245" s="74"/>
      <c r="G245" s="74">
        <f t="shared" si="67"/>
        <v>213124</v>
      </c>
      <c r="H245" s="74"/>
      <c r="I245" s="74">
        <f t="shared" si="68"/>
        <v>213124</v>
      </c>
      <c r="J245" s="74"/>
      <c r="K245" s="74">
        <f t="shared" si="69"/>
        <v>213124</v>
      </c>
    </row>
    <row r="246" spans="1:11" s="24" customFormat="1" ht="27" customHeight="1">
      <c r="A246" s="60"/>
      <c r="B246" s="75"/>
      <c r="C246" s="79">
        <v>4700</v>
      </c>
      <c r="D246" s="38" t="s">
        <v>254</v>
      </c>
      <c r="E246" s="74">
        <v>2500</v>
      </c>
      <c r="F246" s="74"/>
      <c r="G246" s="74">
        <f t="shared" si="67"/>
        <v>2500</v>
      </c>
      <c r="H246" s="74"/>
      <c r="I246" s="74">
        <f t="shared" si="68"/>
        <v>2500</v>
      </c>
      <c r="J246" s="74"/>
      <c r="K246" s="74">
        <f t="shared" si="69"/>
        <v>2500</v>
      </c>
    </row>
    <row r="247" spans="1:11" s="24" customFormat="1" ht="27" customHeight="1">
      <c r="A247" s="60"/>
      <c r="B247" s="75"/>
      <c r="C247" s="79">
        <v>4740</v>
      </c>
      <c r="D247" s="38" t="s">
        <v>272</v>
      </c>
      <c r="E247" s="74">
        <v>3000</v>
      </c>
      <c r="F247" s="74"/>
      <c r="G247" s="74">
        <f t="shared" si="67"/>
        <v>3000</v>
      </c>
      <c r="H247" s="74"/>
      <c r="I247" s="74">
        <f t="shared" si="68"/>
        <v>3000</v>
      </c>
      <c r="J247" s="74"/>
      <c r="K247" s="74">
        <f t="shared" si="69"/>
        <v>3000</v>
      </c>
    </row>
    <row r="248" spans="1:11" s="24" customFormat="1" ht="22.5">
      <c r="A248" s="60"/>
      <c r="B248" s="75"/>
      <c r="C248" s="79">
        <v>4750</v>
      </c>
      <c r="D248" s="13" t="s">
        <v>227</v>
      </c>
      <c r="E248" s="74">
        <v>13300</v>
      </c>
      <c r="F248" s="74"/>
      <c r="G248" s="74">
        <f t="shared" si="67"/>
        <v>13300</v>
      </c>
      <c r="H248" s="74"/>
      <c r="I248" s="74">
        <f t="shared" si="68"/>
        <v>13300</v>
      </c>
      <c r="J248" s="74"/>
      <c r="K248" s="74">
        <f t="shared" si="69"/>
        <v>13300</v>
      </c>
    </row>
    <row r="249" spans="1:16" s="24" customFormat="1" ht="22.5">
      <c r="A249" s="60"/>
      <c r="B249" s="75"/>
      <c r="C249" s="79">
        <v>6050</v>
      </c>
      <c r="D249" s="13" t="s">
        <v>75</v>
      </c>
      <c r="E249" s="74">
        <f>4350000+868000+600000+100000</f>
        <v>5918000</v>
      </c>
      <c r="F249" s="74">
        <f>-400000-138184-213000</f>
        <v>-751184</v>
      </c>
      <c r="G249" s="74">
        <f t="shared" si="67"/>
        <v>5166816</v>
      </c>
      <c r="H249" s="74"/>
      <c r="I249" s="74">
        <f t="shared" si="68"/>
        <v>5166816</v>
      </c>
      <c r="J249" s="74"/>
      <c r="K249" s="74">
        <f t="shared" si="69"/>
        <v>5166816</v>
      </c>
      <c r="N249" s="112"/>
      <c r="O249" s="112"/>
      <c r="P249" s="112"/>
    </row>
    <row r="250" spans="1:11" s="24" customFormat="1" ht="21" customHeight="1">
      <c r="A250" s="60"/>
      <c r="B250" s="65" t="s">
        <v>118</v>
      </c>
      <c r="C250" s="44"/>
      <c r="D250" s="13" t="s">
        <v>119</v>
      </c>
      <c r="E250" s="64">
        <f aca="true" t="shared" si="70" ref="E250:K250">SUM(E251:E256)</f>
        <v>308500</v>
      </c>
      <c r="F250" s="64">
        <f t="shared" si="70"/>
        <v>0</v>
      </c>
      <c r="G250" s="64">
        <f t="shared" si="70"/>
        <v>308500</v>
      </c>
      <c r="H250" s="64">
        <f t="shared" si="70"/>
        <v>0</v>
      </c>
      <c r="I250" s="64">
        <f t="shared" si="70"/>
        <v>308500</v>
      </c>
      <c r="J250" s="64">
        <f t="shared" si="70"/>
        <v>0</v>
      </c>
      <c r="K250" s="64">
        <f t="shared" si="70"/>
        <v>308500</v>
      </c>
    </row>
    <row r="251" spans="1:11" s="24" customFormat="1" ht="21" customHeight="1">
      <c r="A251" s="60"/>
      <c r="B251" s="65"/>
      <c r="C251" s="44">
        <v>4110</v>
      </c>
      <c r="D251" s="38" t="s">
        <v>88</v>
      </c>
      <c r="E251" s="64">
        <v>3110</v>
      </c>
      <c r="F251" s="64"/>
      <c r="G251" s="64">
        <f aca="true" t="shared" si="71" ref="G251:G256">SUM(E251:F251)</f>
        <v>3110</v>
      </c>
      <c r="H251" s="64"/>
      <c r="I251" s="64">
        <f aca="true" t="shared" si="72" ref="I251:I256">SUM(G251:H251)</f>
        <v>3110</v>
      </c>
      <c r="J251" s="64"/>
      <c r="K251" s="64">
        <f aca="true" t="shared" si="73" ref="K251:K256">SUM(I251:J251)</f>
        <v>3110</v>
      </c>
    </row>
    <row r="252" spans="1:11" s="24" customFormat="1" ht="21" customHeight="1">
      <c r="A252" s="60"/>
      <c r="B252" s="65"/>
      <c r="C252" s="44">
        <v>4120</v>
      </c>
      <c r="D252" s="38" t="s">
        <v>89</v>
      </c>
      <c r="E252" s="64">
        <v>441</v>
      </c>
      <c r="F252" s="64"/>
      <c r="G252" s="64">
        <f t="shared" si="71"/>
        <v>441</v>
      </c>
      <c r="H252" s="64"/>
      <c r="I252" s="64">
        <f t="shared" si="72"/>
        <v>441</v>
      </c>
      <c r="J252" s="64"/>
      <c r="K252" s="64">
        <f t="shared" si="73"/>
        <v>441</v>
      </c>
    </row>
    <row r="253" spans="1:11" s="24" customFormat="1" ht="21" customHeight="1">
      <c r="A253" s="60"/>
      <c r="B253" s="65"/>
      <c r="C253" s="44">
        <v>4170</v>
      </c>
      <c r="D253" s="38" t="s">
        <v>194</v>
      </c>
      <c r="E253" s="64">
        <v>33000</v>
      </c>
      <c r="F253" s="64"/>
      <c r="G253" s="64">
        <f t="shared" si="71"/>
        <v>33000</v>
      </c>
      <c r="H253" s="64"/>
      <c r="I253" s="64">
        <f t="shared" si="72"/>
        <v>33000</v>
      </c>
      <c r="J253" s="64"/>
      <c r="K253" s="64">
        <f t="shared" si="73"/>
        <v>33000</v>
      </c>
    </row>
    <row r="254" spans="1:11" s="24" customFormat="1" ht="21" customHeight="1">
      <c r="A254" s="60"/>
      <c r="B254" s="65"/>
      <c r="C254" s="44">
        <v>4210</v>
      </c>
      <c r="D254" s="13" t="s">
        <v>94</v>
      </c>
      <c r="E254" s="64">
        <v>45000</v>
      </c>
      <c r="F254" s="64"/>
      <c r="G254" s="64">
        <f t="shared" si="71"/>
        <v>45000</v>
      </c>
      <c r="H254" s="64"/>
      <c r="I254" s="64">
        <f t="shared" si="72"/>
        <v>45000</v>
      </c>
      <c r="J254" s="64"/>
      <c r="K254" s="64">
        <f t="shared" si="73"/>
        <v>45000</v>
      </c>
    </row>
    <row r="255" spans="1:11" s="24" customFormat="1" ht="21" customHeight="1">
      <c r="A255" s="60"/>
      <c r="B255" s="65"/>
      <c r="C255" s="44">
        <v>4300</v>
      </c>
      <c r="D255" s="13" t="s">
        <v>81</v>
      </c>
      <c r="E255" s="64">
        <f>30000+223449-36000-1500</f>
        <v>215949</v>
      </c>
      <c r="F255" s="64"/>
      <c r="G255" s="64">
        <f t="shared" si="71"/>
        <v>215949</v>
      </c>
      <c r="H255" s="64"/>
      <c r="I255" s="64">
        <f t="shared" si="72"/>
        <v>215949</v>
      </c>
      <c r="J255" s="64"/>
      <c r="K255" s="64">
        <f t="shared" si="73"/>
        <v>215949</v>
      </c>
    </row>
    <row r="256" spans="1:11" s="24" customFormat="1" ht="21" customHeight="1">
      <c r="A256" s="60"/>
      <c r="B256" s="65"/>
      <c r="C256" s="44">
        <v>4430</v>
      </c>
      <c r="D256" s="38" t="s">
        <v>96</v>
      </c>
      <c r="E256" s="64">
        <f>11000</f>
        <v>11000</v>
      </c>
      <c r="F256" s="64"/>
      <c r="G256" s="64">
        <f t="shared" si="71"/>
        <v>11000</v>
      </c>
      <c r="H256" s="64"/>
      <c r="I256" s="64">
        <f t="shared" si="72"/>
        <v>11000</v>
      </c>
      <c r="J256" s="64"/>
      <c r="K256" s="64">
        <f t="shared" si="73"/>
        <v>11000</v>
      </c>
    </row>
    <row r="257" spans="1:11" s="24" customFormat="1" ht="21" customHeight="1">
      <c r="A257" s="60"/>
      <c r="B257" s="80">
        <v>80146</v>
      </c>
      <c r="C257" s="63"/>
      <c r="D257" s="38" t="s">
        <v>149</v>
      </c>
      <c r="E257" s="74">
        <f aca="true" t="shared" si="74" ref="E257:K257">SUM(E258:E260)</f>
        <v>117315</v>
      </c>
      <c r="F257" s="74">
        <f t="shared" si="74"/>
        <v>0</v>
      </c>
      <c r="G257" s="74">
        <f t="shared" si="74"/>
        <v>117315</v>
      </c>
      <c r="H257" s="74">
        <f t="shared" si="74"/>
        <v>0</v>
      </c>
      <c r="I257" s="74">
        <f t="shared" si="74"/>
        <v>117315</v>
      </c>
      <c r="J257" s="74">
        <f t="shared" si="74"/>
        <v>0</v>
      </c>
      <c r="K257" s="74">
        <f t="shared" si="74"/>
        <v>117315</v>
      </c>
    </row>
    <row r="258" spans="1:19" s="24" customFormat="1" ht="22.5">
      <c r="A258" s="60"/>
      <c r="B258" s="80"/>
      <c r="C258" s="63">
        <v>2510</v>
      </c>
      <c r="D258" s="38" t="s">
        <v>127</v>
      </c>
      <c r="E258" s="74">
        <v>15642</v>
      </c>
      <c r="F258" s="74"/>
      <c r="G258" s="74">
        <f>SUM(E258:F258)</f>
        <v>15642</v>
      </c>
      <c r="H258" s="74"/>
      <c r="I258" s="74">
        <f>SUM(G258:H258)</f>
        <v>15642</v>
      </c>
      <c r="J258" s="74"/>
      <c r="K258" s="74">
        <f>SUM(I258:J258)</f>
        <v>15642</v>
      </c>
      <c r="Q258" s="112"/>
      <c r="R258" s="112"/>
      <c r="S258" s="112"/>
    </row>
    <row r="259" spans="1:11" s="24" customFormat="1" ht="21" customHeight="1">
      <c r="A259" s="60"/>
      <c r="B259" s="80"/>
      <c r="C259" s="63">
        <v>4300</v>
      </c>
      <c r="D259" s="38" t="s">
        <v>81</v>
      </c>
      <c r="E259" s="74">
        <v>68259</v>
      </c>
      <c r="F259" s="74"/>
      <c r="G259" s="74">
        <f>SUM(E259:F259)</f>
        <v>68259</v>
      </c>
      <c r="H259" s="74"/>
      <c r="I259" s="74">
        <f>SUM(G259:H259)</f>
        <v>68259</v>
      </c>
      <c r="J259" s="74"/>
      <c r="K259" s="74">
        <f>SUM(I259:J259)</f>
        <v>68259</v>
      </c>
    </row>
    <row r="260" spans="1:11" s="24" customFormat="1" ht="22.5">
      <c r="A260" s="60"/>
      <c r="B260" s="80"/>
      <c r="C260" s="63">
        <v>4700</v>
      </c>
      <c r="D260" s="38" t="s">
        <v>254</v>
      </c>
      <c r="E260" s="74">
        <v>33414</v>
      </c>
      <c r="F260" s="74"/>
      <c r="G260" s="74">
        <f>SUM(E260:F260)</f>
        <v>33414</v>
      </c>
      <c r="H260" s="74"/>
      <c r="I260" s="74">
        <f>SUM(G260:H260)</f>
        <v>33414</v>
      </c>
      <c r="J260" s="74"/>
      <c r="K260" s="74">
        <f>SUM(I260:J260)</f>
        <v>33414</v>
      </c>
    </row>
    <row r="261" spans="1:11" s="24" customFormat="1" ht="21" customHeight="1">
      <c r="A261" s="60"/>
      <c r="B261" s="80">
        <v>80148</v>
      </c>
      <c r="C261" s="63"/>
      <c r="D261" s="38" t="s">
        <v>251</v>
      </c>
      <c r="E261" s="74">
        <f aca="true" t="shared" si="75" ref="E261:K261">SUM(E262:E275)</f>
        <v>293509</v>
      </c>
      <c r="F261" s="74">
        <f t="shared" si="75"/>
        <v>0</v>
      </c>
      <c r="G261" s="74">
        <f t="shared" si="75"/>
        <v>293509</v>
      </c>
      <c r="H261" s="74">
        <f t="shared" si="75"/>
        <v>0</v>
      </c>
      <c r="I261" s="74">
        <f t="shared" si="75"/>
        <v>293509</v>
      </c>
      <c r="J261" s="74">
        <f t="shared" si="75"/>
        <v>0</v>
      </c>
      <c r="K261" s="74">
        <f t="shared" si="75"/>
        <v>293509</v>
      </c>
    </row>
    <row r="262" spans="1:11" s="24" customFormat="1" ht="22.5">
      <c r="A262" s="60"/>
      <c r="B262" s="80"/>
      <c r="C262" s="79">
        <v>3020</v>
      </c>
      <c r="D262" s="38" t="s">
        <v>191</v>
      </c>
      <c r="E262" s="74">
        <v>1045</v>
      </c>
      <c r="F262" s="74"/>
      <c r="G262" s="74">
        <f>SUM(E262:F262)</f>
        <v>1045</v>
      </c>
      <c r="H262" s="74"/>
      <c r="I262" s="74">
        <f>SUM(G262:H262)</f>
        <v>1045</v>
      </c>
      <c r="J262" s="74"/>
      <c r="K262" s="74">
        <f>SUM(I262:J262)</f>
        <v>1045</v>
      </c>
    </row>
    <row r="263" spans="1:11" s="24" customFormat="1" ht="21" customHeight="1">
      <c r="A263" s="60"/>
      <c r="B263" s="80"/>
      <c r="C263" s="79">
        <v>4010</v>
      </c>
      <c r="D263" s="38" t="s">
        <v>86</v>
      </c>
      <c r="E263" s="74">
        <v>115014</v>
      </c>
      <c r="F263" s="74"/>
      <c r="G263" s="74">
        <f aca="true" t="shared" si="76" ref="G263:G275">SUM(E263:F263)</f>
        <v>115014</v>
      </c>
      <c r="H263" s="74"/>
      <c r="I263" s="74">
        <f aca="true" t="shared" si="77" ref="I263:I275">SUM(G263:H263)</f>
        <v>115014</v>
      </c>
      <c r="J263" s="74"/>
      <c r="K263" s="74">
        <f aca="true" t="shared" si="78" ref="K263:K275">SUM(I263:J263)</f>
        <v>115014</v>
      </c>
    </row>
    <row r="264" spans="1:11" s="24" customFormat="1" ht="21" customHeight="1">
      <c r="A264" s="60"/>
      <c r="B264" s="80"/>
      <c r="C264" s="79">
        <v>4040</v>
      </c>
      <c r="D264" s="38" t="s">
        <v>87</v>
      </c>
      <c r="E264" s="74">
        <v>8743</v>
      </c>
      <c r="F264" s="74"/>
      <c r="G264" s="74">
        <f t="shared" si="76"/>
        <v>8743</v>
      </c>
      <c r="H264" s="74"/>
      <c r="I264" s="74">
        <f t="shared" si="77"/>
        <v>8743</v>
      </c>
      <c r="J264" s="74"/>
      <c r="K264" s="74">
        <f t="shared" si="78"/>
        <v>8743</v>
      </c>
    </row>
    <row r="265" spans="1:11" s="24" customFormat="1" ht="21" customHeight="1">
      <c r="A265" s="60"/>
      <c r="B265" s="80"/>
      <c r="C265" s="79">
        <v>4110</v>
      </c>
      <c r="D265" s="38" t="s">
        <v>88</v>
      </c>
      <c r="E265" s="74">
        <v>18184</v>
      </c>
      <c r="F265" s="74"/>
      <c r="G265" s="74">
        <f t="shared" si="76"/>
        <v>18184</v>
      </c>
      <c r="H265" s="74"/>
      <c r="I265" s="74">
        <f t="shared" si="77"/>
        <v>18184</v>
      </c>
      <c r="J265" s="74"/>
      <c r="K265" s="74">
        <f t="shared" si="78"/>
        <v>18184</v>
      </c>
    </row>
    <row r="266" spans="1:11" s="24" customFormat="1" ht="21" customHeight="1">
      <c r="A266" s="60"/>
      <c r="B266" s="80"/>
      <c r="C266" s="79">
        <v>4120</v>
      </c>
      <c r="D266" s="38" t="s">
        <v>89</v>
      </c>
      <c r="E266" s="74">
        <v>2852</v>
      </c>
      <c r="F266" s="74"/>
      <c r="G266" s="74">
        <f t="shared" si="76"/>
        <v>2852</v>
      </c>
      <c r="H266" s="74"/>
      <c r="I266" s="74">
        <f t="shared" si="77"/>
        <v>2852</v>
      </c>
      <c r="J266" s="74"/>
      <c r="K266" s="74">
        <f t="shared" si="78"/>
        <v>2852</v>
      </c>
    </row>
    <row r="267" spans="1:11" s="24" customFormat="1" ht="21" customHeight="1">
      <c r="A267" s="60"/>
      <c r="B267" s="80"/>
      <c r="C267" s="79">
        <v>4170</v>
      </c>
      <c r="D267" s="38" t="s">
        <v>194</v>
      </c>
      <c r="E267" s="74">
        <v>4000</v>
      </c>
      <c r="F267" s="74"/>
      <c r="G267" s="74">
        <f t="shared" si="76"/>
        <v>4000</v>
      </c>
      <c r="H267" s="74"/>
      <c r="I267" s="74">
        <f t="shared" si="77"/>
        <v>4000</v>
      </c>
      <c r="J267" s="74"/>
      <c r="K267" s="74">
        <f t="shared" si="78"/>
        <v>4000</v>
      </c>
    </row>
    <row r="268" spans="1:11" s="24" customFormat="1" ht="21" customHeight="1">
      <c r="A268" s="60"/>
      <c r="B268" s="80"/>
      <c r="C268" s="79">
        <v>4210</v>
      </c>
      <c r="D268" s="38" t="s">
        <v>74</v>
      </c>
      <c r="E268" s="74">
        <v>8960</v>
      </c>
      <c r="F268" s="74"/>
      <c r="G268" s="74">
        <f t="shared" si="76"/>
        <v>8960</v>
      </c>
      <c r="H268" s="74"/>
      <c r="I268" s="74">
        <f t="shared" si="77"/>
        <v>8960</v>
      </c>
      <c r="J268" s="74"/>
      <c r="K268" s="74">
        <f t="shared" si="78"/>
        <v>8960</v>
      </c>
    </row>
    <row r="269" spans="1:11" s="24" customFormat="1" ht="21" customHeight="1">
      <c r="A269" s="60"/>
      <c r="B269" s="80"/>
      <c r="C269" s="79">
        <v>4220</v>
      </c>
      <c r="D269" s="13" t="s">
        <v>182</v>
      </c>
      <c r="E269" s="74">
        <v>122700</v>
      </c>
      <c r="F269" s="74"/>
      <c r="G269" s="74">
        <f t="shared" si="76"/>
        <v>122700</v>
      </c>
      <c r="H269" s="74"/>
      <c r="I269" s="74">
        <f t="shared" si="77"/>
        <v>122700</v>
      </c>
      <c r="J269" s="74"/>
      <c r="K269" s="74">
        <f t="shared" si="78"/>
        <v>122700</v>
      </c>
    </row>
    <row r="270" spans="1:11" s="24" customFormat="1" ht="22.5">
      <c r="A270" s="60"/>
      <c r="B270" s="80"/>
      <c r="C270" s="79">
        <v>4230</v>
      </c>
      <c r="D270" s="38" t="s">
        <v>252</v>
      </c>
      <c r="E270" s="74">
        <v>100</v>
      </c>
      <c r="F270" s="74"/>
      <c r="G270" s="74">
        <f t="shared" si="76"/>
        <v>100</v>
      </c>
      <c r="H270" s="74"/>
      <c r="I270" s="74">
        <f t="shared" si="77"/>
        <v>100</v>
      </c>
      <c r="J270" s="74"/>
      <c r="K270" s="74">
        <f t="shared" si="78"/>
        <v>100</v>
      </c>
    </row>
    <row r="271" spans="1:11" s="24" customFormat="1" ht="21" customHeight="1">
      <c r="A271" s="60"/>
      <c r="B271" s="80"/>
      <c r="C271" s="79">
        <v>4270</v>
      </c>
      <c r="D271" s="13" t="s">
        <v>80</v>
      </c>
      <c r="E271" s="74">
        <v>1300</v>
      </c>
      <c r="F271" s="74"/>
      <c r="G271" s="74">
        <f t="shared" si="76"/>
        <v>1300</v>
      </c>
      <c r="H271" s="74"/>
      <c r="I271" s="74">
        <f t="shared" si="77"/>
        <v>1300</v>
      </c>
      <c r="J271" s="74"/>
      <c r="K271" s="74">
        <f t="shared" si="78"/>
        <v>1300</v>
      </c>
    </row>
    <row r="272" spans="1:11" s="24" customFormat="1" ht="21" customHeight="1">
      <c r="A272" s="60"/>
      <c r="B272" s="80"/>
      <c r="C272" s="79">
        <v>4280</v>
      </c>
      <c r="D272" s="38" t="s">
        <v>199</v>
      </c>
      <c r="E272" s="74">
        <v>560</v>
      </c>
      <c r="F272" s="74"/>
      <c r="G272" s="74">
        <f t="shared" si="76"/>
        <v>560</v>
      </c>
      <c r="H272" s="74"/>
      <c r="I272" s="74">
        <f t="shared" si="77"/>
        <v>560</v>
      </c>
      <c r="J272" s="74"/>
      <c r="K272" s="74">
        <f t="shared" si="78"/>
        <v>560</v>
      </c>
    </row>
    <row r="273" spans="1:11" s="24" customFormat="1" ht="21" customHeight="1">
      <c r="A273" s="60"/>
      <c r="B273" s="80"/>
      <c r="C273" s="79">
        <v>4300</v>
      </c>
      <c r="D273" s="38" t="s">
        <v>81</v>
      </c>
      <c r="E273" s="74">
        <v>600</v>
      </c>
      <c r="F273" s="74"/>
      <c r="G273" s="74">
        <f t="shared" si="76"/>
        <v>600</v>
      </c>
      <c r="H273" s="74"/>
      <c r="I273" s="74">
        <f t="shared" si="77"/>
        <v>600</v>
      </c>
      <c r="J273" s="74"/>
      <c r="K273" s="74">
        <f t="shared" si="78"/>
        <v>600</v>
      </c>
    </row>
    <row r="274" spans="1:11" s="24" customFormat="1" ht="22.5">
      <c r="A274" s="60"/>
      <c r="B274" s="80"/>
      <c r="C274" s="79">
        <v>4440</v>
      </c>
      <c r="D274" s="38" t="s">
        <v>90</v>
      </c>
      <c r="E274" s="74">
        <v>5451</v>
      </c>
      <c r="F274" s="74"/>
      <c r="G274" s="74">
        <f t="shared" si="76"/>
        <v>5451</v>
      </c>
      <c r="H274" s="74"/>
      <c r="I274" s="74">
        <f t="shared" si="77"/>
        <v>5451</v>
      </c>
      <c r="J274" s="74"/>
      <c r="K274" s="74">
        <f t="shared" si="78"/>
        <v>5451</v>
      </c>
    </row>
    <row r="275" spans="1:16" s="24" customFormat="1" ht="22.5">
      <c r="A275" s="60"/>
      <c r="B275" s="80"/>
      <c r="C275" s="79">
        <v>6060</v>
      </c>
      <c r="D275" s="38" t="s">
        <v>98</v>
      </c>
      <c r="E275" s="74">
        <v>4000</v>
      </c>
      <c r="F275" s="74"/>
      <c r="G275" s="74">
        <f t="shared" si="76"/>
        <v>4000</v>
      </c>
      <c r="H275" s="74"/>
      <c r="I275" s="74">
        <f t="shared" si="77"/>
        <v>4000</v>
      </c>
      <c r="J275" s="74"/>
      <c r="K275" s="74">
        <f t="shared" si="78"/>
        <v>4000</v>
      </c>
      <c r="N275" s="112"/>
      <c r="O275" s="112"/>
      <c r="P275" s="112"/>
    </row>
    <row r="276" spans="1:11" s="24" customFormat="1" ht="21" customHeight="1">
      <c r="A276" s="60"/>
      <c r="B276" s="75">
        <v>80195</v>
      </c>
      <c r="C276" s="60"/>
      <c r="D276" s="38" t="s">
        <v>6</v>
      </c>
      <c r="E276" s="74">
        <f aca="true" t="shared" si="79" ref="E276:K276">SUM(E277:E280)</f>
        <v>185941</v>
      </c>
      <c r="F276" s="74">
        <f t="shared" si="79"/>
        <v>0</v>
      </c>
      <c r="G276" s="74">
        <f t="shared" si="79"/>
        <v>185941</v>
      </c>
      <c r="H276" s="74">
        <f t="shared" si="79"/>
        <v>0</v>
      </c>
      <c r="I276" s="74">
        <f t="shared" si="79"/>
        <v>185941</v>
      </c>
      <c r="J276" s="74">
        <f t="shared" si="79"/>
        <v>0</v>
      </c>
      <c r="K276" s="74">
        <f t="shared" si="79"/>
        <v>185941</v>
      </c>
    </row>
    <row r="277" spans="1:11" s="24" customFormat="1" ht="21" customHeight="1">
      <c r="A277" s="60"/>
      <c r="B277" s="75"/>
      <c r="C277" s="60">
        <v>4170</v>
      </c>
      <c r="D277" s="38" t="s">
        <v>194</v>
      </c>
      <c r="E277" s="74">
        <v>1060</v>
      </c>
      <c r="F277" s="74"/>
      <c r="G277" s="74">
        <f>SUM(E277:F277)</f>
        <v>1060</v>
      </c>
      <c r="H277" s="74"/>
      <c r="I277" s="74">
        <f>SUM(G277:H277)</f>
        <v>1060</v>
      </c>
      <c r="J277" s="74"/>
      <c r="K277" s="74">
        <f>SUM(I277:J277)</f>
        <v>1060</v>
      </c>
    </row>
    <row r="278" spans="1:11" s="24" customFormat="1" ht="21" customHeight="1">
      <c r="A278" s="60"/>
      <c r="B278" s="75"/>
      <c r="C278" s="60">
        <v>4210</v>
      </c>
      <c r="D278" s="38" t="s">
        <v>74</v>
      </c>
      <c r="E278" s="74">
        <v>1200</v>
      </c>
      <c r="F278" s="74"/>
      <c r="G278" s="74">
        <f>SUM(E278:F278)</f>
        <v>1200</v>
      </c>
      <c r="H278" s="74"/>
      <c r="I278" s="74">
        <f>SUM(G278:H278)</f>
        <v>1200</v>
      </c>
      <c r="J278" s="74"/>
      <c r="K278" s="74">
        <f>SUM(I278:J278)</f>
        <v>1200</v>
      </c>
    </row>
    <row r="279" spans="1:11" s="24" customFormat="1" ht="21" customHeight="1">
      <c r="A279" s="60"/>
      <c r="B279" s="75"/>
      <c r="C279" s="60">
        <v>4430</v>
      </c>
      <c r="D279" s="38" t="s">
        <v>293</v>
      </c>
      <c r="E279" s="74">
        <v>1500</v>
      </c>
      <c r="F279" s="74"/>
      <c r="G279" s="74">
        <f>SUM(E279:F279)</f>
        <v>1500</v>
      </c>
      <c r="H279" s="74"/>
      <c r="I279" s="74">
        <f>SUM(G279:H279)</f>
        <v>1500</v>
      </c>
      <c r="J279" s="74"/>
      <c r="K279" s="74">
        <f>SUM(I279:J279)</f>
        <v>1500</v>
      </c>
    </row>
    <row r="280" spans="1:11" s="24" customFormat="1" ht="22.5">
      <c r="A280" s="60"/>
      <c r="B280" s="75"/>
      <c r="C280" s="60">
        <v>4440</v>
      </c>
      <c r="D280" s="38" t="s">
        <v>90</v>
      </c>
      <c r="E280" s="74">
        <v>182181</v>
      </c>
      <c r="F280" s="74"/>
      <c r="G280" s="74">
        <f>SUM(E280:F280)</f>
        <v>182181</v>
      </c>
      <c r="H280" s="74"/>
      <c r="I280" s="74">
        <f>SUM(G280:H280)</f>
        <v>182181</v>
      </c>
      <c r="J280" s="74"/>
      <c r="K280" s="74">
        <f>SUM(I280:J280)</f>
        <v>182181</v>
      </c>
    </row>
    <row r="281" spans="1:11" s="7" customFormat="1" ht="21" customHeight="1">
      <c r="A281" s="33" t="s">
        <v>120</v>
      </c>
      <c r="B281" s="34"/>
      <c r="C281" s="35"/>
      <c r="D281" s="36" t="s">
        <v>55</v>
      </c>
      <c r="E281" s="37">
        <f aca="true" t="shared" si="80" ref="E281:K281">SUM(E284,E294,E282)</f>
        <v>123603</v>
      </c>
      <c r="F281" s="37">
        <f t="shared" si="80"/>
        <v>0</v>
      </c>
      <c r="G281" s="37">
        <f t="shared" si="80"/>
        <v>123603</v>
      </c>
      <c r="H281" s="37">
        <f t="shared" si="80"/>
        <v>0</v>
      </c>
      <c r="I281" s="37">
        <f t="shared" si="80"/>
        <v>123603</v>
      </c>
      <c r="J281" s="37">
        <f t="shared" si="80"/>
        <v>47545</v>
      </c>
      <c r="K281" s="37">
        <f t="shared" si="80"/>
        <v>171148</v>
      </c>
    </row>
    <row r="282" spans="1:11" s="7" customFormat="1" ht="21" customHeight="1">
      <c r="A282" s="33"/>
      <c r="B282" s="80">
        <v>85153</v>
      </c>
      <c r="C282" s="79"/>
      <c r="D282" s="38" t="s">
        <v>222</v>
      </c>
      <c r="E282" s="74">
        <f aca="true" t="shared" si="81" ref="E282:K282">SUM(E283:E283)</f>
        <v>5600</v>
      </c>
      <c r="F282" s="74">
        <f t="shared" si="81"/>
        <v>0</v>
      </c>
      <c r="G282" s="74">
        <f t="shared" si="81"/>
        <v>5600</v>
      </c>
      <c r="H282" s="74">
        <f t="shared" si="81"/>
        <v>0</v>
      </c>
      <c r="I282" s="74">
        <f t="shared" si="81"/>
        <v>5600</v>
      </c>
      <c r="J282" s="74">
        <f t="shared" si="81"/>
        <v>0</v>
      </c>
      <c r="K282" s="74">
        <f t="shared" si="81"/>
        <v>5600</v>
      </c>
    </row>
    <row r="283" spans="1:11" s="7" customFormat="1" ht="21" customHeight="1">
      <c r="A283" s="33"/>
      <c r="B283" s="80"/>
      <c r="C283" s="79">
        <v>4300</v>
      </c>
      <c r="D283" s="38" t="s">
        <v>81</v>
      </c>
      <c r="E283" s="74">
        <v>5600</v>
      </c>
      <c r="F283" s="74"/>
      <c r="G283" s="74">
        <f>SUM(E283:F283)</f>
        <v>5600</v>
      </c>
      <c r="H283" s="74"/>
      <c r="I283" s="74">
        <f>SUM(G283:H283)</f>
        <v>5600</v>
      </c>
      <c r="J283" s="74"/>
      <c r="K283" s="74">
        <f>SUM(I283:J283)</f>
        <v>5600</v>
      </c>
    </row>
    <row r="284" spans="1:11" s="24" customFormat="1" ht="21" customHeight="1">
      <c r="A284" s="60"/>
      <c r="B284" s="75" t="s">
        <v>121</v>
      </c>
      <c r="C284" s="79"/>
      <c r="D284" s="38" t="s">
        <v>56</v>
      </c>
      <c r="E284" s="74">
        <f>SUM(E286:E293)</f>
        <v>108003</v>
      </c>
      <c r="F284" s="74">
        <f>SUM(F286:F293)</f>
        <v>0</v>
      </c>
      <c r="G284" s="74">
        <f>SUM(G286:G293)</f>
        <v>108003</v>
      </c>
      <c r="H284" s="74">
        <f>SUM(H286:H293)</f>
        <v>0</v>
      </c>
      <c r="I284" s="74">
        <f>SUM(I285:I293)</f>
        <v>108003</v>
      </c>
      <c r="J284" s="74">
        <f>SUM(J285:J293)</f>
        <v>47545</v>
      </c>
      <c r="K284" s="74">
        <f>SUM(K285:K293)</f>
        <v>155548</v>
      </c>
    </row>
    <row r="285" spans="1:11" s="24" customFormat="1" ht="56.25">
      <c r="A285" s="60"/>
      <c r="B285" s="75"/>
      <c r="C285" s="79">
        <v>2830</v>
      </c>
      <c r="D285" s="13" t="s">
        <v>300</v>
      </c>
      <c r="E285" s="74"/>
      <c r="F285" s="74"/>
      <c r="G285" s="74"/>
      <c r="H285" s="74"/>
      <c r="I285" s="74">
        <v>0</v>
      </c>
      <c r="J285" s="74">
        <v>47545</v>
      </c>
      <c r="K285" s="74">
        <f>SUM(I285:J285)</f>
        <v>47545</v>
      </c>
    </row>
    <row r="286" spans="1:11" s="24" customFormat="1" ht="21" customHeight="1">
      <c r="A286" s="60"/>
      <c r="B286" s="80"/>
      <c r="C286" s="79">
        <v>4110</v>
      </c>
      <c r="D286" s="13" t="s">
        <v>88</v>
      </c>
      <c r="E286" s="74">
        <v>1858</v>
      </c>
      <c r="F286" s="74"/>
      <c r="G286" s="74">
        <f>SUM(E286:F286)</f>
        <v>1858</v>
      </c>
      <c r="H286" s="74"/>
      <c r="I286" s="74">
        <f>SUM(G286:H286)</f>
        <v>1858</v>
      </c>
      <c r="J286" s="74"/>
      <c r="K286" s="74">
        <f>SUM(I286:J286)</f>
        <v>1858</v>
      </c>
    </row>
    <row r="287" spans="1:11" s="24" customFormat="1" ht="21" customHeight="1">
      <c r="A287" s="60"/>
      <c r="B287" s="80"/>
      <c r="C287" s="79">
        <v>4170</v>
      </c>
      <c r="D287" s="38" t="s">
        <v>194</v>
      </c>
      <c r="E287" s="74">
        <v>44600</v>
      </c>
      <c r="F287" s="74"/>
      <c r="G287" s="74">
        <f aca="true" t="shared" si="82" ref="G287:G293">SUM(E287:F287)</f>
        <v>44600</v>
      </c>
      <c r="H287" s="74"/>
      <c r="I287" s="74">
        <f aca="true" t="shared" si="83" ref="I287:I293">SUM(G287:H287)</f>
        <v>44600</v>
      </c>
      <c r="J287" s="74"/>
      <c r="K287" s="74">
        <f aca="true" t="shared" si="84" ref="K287:K293">SUM(I287:J287)</f>
        <v>44600</v>
      </c>
    </row>
    <row r="288" spans="1:11" s="24" customFormat="1" ht="21" customHeight="1">
      <c r="A288" s="60"/>
      <c r="B288" s="80"/>
      <c r="C288" s="79">
        <v>4210</v>
      </c>
      <c r="D288" s="13" t="s">
        <v>94</v>
      </c>
      <c r="E288" s="74">
        <v>12800</v>
      </c>
      <c r="F288" s="74"/>
      <c r="G288" s="74">
        <f t="shared" si="82"/>
        <v>12800</v>
      </c>
      <c r="H288" s="74"/>
      <c r="I288" s="74">
        <f t="shared" si="83"/>
        <v>12800</v>
      </c>
      <c r="J288" s="74"/>
      <c r="K288" s="74">
        <f t="shared" si="84"/>
        <v>12800</v>
      </c>
    </row>
    <row r="289" spans="1:11" s="24" customFormat="1" ht="21" customHeight="1">
      <c r="A289" s="60"/>
      <c r="B289" s="80"/>
      <c r="C289" s="79">
        <v>4220</v>
      </c>
      <c r="D289" s="13" t="s">
        <v>182</v>
      </c>
      <c r="E289" s="74">
        <v>13500</v>
      </c>
      <c r="F289" s="74"/>
      <c r="G289" s="74">
        <f t="shared" si="82"/>
        <v>13500</v>
      </c>
      <c r="H289" s="74"/>
      <c r="I289" s="74">
        <f t="shared" si="83"/>
        <v>13500</v>
      </c>
      <c r="J289" s="74"/>
      <c r="K289" s="74">
        <f t="shared" si="84"/>
        <v>13500</v>
      </c>
    </row>
    <row r="290" spans="1:11" s="24" customFormat="1" ht="21" customHeight="1">
      <c r="A290" s="60"/>
      <c r="B290" s="80"/>
      <c r="C290" s="79">
        <v>4300</v>
      </c>
      <c r="D290" s="38" t="s">
        <v>81</v>
      </c>
      <c r="E290" s="74">
        <v>32245</v>
      </c>
      <c r="F290" s="74"/>
      <c r="G290" s="74">
        <f t="shared" si="82"/>
        <v>32245</v>
      </c>
      <c r="H290" s="74"/>
      <c r="I290" s="74">
        <f t="shared" si="83"/>
        <v>32245</v>
      </c>
      <c r="J290" s="74"/>
      <c r="K290" s="74">
        <f t="shared" si="84"/>
        <v>32245</v>
      </c>
    </row>
    <row r="291" spans="1:11" s="24" customFormat="1" ht="21" customHeight="1">
      <c r="A291" s="60"/>
      <c r="B291" s="80"/>
      <c r="C291" s="79">
        <v>4350</v>
      </c>
      <c r="D291" s="38" t="s">
        <v>206</v>
      </c>
      <c r="E291" s="74">
        <v>1200</v>
      </c>
      <c r="F291" s="74"/>
      <c r="G291" s="74">
        <f t="shared" si="82"/>
        <v>1200</v>
      </c>
      <c r="H291" s="74"/>
      <c r="I291" s="74">
        <f t="shared" si="83"/>
        <v>1200</v>
      </c>
      <c r="J291" s="74"/>
      <c r="K291" s="74">
        <f t="shared" si="84"/>
        <v>1200</v>
      </c>
    </row>
    <row r="292" spans="1:11" s="24" customFormat="1" ht="21" customHeight="1">
      <c r="A292" s="60"/>
      <c r="B292" s="80"/>
      <c r="C292" s="79">
        <v>4410</v>
      </c>
      <c r="D292" s="38" t="s">
        <v>92</v>
      </c>
      <c r="E292" s="74">
        <v>1200</v>
      </c>
      <c r="F292" s="74"/>
      <c r="G292" s="74">
        <f t="shared" si="82"/>
        <v>1200</v>
      </c>
      <c r="H292" s="74"/>
      <c r="I292" s="74">
        <f t="shared" si="83"/>
        <v>1200</v>
      </c>
      <c r="J292" s="74"/>
      <c r="K292" s="74">
        <f t="shared" si="84"/>
        <v>1200</v>
      </c>
    </row>
    <row r="293" spans="1:11" s="24" customFormat="1" ht="26.25" customHeight="1">
      <c r="A293" s="60"/>
      <c r="B293" s="80"/>
      <c r="C293" s="79">
        <v>4700</v>
      </c>
      <c r="D293" s="38" t="s">
        <v>254</v>
      </c>
      <c r="E293" s="74">
        <v>600</v>
      </c>
      <c r="F293" s="74"/>
      <c r="G293" s="74">
        <f t="shared" si="82"/>
        <v>600</v>
      </c>
      <c r="H293" s="74"/>
      <c r="I293" s="74">
        <f t="shared" si="83"/>
        <v>600</v>
      </c>
      <c r="J293" s="74"/>
      <c r="K293" s="74">
        <f t="shared" si="84"/>
        <v>600</v>
      </c>
    </row>
    <row r="294" spans="1:11" s="24" customFormat="1" ht="21" customHeight="1">
      <c r="A294" s="60"/>
      <c r="B294" s="80">
        <v>85195</v>
      </c>
      <c r="C294" s="79"/>
      <c r="D294" s="38" t="s">
        <v>6</v>
      </c>
      <c r="E294" s="74">
        <f aca="true" t="shared" si="85" ref="E294:K294">SUM(E295)</f>
        <v>10000</v>
      </c>
      <c r="F294" s="74">
        <f t="shared" si="85"/>
        <v>0</v>
      </c>
      <c r="G294" s="74">
        <f t="shared" si="85"/>
        <v>10000</v>
      </c>
      <c r="H294" s="74">
        <f t="shared" si="85"/>
        <v>0</v>
      </c>
      <c r="I294" s="74">
        <f t="shared" si="85"/>
        <v>10000</v>
      </c>
      <c r="J294" s="74">
        <f t="shared" si="85"/>
        <v>0</v>
      </c>
      <c r="K294" s="74">
        <f t="shared" si="85"/>
        <v>10000</v>
      </c>
    </row>
    <row r="295" spans="1:11" s="24" customFormat="1" ht="21" customHeight="1">
      <c r="A295" s="60"/>
      <c r="B295" s="80"/>
      <c r="C295" s="79">
        <v>4430</v>
      </c>
      <c r="D295" s="38" t="s">
        <v>96</v>
      </c>
      <c r="E295" s="74">
        <v>10000</v>
      </c>
      <c r="F295" s="74"/>
      <c r="G295" s="74">
        <f>SUM(E295:F295)</f>
        <v>10000</v>
      </c>
      <c r="H295" s="74"/>
      <c r="I295" s="74">
        <f>SUM(G295:H295)</f>
        <v>10000</v>
      </c>
      <c r="J295" s="74"/>
      <c r="K295" s="74">
        <f>SUM(I295:J295)</f>
        <v>10000</v>
      </c>
    </row>
    <row r="296" spans="1:11" s="7" customFormat="1" ht="24.75" customHeight="1">
      <c r="A296" s="54">
        <v>852</v>
      </c>
      <c r="B296" s="34"/>
      <c r="C296" s="35"/>
      <c r="D296" s="36" t="s">
        <v>189</v>
      </c>
      <c r="E296" s="37">
        <f aca="true" t="shared" si="86" ref="E296:K296">SUM(E297,E320,E322,E325,E329,E353,E355,E327)</f>
        <v>11262797</v>
      </c>
      <c r="F296" s="37">
        <f t="shared" si="86"/>
        <v>0</v>
      </c>
      <c r="G296" s="37">
        <f t="shared" si="86"/>
        <v>11262797</v>
      </c>
      <c r="H296" s="37">
        <f t="shared" si="86"/>
        <v>530000</v>
      </c>
      <c r="I296" s="37">
        <f t="shared" si="86"/>
        <v>11792797</v>
      </c>
      <c r="J296" s="37">
        <f t="shared" si="86"/>
        <v>-73</v>
      </c>
      <c r="K296" s="37">
        <f t="shared" si="86"/>
        <v>11792724</v>
      </c>
    </row>
    <row r="297" spans="1:11" s="24" customFormat="1" ht="45">
      <c r="A297" s="89"/>
      <c r="B297" s="44">
        <v>85212</v>
      </c>
      <c r="C297" s="72"/>
      <c r="D297" s="70" t="s">
        <v>275</v>
      </c>
      <c r="E297" s="64">
        <f aca="true" t="shared" si="87" ref="E297:K297">SUM(E298:E319)</f>
        <v>6664636</v>
      </c>
      <c r="F297" s="64">
        <f t="shared" si="87"/>
        <v>0</v>
      </c>
      <c r="G297" s="64">
        <f t="shared" si="87"/>
        <v>6664636</v>
      </c>
      <c r="H297" s="64">
        <f t="shared" si="87"/>
        <v>0</v>
      </c>
      <c r="I297" s="64">
        <f t="shared" si="87"/>
        <v>6664636</v>
      </c>
      <c r="J297" s="64">
        <f t="shared" si="87"/>
        <v>0</v>
      </c>
      <c r="K297" s="64">
        <f t="shared" si="87"/>
        <v>6664636</v>
      </c>
    </row>
    <row r="298" spans="1:11" s="24" customFormat="1" ht="22.5">
      <c r="A298" s="89"/>
      <c r="B298" s="44"/>
      <c r="C298" s="72">
        <v>3020</v>
      </c>
      <c r="D298" s="38" t="s">
        <v>191</v>
      </c>
      <c r="E298" s="64">
        <v>1400</v>
      </c>
      <c r="F298" s="64"/>
      <c r="G298" s="64">
        <f>SUM(E298:F298)</f>
        <v>1400</v>
      </c>
      <c r="H298" s="64"/>
      <c r="I298" s="64">
        <f>SUM(G298:H298)</f>
        <v>1400</v>
      </c>
      <c r="J298" s="64"/>
      <c r="K298" s="64">
        <f>SUM(I298:J298)</f>
        <v>1400</v>
      </c>
    </row>
    <row r="299" spans="1:11" s="24" customFormat="1" ht="21" customHeight="1">
      <c r="A299" s="89"/>
      <c r="B299" s="44"/>
      <c r="C299" s="72">
        <v>3110</v>
      </c>
      <c r="D299" s="70" t="s">
        <v>114</v>
      </c>
      <c r="E299" s="64">
        <f>6354761-50000</f>
        <v>6304761</v>
      </c>
      <c r="F299" s="64"/>
      <c r="G299" s="64">
        <f aca="true" t="shared" si="88" ref="G299:G319">SUM(E299:F299)</f>
        <v>6304761</v>
      </c>
      <c r="H299" s="64"/>
      <c r="I299" s="64">
        <f aca="true" t="shared" si="89" ref="I299:I319">SUM(G299:H299)</f>
        <v>6304761</v>
      </c>
      <c r="J299" s="64"/>
      <c r="K299" s="64">
        <f aca="true" t="shared" si="90" ref="K299:K319">SUM(I299:J299)</f>
        <v>6304761</v>
      </c>
    </row>
    <row r="300" spans="1:11" s="24" customFormat="1" ht="21" customHeight="1">
      <c r="A300" s="89"/>
      <c r="B300" s="44"/>
      <c r="C300" s="44">
        <v>4010</v>
      </c>
      <c r="D300" s="13" t="s">
        <v>86</v>
      </c>
      <c r="E300" s="64">
        <v>193600</v>
      </c>
      <c r="F300" s="64"/>
      <c r="G300" s="64">
        <f t="shared" si="88"/>
        <v>193600</v>
      </c>
      <c r="H300" s="64"/>
      <c r="I300" s="64">
        <f t="shared" si="89"/>
        <v>193600</v>
      </c>
      <c r="J300" s="64"/>
      <c r="K300" s="64">
        <f t="shared" si="90"/>
        <v>193600</v>
      </c>
    </row>
    <row r="301" spans="1:11" s="24" customFormat="1" ht="21" customHeight="1">
      <c r="A301" s="89"/>
      <c r="B301" s="44"/>
      <c r="C301" s="44">
        <v>4040</v>
      </c>
      <c r="D301" s="13" t="s">
        <v>87</v>
      </c>
      <c r="E301" s="64">
        <v>15400</v>
      </c>
      <c r="F301" s="64"/>
      <c r="G301" s="64">
        <f t="shared" si="88"/>
        <v>15400</v>
      </c>
      <c r="H301" s="64"/>
      <c r="I301" s="64">
        <f t="shared" si="89"/>
        <v>15400</v>
      </c>
      <c r="J301" s="64"/>
      <c r="K301" s="64">
        <f t="shared" si="90"/>
        <v>15400</v>
      </c>
    </row>
    <row r="302" spans="1:11" s="24" customFormat="1" ht="21" customHeight="1">
      <c r="A302" s="89"/>
      <c r="B302" s="44"/>
      <c r="C302" s="44">
        <v>4110</v>
      </c>
      <c r="D302" s="13" t="s">
        <v>88</v>
      </c>
      <c r="E302" s="64">
        <f>32400+50000</f>
        <v>82400</v>
      </c>
      <c r="F302" s="64"/>
      <c r="G302" s="64">
        <f t="shared" si="88"/>
        <v>82400</v>
      </c>
      <c r="H302" s="64"/>
      <c r="I302" s="64">
        <f t="shared" si="89"/>
        <v>82400</v>
      </c>
      <c r="J302" s="64"/>
      <c r="K302" s="64">
        <f t="shared" si="90"/>
        <v>82400</v>
      </c>
    </row>
    <row r="303" spans="1:11" s="24" customFormat="1" ht="21" customHeight="1">
      <c r="A303" s="89"/>
      <c r="B303" s="44"/>
      <c r="C303" s="44">
        <v>4120</v>
      </c>
      <c r="D303" s="13" t="s">
        <v>89</v>
      </c>
      <c r="E303" s="64">
        <v>5300</v>
      </c>
      <c r="F303" s="64"/>
      <c r="G303" s="64">
        <f t="shared" si="88"/>
        <v>5300</v>
      </c>
      <c r="H303" s="64"/>
      <c r="I303" s="64">
        <f t="shared" si="89"/>
        <v>5300</v>
      </c>
      <c r="J303" s="64"/>
      <c r="K303" s="64">
        <f t="shared" si="90"/>
        <v>5300</v>
      </c>
    </row>
    <row r="304" spans="1:11" s="24" customFormat="1" ht="21" customHeight="1">
      <c r="A304" s="89"/>
      <c r="B304" s="71"/>
      <c r="C304" s="44">
        <v>4170</v>
      </c>
      <c r="D304" s="38" t="s">
        <v>194</v>
      </c>
      <c r="E304" s="64">
        <v>3000</v>
      </c>
      <c r="F304" s="64"/>
      <c r="G304" s="64">
        <f t="shared" si="88"/>
        <v>3000</v>
      </c>
      <c r="H304" s="64"/>
      <c r="I304" s="64">
        <f t="shared" si="89"/>
        <v>3000</v>
      </c>
      <c r="J304" s="64"/>
      <c r="K304" s="64">
        <f t="shared" si="90"/>
        <v>3000</v>
      </c>
    </row>
    <row r="305" spans="1:11" s="24" customFormat="1" ht="21" customHeight="1">
      <c r="A305" s="89"/>
      <c r="B305" s="71"/>
      <c r="C305" s="44">
        <v>4210</v>
      </c>
      <c r="D305" s="13" t="s">
        <v>94</v>
      </c>
      <c r="E305" s="64">
        <v>8350</v>
      </c>
      <c r="F305" s="64"/>
      <c r="G305" s="64">
        <f t="shared" si="88"/>
        <v>8350</v>
      </c>
      <c r="H305" s="64"/>
      <c r="I305" s="64">
        <f t="shared" si="89"/>
        <v>8350</v>
      </c>
      <c r="J305" s="64"/>
      <c r="K305" s="64">
        <f t="shared" si="90"/>
        <v>8350</v>
      </c>
    </row>
    <row r="306" spans="1:11" s="24" customFormat="1" ht="21" customHeight="1">
      <c r="A306" s="89"/>
      <c r="B306" s="71"/>
      <c r="C306" s="44">
        <v>4260</v>
      </c>
      <c r="D306" s="38" t="s">
        <v>97</v>
      </c>
      <c r="E306" s="64">
        <v>14000</v>
      </c>
      <c r="F306" s="64"/>
      <c r="G306" s="64">
        <f t="shared" si="88"/>
        <v>14000</v>
      </c>
      <c r="H306" s="64"/>
      <c r="I306" s="64">
        <f t="shared" si="89"/>
        <v>14000</v>
      </c>
      <c r="J306" s="64"/>
      <c r="K306" s="64">
        <f t="shared" si="90"/>
        <v>14000</v>
      </c>
    </row>
    <row r="307" spans="1:11" s="24" customFormat="1" ht="21" customHeight="1">
      <c r="A307" s="89"/>
      <c r="B307" s="71"/>
      <c r="C307" s="44">
        <v>4270</v>
      </c>
      <c r="D307" s="38" t="s">
        <v>80</v>
      </c>
      <c r="E307" s="64">
        <v>1000</v>
      </c>
      <c r="F307" s="64"/>
      <c r="G307" s="64">
        <f t="shared" si="88"/>
        <v>1000</v>
      </c>
      <c r="H307" s="64"/>
      <c r="I307" s="64">
        <f t="shared" si="89"/>
        <v>1000</v>
      </c>
      <c r="J307" s="64"/>
      <c r="K307" s="64">
        <f t="shared" si="90"/>
        <v>1000</v>
      </c>
    </row>
    <row r="308" spans="1:11" s="24" customFormat="1" ht="21" customHeight="1">
      <c r="A308" s="89"/>
      <c r="B308" s="71"/>
      <c r="C308" s="44">
        <v>4280</v>
      </c>
      <c r="D308" s="38" t="s">
        <v>199</v>
      </c>
      <c r="E308" s="64">
        <v>800</v>
      </c>
      <c r="F308" s="64"/>
      <c r="G308" s="64">
        <f t="shared" si="88"/>
        <v>800</v>
      </c>
      <c r="H308" s="64"/>
      <c r="I308" s="64">
        <f t="shared" si="89"/>
        <v>800</v>
      </c>
      <c r="J308" s="64"/>
      <c r="K308" s="64">
        <f t="shared" si="90"/>
        <v>800</v>
      </c>
    </row>
    <row r="309" spans="1:11" s="24" customFormat="1" ht="21" customHeight="1">
      <c r="A309" s="89"/>
      <c r="B309" s="71"/>
      <c r="C309" s="44">
        <v>4300</v>
      </c>
      <c r="D309" s="13" t="s">
        <v>81</v>
      </c>
      <c r="E309" s="64">
        <v>6150</v>
      </c>
      <c r="F309" s="64"/>
      <c r="G309" s="64">
        <f t="shared" si="88"/>
        <v>6150</v>
      </c>
      <c r="H309" s="64"/>
      <c r="I309" s="64">
        <f t="shared" si="89"/>
        <v>6150</v>
      </c>
      <c r="J309" s="64"/>
      <c r="K309" s="64">
        <f t="shared" si="90"/>
        <v>6150</v>
      </c>
    </row>
    <row r="310" spans="1:11" s="24" customFormat="1" ht="21" customHeight="1">
      <c r="A310" s="89"/>
      <c r="B310" s="71"/>
      <c r="C310" s="44">
        <v>4350</v>
      </c>
      <c r="D310" s="38" t="s">
        <v>206</v>
      </c>
      <c r="E310" s="64">
        <v>1600</v>
      </c>
      <c r="F310" s="64"/>
      <c r="G310" s="64">
        <f t="shared" si="88"/>
        <v>1600</v>
      </c>
      <c r="H310" s="64"/>
      <c r="I310" s="64">
        <f t="shared" si="89"/>
        <v>1600</v>
      </c>
      <c r="J310" s="64">
        <v>1200</v>
      </c>
      <c r="K310" s="64">
        <f t="shared" si="90"/>
        <v>2800</v>
      </c>
    </row>
    <row r="311" spans="1:11" s="24" customFormat="1" ht="29.25" customHeight="1">
      <c r="A311" s="89"/>
      <c r="B311" s="71"/>
      <c r="C311" s="44">
        <v>4360</v>
      </c>
      <c r="D311" s="38" t="s">
        <v>225</v>
      </c>
      <c r="E311" s="64">
        <v>1200</v>
      </c>
      <c r="F311" s="64"/>
      <c r="G311" s="64">
        <f t="shared" si="88"/>
        <v>1200</v>
      </c>
      <c r="H311" s="64"/>
      <c r="I311" s="64">
        <f t="shared" si="89"/>
        <v>1200</v>
      </c>
      <c r="J311" s="64"/>
      <c r="K311" s="64">
        <f t="shared" si="90"/>
        <v>1200</v>
      </c>
    </row>
    <row r="312" spans="1:11" s="24" customFormat="1" ht="27.75" customHeight="1">
      <c r="A312" s="89"/>
      <c r="B312" s="71"/>
      <c r="C312" s="44">
        <v>4370</v>
      </c>
      <c r="D312" s="38" t="s">
        <v>225</v>
      </c>
      <c r="E312" s="64">
        <v>4800</v>
      </c>
      <c r="F312" s="64"/>
      <c r="G312" s="64">
        <f t="shared" si="88"/>
        <v>4800</v>
      </c>
      <c r="H312" s="64"/>
      <c r="I312" s="64">
        <f t="shared" si="89"/>
        <v>4800</v>
      </c>
      <c r="J312" s="64">
        <v>-1200</v>
      </c>
      <c r="K312" s="64">
        <f t="shared" si="90"/>
        <v>3600</v>
      </c>
    </row>
    <row r="313" spans="1:11" s="24" customFormat="1" ht="21" customHeight="1">
      <c r="A313" s="89"/>
      <c r="B313" s="71"/>
      <c r="C313" s="44">
        <v>4410</v>
      </c>
      <c r="D313" s="38" t="s">
        <v>92</v>
      </c>
      <c r="E313" s="64">
        <v>2000</v>
      </c>
      <c r="F313" s="64"/>
      <c r="G313" s="64">
        <f t="shared" si="88"/>
        <v>2000</v>
      </c>
      <c r="H313" s="64"/>
      <c r="I313" s="64">
        <f t="shared" si="89"/>
        <v>2000</v>
      </c>
      <c r="J313" s="64"/>
      <c r="K313" s="64">
        <f t="shared" si="90"/>
        <v>2000</v>
      </c>
    </row>
    <row r="314" spans="1:11" s="24" customFormat="1" ht="21" customHeight="1">
      <c r="A314" s="89"/>
      <c r="B314" s="71"/>
      <c r="C314" s="44">
        <v>4430</v>
      </c>
      <c r="D314" s="38" t="s">
        <v>96</v>
      </c>
      <c r="E314" s="64">
        <v>3000</v>
      </c>
      <c r="F314" s="64"/>
      <c r="G314" s="64">
        <f t="shared" si="88"/>
        <v>3000</v>
      </c>
      <c r="H314" s="64"/>
      <c r="I314" s="64">
        <f t="shared" si="89"/>
        <v>3000</v>
      </c>
      <c r="J314" s="64"/>
      <c r="K314" s="64">
        <f t="shared" si="90"/>
        <v>3000</v>
      </c>
    </row>
    <row r="315" spans="1:11" s="24" customFormat="1" ht="22.5">
      <c r="A315" s="89"/>
      <c r="B315" s="71"/>
      <c r="C315" s="44">
        <v>4440</v>
      </c>
      <c r="D315" s="13" t="s">
        <v>90</v>
      </c>
      <c r="E315" s="64">
        <v>4875</v>
      </c>
      <c r="F315" s="64"/>
      <c r="G315" s="64">
        <f t="shared" si="88"/>
        <v>4875</v>
      </c>
      <c r="H315" s="64"/>
      <c r="I315" s="64">
        <f t="shared" si="89"/>
        <v>4875</v>
      </c>
      <c r="J315" s="64"/>
      <c r="K315" s="64">
        <f t="shared" si="90"/>
        <v>4875</v>
      </c>
    </row>
    <row r="316" spans="1:11" s="24" customFormat="1" ht="22.5">
      <c r="A316" s="89"/>
      <c r="B316" s="71"/>
      <c r="C316" s="44">
        <v>4610</v>
      </c>
      <c r="D316" s="38" t="s">
        <v>184</v>
      </c>
      <c r="E316" s="64">
        <v>1000</v>
      </c>
      <c r="F316" s="64"/>
      <c r="G316" s="64">
        <f t="shared" si="88"/>
        <v>1000</v>
      </c>
      <c r="H316" s="64"/>
      <c r="I316" s="64">
        <f t="shared" si="89"/>
        <v>1000</v>
      </c>
      <c r="J316" s="64"/>
      <c r="K316" s="64">
        <f t="shared" si="90"/>
        <v>1000</v>
      </c>
    </row>
    <row r="317" spans="1:11" s="24" customFormat="1" ht="22.5">
      <c r="A317" s="89"/>
      <c r="B317" s="71"/>
      <c r="C317" s="44">
        <v>4700</v>
      </c>
      <c r="D317" s="38" t="s">
        <v>254</v>
      </c>
      <c r="E317" s="64">
        <v>3000</v>
      </c>
      <c r="F317" s="64"/>
      <c r="G317" s="64">
        <f t="shared" si="88"/>
        <v>3000</v>
      </c>
      <c r="H317" s="64"/>
      <c r="I317" s="64">
        <f t="shared" si="89"/>
        <v>3000</v>
      </c>
      <c r="J317" s="64"/>
      <c r="K317" s="64">
        <f t="shared" si="90"/>
        <v>3000</v>
      </c>
    </row>
    <row r="318" spans="1:11" s="24" customFormat="1" ht="28.5" customHeight="1">
      <c r="A318" s="89"/>
      <c r="B318" s="71"/>
      <c r="C318" s="44">
        <v>4740</v>
      </c>
      <c r="D318" s="38" t="s">
        <v>272</v>
      </c>
      <c r="E318" s="64">
        <v>2000</v>
      </c>
      <c r="F318" s="64"/>
      <c r="G318" s="64">
        <f t="shared" si="88"/>
        <v>2000</v>
      </c>
      <c r="H318" s="64"/>
      <c r="I318" s="64">
        <f t="shared" si="89"/>
        <v>2000</v>
      </c>
      <c r="J318" s="64"/>
      <c r="K318" s="64">
        <f t="shared" si="90"/>
        <v>2000</v>
      </c>
    </row>
    <row r="319" spans="1:11" s="24" customFormat="1" ht="28.5" customHeight="1">
      <c r="A319" s="89"/>
      <c r="B319" s="71"/>
      <c r="C319" s="44">
        <v>4750</v>
      </c>
      <c r="D319" s="38" t="s">
        <v>258</v>
      </c>
      <c r="E319" s="64">
        <v>5000</v>
      </c>
      <c r="F319" s="64"/>
      <c r="G319" s="64">
        <f t="shared" si="88"/>
        <v>5000</v>
      </c>
      <c r="H319" s="64"/>
      <c r="I319" s="64">
        <f t="shared" si="89"/>
        <v>5000</v>
      </c>
      <c r="J319" s="64"/>
      <c r="K319" s="64">
        <f t="shared" si="90"/>
        <v>5000</v>
      </c>
    </row>
    <row r="320" spans="1:11" s="24" customFormat="1" ht="67.5">
      <c r="A320" s="60"/>
      <c r="B320" s="80">
        <v>85213</v>
      </c>
      <c r="C320" s="79"/>
      <c r="D320" s="70" t="s">
        <v>273</v>
      </c>
      <c r="E320" s="74">
        <f aca="true" t="shared" si="91" ref="E320:K320">SUM(E321)</f>
        <v>49134</v>
      </c>
      <c r="F320" s="74">
        <f t="shared" si="91"/>
        <v>0</v>
      </c>
      <c r="G320" s="74">
        <f t="shared" si="91"/>
        <v>49134</v>
      </c>
      <c r="H320" s="74">
        <f t="shared" si="91"/>
        <v>0</v>
      </c>
      <c r="I320" s="74">
        <f t="shared" si="91"/>
        <v>49134</v>
      </c>
      <c r="J320" s="74">
        <f t="shared" si="91"/>
        <v>-73</v>
      </c>
      <c r="K320" s="74">
        <f t="shared" si="91"/>
        <v>49061</v>
      </c>
    </row>
    <row r="321" spans="1:11" s="24" customFormat="1" ht="21" customHeight="1">
      <c r="A321" s="60"/>
      <c r="B321" s="80"/>
      <c r="C321" s="79">
        <v>4130</v>
      </c>
      <c r="D321" s="38" t="s">
        <v>122</v>
      </c>
      <c r="E321" s="64">
        <f>12000+37134</f>
        <v>49134</v>
      </c>
      <c r="F321" s="64"/>
      <c r="G321" s="64">
        <f>SUM(E321:F321)</f>
        <v>49134</v>
      </c>
      <c r="H321" s="64"/>
      <c r="I321" s="64">
        <f>SUM(G321:H321)</f>
        <v>49134</v>
      </c>
      <c r="J321" s="64">
        <v>-73</v>
      </c>
      <c r="K321" s="64">
        <f>SUM(I321:J321)</f>
        <v>49061</v>
      </c>
    </row>
    <row r="322" spans="1:11" s="24" customFormat="1" ht="22.5">
      <c r="A322" s="60"/>
      <c r="B322" s="75">
        <v>85214</v>
      </c>
      <c r="C322" s="79"/>
      <c r="D322" s="38" t="s">
        <v>205</v>
      </c>
      <c r="E322" s="74">
        <f aca="true" t="shared" si="92" ref="E322:K322">SUM(E323:E324)</f>
        <v>1489695</v>
      </c>
      <c r="F322" s="74">
        <f t="shared" si="92"/>
        <v>0</v>
      </c>
      <c r="G322" s="74">
        <f t="shared" si="92"/>
        <v>1489695</v>
      </c>
      <c r="H322" s="74">
        <f t="shared" si="92"/>
        <v>0</v>
      </c>
      <c r="I322" s="74">
        <f t="shared" si="92"/>
        <v>1489695</v>
      </c>
      <c r="J322" s="74">
        <f t="shared" si="92"/>
        <v>0</v>
      </c>
      <c r="K322" s="74">
        <f t="shared" si="92"/>
        <v>1489695</v>
      </c>
    </row>
    <row r="323" spans="1:11" s="24" customFormat="1" ht="21" customHeight="1">
      <c r="A323" s="60"/>
      <c r="B323" s="75"/>
      <c r="C323" s="79">
        <v>3110</v>
      </c>
      <c r="D323" s="38" t="s">
        <v>114</v>
      </c>
      <c r="E323" s="74">
        <f>539695+949000</f>
        <v>1488695</v>
      </c>
      <c r="F323" s="74"/>
      <c r="G323" s="74">
        <f>SUM(E323:F323)</f>
        <v>1488695</v>
      </c>
      <c r="H323" s="74"/>
      <c r="I323" s="74">
        <f>SUM(G323:H323)</f>
        <v>1488695</v>
      </c>
      <c r="J323" s="74"/>
      <c r="K323" s="74">
        <f>SUM(I323:J323)</f>
        <v>1488695</v>
      </c>
    </row>
    <row r="324" spans="1:11" s="24" customFormat="1" ht="21" customHeight="1">
      <c r="A324" s="60"/>
      <c r="B324" s="75"/>
      <c r="C324" s="44">
        <v>4110</v>
      </c>
      <c r="D324" s="13" t="s">
        <v>88</v>
      </c>
      <c r="E324" s="74">
        <v>1000</v>
      </c>
      <c r="F324" s="74"/>
      <c r="G324" s="74">
        <f>SUM(E324:F324)</f>
        <v>1000</v>
      </c>
      <c r="H324" s="74"/>
      <c r="I324" s="74">
        <f>SUM(G324:H324)</f>
        <v>1000</v>
      </c>
      <c r="J324" s="74"/>
      <c r="K324" s="74">
        <f>SUM(I324:J324)</f>
        <v>1000</v>
      </c>
    </row>
    <row r="325" spans="1:11" s="24" customFormat="1" ht="21" customHeight="1">
      <c r="A325" s="60"/>
      <c r="B325" s="75">
        <v>85215</v>
      </c>
      <c r="C325" s="79"/>
      <c r="D325" s="38" t="s">
        <v>59</v>
      </c>
      <c r="E325" s="74">
        <f aca="true" t="shared" si="93" ref="E325:K325">SUM(E326)</f>
        <v>819400</v>
      </c>
      <c r="F325" s="74">
        <f t="shared" si="93"/>
        <v>0</v>
      </c>
      <c r="G325" s="74">
        <f t="shared" si="93"/>
        <v>819400</v>
      </c>
      <c r="H325" s="74">
        <f t="shared" si="93"/>
        <v>0</v>
      </c>
      <c r="I325" s="74">
        <f t="shared" si="93"/>
        <v>819400</v>
      </c>
      <c r="J325" s="74">
        <f t="shared" si="93"/>
        <v>0</v>
      </c>
      <c r="K325" s="74">
        <f t="shared" si="93"/>
        <v>819400</v>
      </c>
    </row>
    <row r="326" spans="1:11" s="24" customFormat="1" ht="21" customHeight="1">
      <c r="A326" s="60"/>
      <c r="B326" s="75"/>
      <c r="C326" s="79">
        <v>3110</v>
      </c>
      <c r="D326" s="38" t="s">
        <v>114</v>
      </c>
      <c r="E326" s="74">
        <f>900000-80600</f>
        <v>819400</v>
      </c>
      <c r="F326" s="74"/>
      <c r="G326" s="74">
        <f>SUM(E326:F326)</f>
        <v>819400</v>
      </c>
      <c r="H326" s="74"/>
      <c r="I326" s="74">
        <f>SUM(G326:H326)</f>
        <v>819400</v>
      </c>
      <c r="J326" s="74"/>
      <c r="K326" s="74">
        <f>SUM(I326:J326)</f>
        <v>819400</v>
      </c>
    </row>
    <row r="327" spans="1:11" s="24" customFormat="1" ht="21" customHeight="1">
      <c r="A327" s="60"/>
      <c r="B327" s="75">
        <v>82516</v>
      </c>
      <c r="C327" s="79"/>
      <c r="D327" s="38" t="s">
        <v>283</v>
      </c>
      <c r="E327" s="74">
        <f aca="true" t="shared" si="94" ref="E327:K327">SUM(E328)</f>
        <v>449868</v>
      </c>
      <c r="F327" s="74">
        <f t="shared" si="94"/>
        <v>0</v>
      </c>
      <c r="G327" s="74">
        <f t="shared" si="94"/>
        <v>449868</v>
      </c>
      <c r="H327" s="74">
        <f t="shared" si="94"/>
        <v>0</v>
      </c>
      <c r="I327" s="74">
        <f t="shared" si="94"/>
        <v>449868</v>
      </c>
      <c r="J327" s="74">
        <f t="shared" si="94"/>
        <v>0</v>
      </c>
      <c r="K327" s="74">
        <f t="shared" si="94"/>
        <v>449868</v>
      </c>
    </row>
    <row r="328" spans="1:11" s="24" customFormat="1" ht="21" customHeight="1">
      <c r="A328" s="60"/>
      <c r="B328" s="75"/>
      <c r="C328" s="79">
        <v>3110</v>
      </c>
      <c r="D328" s="38" t="s">
        <v>114</v>
      </c>
      <c r="E328" s="74">
        <v>449868</v>
      </c>
      <c r="F328" s="74"/>
      <c r="G328" s="74">
        <f>SUM(E328:F328)</f>
        <v>449868</v>
      </c>
      <c r="H328" s="74"/>
      <c r="I328" s="74">
        <f>SUM(G328:H328)</f>
        <v>449868</v>
      </c>
      <c r="J328" s="74"/>
      <c r="K328" s="74">
        <f>SUM(I328:J328)</f>
        <v>449868</v>
      </c>
    </row>
    <row r="329" spans="1:11" s="24" customFormat="1" ht="21" customHeight="1">
      <c r="A329" s="60"/>
      <c r="B329" s="75">
        <v>85219</v>
      </c>
      <c r="C329" s="79"/>
      <c r="D329" s="38" t="s">
        <v>60</v>
      </c>
      <c r="E329" s="74">
        <f aca="true" t="shared" si="95" ref="E329:K329">SUM(E330:E352)</f>
        <v>1374544</v>
      </c>
      <c r="F329" s="74">
        <f t="shared" si="95"/>
        <v>0</v>
      </c>
      <c r="G329" s="74">
        <f t="shared" si="95"/>
        <v>1374544</v>
      </c>
      <c r="H329" s="74">
        <f t="shared" si="95"/>
        <v>0</v>
      </c>
      <c r="I329" s="74">
        <f t="shared" si="95"/>
        <v>1374544</v>
      </c>
      <c r="J329" s="74">
        <f t="shared" si="95"/>
        <v>0</v>
      </c>
      <c r="K329" s="74">
        <f t="shared" si="95"/>
        <v>1374544</v>
      </c>
    </row>
    <row r="330" spans="1:11" s="24" customFormat="1" ht="21" customHeight="1">
      <c r="A330" s="60"/>
      <c r="B330" s="75"/>
      <c r="C330" s="79">
        <v>3020</v>
      </c>
      <c r="D330" s="38" t="s">
        <v>210</v>
      </c>
      <c r="E330" s="74">
        <f>2610+770</f>
        <v>3380</v>
      </c>
      <c r="F330" s="74"/>
      <c r="G330" s="74">
        <f>SUM(E330:F330)</f>
        <v>3380</v>
      </c>
      <c r="H330" s="74"/>
      <c r="I330" s="74">
        <f>SUM(G330:H330)</f>
        <v>3380</v>
      </c>
      <c r="J330" s="74"/>
      <c r="K330" s="74">
        <f>SUM(I330:J330)</f>
        <v>3380</v>
      </c>
    </row>
    <row r="331" spans="1:11" s="24" customFormat="1" ht="21" customHeight="1">
      <c r="A331" s="60"/>
      <c r="B331" s="75"/>
      <c r="C331" s="79">
        <v>4010</v>
      </c>
      <c r="D331" s="38" t="s">
        <v>86</v>
      </c>
      <c r="E331" s="74">
        <f>30333+277985+284599+80372</f>
        <v>673289</v>
      </c>
      <c r="F331" s="74"/>
      <c r="G331" s="74">
        <f aca="true" t="shared" si="96" ref="G331:G352">SUM(E331:F331)</f>
        <v>673289</v>
      </c>
      <c r="H331" s="74"/>
      <c r="I331" s="74">
        <f aca="true" t="shared" si="97" ref="I331:I352">SUM(G331:H331)</f>
        <v>673289</v>
      </c>
      <c r="J331" s="74"/>
      <c r="K331" s="74">
        <f aca="true" t="shared" si="98" ref="K331:K352">SUM(I331:J331)</f>
        <v>673289</v>
      </c>
    </row>
    <row r="332" spans="1:11" s="24" customFormat="1" ht="21" customHeight="1">
      <c r="A332" s="60"/>
      <c r="B332" s="75"/>
      <c r="C332" s="79">
        <v>4040</v>
      </c>
      <c r="D332" s="38" t="s">
        <v>87</v>
      </c>
      <c r="E332" s="74">
        <f>2420+32000+14500+6200</f>
        <v>55120</v>
      </c>
      <c r="F332" s="74"/>
      <c r="G332" s="74">
        <f t="shared" si="96"/>
        <v>55120</v>
      </c>
      <c r="H332" s="74"/>
      <c r="I332" s="74">
        <f t="shared" si="97"/>
        <v>55120</v>
      </c>
      <c r="J332" s="74"/>
      <c r="K332" s="74">
        <f t="shared" si="98"/>
        <v>55120</v>
      </c>
    </row>
    <row r="333" spans="1:11" s="24" customFormat="1" ht="21" customHeight="1">
      <c r="A333" s="60"/>
      <c r="B333" s="75"/>
      <c r="C333" s="79">
        <v>4110</v>
      </c>
      <c r="D333" s="38" t="s">
        <v>88</v>
      </c>
      <c r="E333" s="74">
        <f>5008+42504+50164+13237</f>
        <v>110913</v>
      </c>
      <c r="F333" s="74"/>
      <c r="G333" s="74">
        <f t="shared" si="96"/>
        <v>110913</v>
      </c>
      <c r="H333" s="74"/>
      <c r="I333" s="74">
        <f t="shared" si="97"/>
        <v>110913</v>
      </c>
      <c r="J333" s="74"/>
      <c r="K333" s="74">
        <f t="shared" si="98"/>
        <v>110913</v>
      </c>
    </row>
    <row r="334" spans="1:11" s="24" customFormat="1" ht="21" customHeight="1">
      <c r="A334" s="60"/>
      <c r="B334" s="75"/>
      <c r="C334" s="79">
        <v>4120</v>
      </c>
      <c r="D334" s="38" t="s">
        <v>89</v>
      </c>
      <c r="E334" s="74">
        <f>803+6810+7945+2121</f>
        <v>17679</v>
      </c>
      <c r="F334" s="74"/>
      <c r="G334" s="74">
        <f t="shared" si="96"/>
        <v>17679</v>
      </c>
      <c r="H334" s="74"/>
      <c r="I334" s="74">
        <f t="shared" si="97"/>
        <v>17679</v>
      </c>
      <c r="J334" s="74"/>
      <c r="K334" s="74">
        <f t="shared" si="98"/>
        <v>17679</v>
      </c>
    </row>
    <row r="335" spans="1:11" s="24" customFormat="1" ht="21" customHeight="1">
      <c r="A335" s="60"/>
      <c r="B335" s="75"/>
      <c r="C335" s="79">
        <v>4170</v>
      </c>
      <c r="D335" s="38" t="s">
        <v>194</v>
      </c>
      <c r="E335" s="74">
        <v>10200</v>
      </c>
      <c r="F335" s="74"/>
      <c r="G335" s="74">
        <f t="shared" si="96"/>
        <v>10200</v>
      </c>
      <c r="H335" s="74"/>
      <c r="I335" s="74">
        <f t="shared" si="97"/>
        <v>10200</v>
      </c>
      <c r="J335" s="74"/>
      <c r="K335" s="74">
        <f t="shared" si="98"/>
        <v>10200</v>
      </c>
    </row>
    <row r="336" spans="1:11" s="24" customFormat="1" ht="21" customHeight="1">
      <c r="A336" s="60"/>
      <c r="B336" s="75"/>
      <c r="C336" s="79">
        <v>4210</v>
      </c>
      <c r="D336" s="38" t="s">
        <v>94</v>
      </c>
      <c r="E336" s="74">
        <f>4200+21100+11850</f>
        <v>37150</v>
      </c>
      <c r="F336" s="74"/>
      <c r="G336" s="74">
        <f t="shared" si="96"/>
        <v>37150</v>
      </c>
      <c r="H336" s="74"/>
      <c r="I336" s="74">
        <f t="shared" si="97"/>
        <v>37150</v>
      </c>
      <c r="J336" s="74"/>
      <c r="K336" s="74">
        <f t="shared" si="98"/>
        <v>37150</v>
      </c>
    </row>
    <row r="337" spans="1:11" s="24" customFormat="1" ht="21" customHeight="1">
      <c r="A337" s="60"/>
      <c r="B337" s="75"/>
      <c r="C337" s="79">
        <v>4220</v>
      </c>
      <c r="D337" s="38" t="s">
        <v>182</v>
      </c>
      <c r="E337" s="74">
        <v>190000</v>
      </c>
      <c r="F337" s="74"/>
      <c r="G337" s="74">
        <f t="shared" si="96"/>
        <v>190000</v>
      </c>
      <c r="H337" s="74"/>
      <c r="I337" s="74">
        <f t="shared" si="97"/>
        <v>190000</v>
      </c>
      <c r="J337" s="74"/>
      <c r="K337" s="74">
        <f t="shared" si="98"/>
        <v>190000</v>
      </c>
    </row>
    <row r="338" spans="1:11" s="24" customFormat="1" ht="21" customHeight="1">
      <c r="A338" s="60"/>
      <c r="B338" s="75"/>
      <c r="C338" s="79">
        <v>4260</v>
      </c>
      <c r="D338" s="38" t="s">
        <v>97</v>
      </c>
      <c r="E338" s="74">
        <f>6340+13615</f>
        <v>19955</v>
      </c>
      <c r="F338" s="74"/>
      <c r="G338" s="74">
        <f t="shared" si="96"/>
        <v>19955</v>
      </c>
      <c r="H338" s="74"/>
      <c r="I338" s="74">
        <f t="shared" si="97"/>
        <v>19955</v>
      </c>
      <c r="J338" s="74"/>
      <c r="K338" s="74">
        <f t="shared" si="98"/>
        <v>19955</v>
      </c>
    </row>
    <row r="339" spans="1:11" s="24" customFormat="1" ht="21" customHeight="1">
      <c r="A339" s="60"/>
      <c r="B339" s="75"/>
      <c r="C339" s="79">
        <v>4270</v>
      </c>
      <c r="D339" s="38" t="s">
        <v>80</v>
      </c>
      <c r="E339" s="74">
        <f>1000+1000</f>
        <v>2000</v>
      </c>
      <c r="F339" s="74"/>
      <c r="G339" s="74">
        <f t="shared" si="96"/>
        <v>2000</v>
      </c>
      <c r="H339" s="74"/>
      <c r="I339" s="74">
        <f t="shared" si="97"/>
        <v>2000</v>
      </c>
      <c r="J339" s="74"/>
      <c r="K339" s="74">
        <f t="shared" si="98"/>
        <v>2000</v>
      </c>
    </row>
    <row r="340" spans="1:11" s="24" customFormat="1" ht="21" customHeight="1">
      <c r="A340" s="60"/>
      <c r="B340" s="75"/>
      <c r="C340" s="79">
        <v>4280</v>
      </c>
      <c r="D340" s="38" t="s">
        <v>199</v>
      </c>
      <c r="E340" s="74">
        <f>150+850+680</f>
        <v>1680</v>
      </c>
      <c r="F340" s="74"/>
      <c r="G340" s="74">
        <f t="shared" si="96"/>
        <v>1680</v>
      </c>
      <c r="H340" s="74"/>
      <c r="I340" s="74">
        <f t="shared" si="97"/>
        <v>1680</v>
      </c>
      <c r="J340" s="74"/>
      <c r="K340" s="74">
        <f t="shared" si="98"/>
        <v>1680</v>
      </c>
    </row>
    <row r="341" spans="1:11" s="24" customFormat="1" ht="21" customHeight="1">
      <c r="A341" s="60"/>
      <c r="B341" s="75"/>
      <c r="C341" s="79">
        <v>4300</v>
      </c>
      <c r="D341" s="38" t="s">
        <v>81</v>
      </c>
      <c r="E341" s="74">
        <f>55660+35816+15620</f>
        <v>107096</v>
      </c>
      <c r="F341" s="74"/>
      <c r="G341" s="74">
        <f t="shared" si="96"/>
        <v>107096</v>
      </c>
      <c r="H341" s="74"/>
      <c r="I341" s="74">
        <f t="shared" si="97"/>
        <v>107096</v>
      </c>
      <c r="J341" s="74"/>
      <c r="K341" s="74">
        <f t="shared" si="98"/>
        <v>107096</v>
      </c>
    </row>
    <row r="342" spans="1:11" s="24" customFormat="1" ht="21" customHeight="1">
      <c r="A342" s="60"/>
      <c r="B342" s="75"/>
      <c r="C342" s="79">
        <v>4350</v>
      </c>
      <c r="D342" s="38" t="s">
        <v>206</v>
      </c>
      <c r="E342" s="74">
        <f>550+627</f>
        <v>1177</v>
      </c>
      <c r="F342" s="74"/>
      <c r="G342" s="74">
        <f t="shared" si="96"/>
        <v>1177</v>
      </c>
      <c r="H342" s="74"/>
      <c r="I342" s="74">
        <f t="shared" si="97"/>
        <v>1177</v>
      </c>
      <c r="J342" s="74"/>
      <c r="K342" s="74">
        <f t="shared" si="98"/>
        <v>1177</v>
      </c>
    </row>
    <row r="343" spans="1:11" s="24" customFormat="1" ht="27" customHeight="1">
      <c r="A343" s="60"/>
      <c r="B343" s="75"/>
      <c r="C343" s="79">
        <v>4360</v>
      </c>
      <c r="D343" s="38" t="s">
        <v>225</v>
      </c>
      <c r="E343" s="74">
        <v>732</v>
      </c>
      <c r="F343" s="74"/>
      <c r="G343" s="74">
        <f t="shared" si="96"/>
        <v>732</v>
      </c>
      <c r="H343" s="74"/>
      <c r="I343" s="74">
        <f t="shared" si="97"/>
        <v>732</v>
      </c>
      <c r="J343" s="74"/>
      <c r="K343" s="74">
        <f t="shared" si="98"/>
        <v>732</v>
      </c>
    </row>
    <row r="344" spans="1:11" s="24" customFormat="1" ht="30.75" customHeight="1">
      <c r="A344" s="60"/>
      <c r="B344" s="75"/>
      <c r="C344" s="79">
        <v>4370</v>
      </c>
      <c r="D344" s="38" t="s">
        <v>225</v>
      </c>
      <c r="E344" s="74">
        <f>2500+6000+480</f>
        <v>8980</v>
      </c>
      <c r="F344" s="74"/>
      <c r="G344" s="74">
        <f t="shared" si="96"/>
        <v>8980</v>
      </c>
      <c r="H344" s="74"/>
      <c r="I344" s="74">
        <f t="shared" si="97"/>
        <v>8980</v>
      </c>
      <c r="J344" s="74"/>
      <c r="K344" s="74">
        <f t="shared" si="98"/>
        <v>8980</v>
      </c>
    </row>
    <row r="345" spans="1:11" s="24" customFormat="1" ht="32.25" customHeight="1">
      <c r="A345" s="60"/>
      <c r="B345" s="75"/>
      <c r="C345" s="79">
        <v>4400</v>
      </c>
      <c r="D345" s="38" t="s">
        <v>246</v>
      </c>
      <c r="E345" s="74">
        <f>2110+58055+13697</f>
        <v>73862</v>
      </c>
      <c r="F345" s="74"/>
      <c r="G345" s="74">
        <f t="shared" si="96"/>
        <v>73862</v>
      </c>
      <c r="H345" s="74"/>
      <c r="I345" s="74">
        <f t="shared" si="97"/>
        <v>73862</v>
      </c>
      <c r="J345" s="74"/>
      <c r="K345" s="74">
        <f t="shared" si="98"/>
        <v>73862</v>
      </c>
    </row>
    <row r="346" spans="1:11" s="24" customFormat="1" ht="21" customHeight="1">
      <c r="A346" s="60"/>
      <c r="B346" s="75"/>
      <c r="C346" s="79">
        <v>4410</v>
      </c>
      <c r="D346" s="38" t="s">
        <v>92</v>
      </c>
      <c r="E346" s="74">
        <f>200+14518</f>
        <v>14718</v>
      </c>
      <c r="F346" s="74"/>
      <c r="G346" s="74">
        <f t="shared" si="96"/>
        <v>14718</v>
      </c>
      <c r="H346" s="74"/>
      <c r="I346" s="74">
        <f t="shared" si="97"/>
        <v>14718</v>
      </c>
      <c r="J346" s="74"/>
      <c r="K346" s="74">
        <f t="shared" si="98"/>
        <v>14718</v>
      </c>
    </row>
    <row r="347" spans="1:11" s="24" customFormat="1" ht="21" customHeight="1">
      <c r="A347" s="60"/>
      <c r="B347" s="75"/>
      <c r="C347" s="79">
        <v>4430</v>
      </c>
      <c r="D347" s="38" t="s">
        <v>96</v>
      </c>
      <c r="E347" s="74">
        <v>3470</v>
      </c>
      <c r="F347" s="74"/>
      <c r="G347" s="74">
        <f t="shared" si="96"/>
        <v>3470</v>
      </c>
      <c r="H347" s="74"/>
      <c r="I347" s="74">
        <f t="shared" si="97"/>
        <v>3470</v>
      </c>
      <c r="J347" s="74"/>
      <c r="K347" s="74">
        <f t="shared" si="98"/>
        <v>3470</v>
      </c>
    </row>
    <row r="348" spans="1:11" s="24" customFormat="1" ht="21" customHeight="1">
      <c r="A348" s="60"/>
      <c r="B348" s="75"/>
      <c r="C348" s="79">
        <v>4440</v>
      </c>
      <c r="D348" s="38" t="s">
        <v>90</v>
      </c>
      <c r="E348" s="74">
        <f>1133+15000+4398+4622</f>
        <v>25153</v>
      </c>
      <c r="F348" s="74"/>
      <c r="G348" s="74">
        <f t="shared" si="96"/>
        <v>25153</v>
      </c>
      <c r="H348" s="74"/>
      <c r="I348" s="74">
        <f t="shared" si="97"/>
        <v>25153</v>
      </c>
      <c r="J348" s="74"/>
      <c r="K348" s="74">
        <f t="shared" si="98"/>
        <v>25153</v>
      </c>
    </row>
    <row r="349" spans="1:11" s="24" customFormat="1" ht="22.5">
      <c r="A349" s="60"/>
      <c r="B349" s="75"/>
      <c r="C349" s="79">
        <v>4610</v>
      </c>
      <c r="D349" s="38" t="s">
        <v>184</v>
      </c>
      <c r="E349" s="74">
        <f>1200+600</f>
        <v>1800</v>
      </c>
      <c r="F349" s="74"/>
      <c r="G349" s="74">
        <f t="shared" si="96"/>
        <v>1800</v>
      </c>
      <c r="H349" s="74"/>
      <c r="I349" s="74">
        <f t="shared" si="97"/>
        <v>1800</v>
      </c>
      <c r="J349" s="74"/>
      <c r="K349" s="74">
        <f t="shared" si="98"/>
        <v>1800</v>
      </c>
    </row>
    <row r="350" spans="1:11" s="24" customFormat="1" ht="30.75" customHeight="1">
      <c r="A350" s="60"/>
      <c r="B350" s="75"/>
      <c r="C350" s="79">
        <v>4700</v>
      </c>
      <c r="D350" s="38" t="s">
        <v>254</v>
      </c>
      <c r="E350" s="74">
        <f>2000+6000</f>
        <v>8000</v>
      </c>
      <c r="F350" s="74"/>
      <c r="G350" s="74">
        <f t="shared" si="96"/>
        <v>8000</v>
      </c>
      <c r="H350" s="74"/>
      <c r="I350" s="74">
        <f t="shared" si="97"/>
        <v>8000</v>
      </c>
      <c r="J350" s="74"/>
      <c r="K350" s="74">
        <f t="shared" si="98"/>
        <v>8000</v>
      </c>
    </row>
    <row r="351" spans="1:11" s="24" customFormat="1" ht="32.25" customHeight="1">
      <c r="A351" s="60"/>
      <c r="B351" s="75"/>
      <c r="C351" s="79">
        <v>4740</v>
      </c>
      <c r="D351" s="38" t="s">
        <v>272</v>
      </c>
      <c r="E351" s="74">
        <f>130+1600</f>
        <v>1730</v>
      </c>
      <c r="F351" s="74"/>
      <c r="G351" s="74">
        <f t="shared" si="96"/>
        <v>1730</v>
      </c>
      <c r="H351" s="74"/>
      <c r="I351" s="74">
        <f t="shared" si="97"/>
        <v>1730</v>
      </c>
      <c r="J351" s="74"/>
      <c r="K351" s="74">
        <f t="shared" si="98"/>
        <v>1730</v>
      </c>
    </row>
    <row r="352" spans="1:11" s="24" customFormat="1" ht="28.5" customHeight="1">
      <c r="A352" s="60"/>
      <c r="B352" s="75"/>
      <c r="C352" s="79">
        <v>4750</v>
      </c>
      <c r="D352" s="38" t="s">
        <v>258</v>
      </c>
      <c r="E352" s="74">
        <f>700+5760</f>
        <v>6460</v>
      </c>
      <c r="F352" s="74"/>
      <c r="G352" s="74">
        <f t="shared" si="96"/>
        <v>6460</v>
      </c>
      <c r="H352" s="74"/>
      <c r="I352" s="74">
        <f t="shared" si="97"/>
        <v>6460</v>
      </c>
      <c r="J352" s="74"/>
      <c r="K352" s="74">
        <f t="shared" si="98"/>
        <v>6460</v>
      </c>
    </row>
    <row r="353" spans="1:11" s="24" customFormat="1" ht="21" customHeight="1">
      <c r="A353" s="60"/>
      <c r="B353" s="75">
        <v>85228</v>
      </c>
      <c r="C353" s="79"/>
      <c r="D353" s="38" t="s">
        <v>123</v>
      </c>
      <c r="E353" s="74">
        <f aca="true" t="shared" si="99" ref="E353:K353">SUM(E354)</f>
        <v>150000</v>
      </c>
      <c r="F353" s="74">
        <f t="shared" si="99"/>
        <v>0</v>
      </c>
      <c r="G353" s="74">
        <f t="shared" si="99"/>
        <v>150000</v>
      </c>
      <c r="H353" s="74">
        <f t="shared" si="99"/>
        <v>0</v>
      </c>
      <c r="I353" s="74">
        <f t="shared" si="99"/>
        <v>150000</v>
      </c>
      <c r="J353" s="74">
        <f t="shared" si="99"/>
        <v>0</v>
      </c>
      <c r="K353" s="74">
        <f t="shared" si="99"/>
        <v>150000</v>
      </c>
    </row>
    <row r="354" spans="1:11" s="24" customFormat="1" ht="21" customHeight="1">
      <c r="A354" s="60"/>
      <c r="B354" s="75"/>
      <c r="C354" s="79">
        <v>4300</v>
      </c>
      <c r="D354" s="38" t="s">
        <v>81</v>
      </c>
      <c r="E354" s="74">
        <v>150000</v>
      </c>
      <c r="F354" s="74"/>
      <c r="G354" s="74">
        <f>SUM(E354:F354)</f>
        <v>150000</v>
      </c>
      <c r="H354" s="74"/>
      <c r="I354" s="74">
        <f>SUM(G354:H354)</f>
        <v>150000</v>
      </c>
      <c r="J354" s="74"/>
      <c r="K354" s="74">
        <f>SUM(I354:J354)</f>
        <v>150000</v>
      </c>
    </row>
    <row r="355" spans="1:11" s="24" customFormat="1" ht="21" customHeight="1">
      <c r="A355" s="60"/>
      <c r="B355" s="75" t="s">
        <v>159</v>
      </c>
      <c r="C355" s="79"/>
      <c r="D355" s="38" t="s">
        <v>6</v>
      </c>
      <c r="E355" s="74">
        <f aca="true" t="shared" si="100" ref="E355:K355">SUM(E356:E357)</f>
        <v>265520</v>
      </c>
      <c r="F355" s="74">
        <f t="shared" si="100"/>
        <v>0</v>
      </c>
      <c r="G355" s="74">
        <f t="shared" si="100"/>
        <v>265520</v>
      </c>
      <c r="H355" s="74">
        <f t="shared" si="100"/>
        <v>530000</v>
      </c>
      <c r="I355" s="74">
        <f t="shared" si="100"/>
        <v>795520</v>
      </c>
      <c r="J355" s="74">
        <f t="shared" si="100"/>
        <v>0</v>
      </c>
      <c r="K355" s="74">
        <f t="shared" si="100"/>
        <v>795520</v>
      </c>
    </row>
    <row r="356" spans="1:11" s="24" customFormat="1" ht="21" customHeight="1">
      <c r="A356" s="60"/>
      <c r="B356" s="75"/>
      <c r="C356" s="79">
        <v>3110</v>
      </c>
      <c r="D356" s="38" t="s">
        <v>114</v>
      </c>
      <c r="E356" s="64">
        <f>250000+10000</f>
        <v>260000</v>
      </c>
      <c r="F356" s="64"/>
      <c r="G356" s="64">
        <f>SUM(E356:F356)</f>
        <v>260000</v>
      </c>
      <c r="H356" s="64">
        <v>530000</v>
      </c>
      <c r="I356" s="64">
        <f>SUM(G356:H356)</f>
        <v>790000</v>
      </c>
      <c r="J356" s="64"/>
      <c r="K356" s="64">
        <f>SUM(I356:J356)</f>
        <v>790000</v>
      </c>
    </row>
    <row r="357" spans="1:11" s="24" customFormat="1" ht="21" customHeight="1">
      <c r="A357" s="60"/>
      <c r="B357" s="75"/>
      <c r="C357" s="79">
        <v>4430</v>
      </c>
      <c r="D357" s="38" t="s">
        <v>96</v>
      </c>
      <c r="E357" s="74">
        <v>5520</v>
      </c>
      <c r="F357" s="74"/>
      <c r="G357" s="64">
        <f>SUM(E357:F357)</f>
        <v>5520</v>
      </c>
      <c r="H357" s="74"/>
      <c r="I357" s="64">
        <f>SUM(G357:H357)</f>
        <v>5520</v>
      </c>
      <c r="J357" s="74"/>
      <c r="K357" s="64">
        <f>SUM(I357:J357)</f>
        <v>5520</v>
      </c>
    </row>
    <row r="358" spans="1:11" s="148" customFormat="1" ht="21" customHeight="1">
      <c r="A358" s="144">
        <v>853</v>
      </c>
      <c r="B358" s="145"/>
      <c r="C358" s="146"/>
      <c r="D358" s="147" t="s">
        <v>264</v>
      </c>
      <c r="E358" s="172">
        <f aca="true" t="shared" si="101" ref="E358:K359">E359</f>
        <v>10704</v>
      </c>
      <c r="F358" s="172">
        <f t="shared" si="101"/>
        <v>0</v>
      </c>
      <c r="G358" s="172">
        <f t="shared" si="101"/>
        <v>10704</v>
      </c>
      <c r="H358" s="172">
        <f t="shared" si="101"/>
        <v>0</v>
      </c>
      <c r="I358" s="172">
        <f t="shared" si="101"/>
        <v>10704</v>
      </c>
      <c r="J358" s="172">
        <f t="shared" si="101"/>
        <v>0</v>
      </c>
      <c r="K358" s="172">
        <f t="shared" si="101"/>
        <v>10704</v>
      </c>
    </row>
    <row r="359" spans="1:11" s="24" customFormat="1" ht="21" customHeight="1">
      <c r="A359" s="60"/>
      <c r="B359" s="75">
        <v>85311</v>
      </c>
      <c r="C359" s="79"/>
      <c r="D359" s="38" t="s">
        <v>265</v>
      </c>
      <c r="E359" s="74">
        <f t="shared" si="101"/>
        <v>10704</v>
      </c>
      <c r="F359" s="74">
        <f t="shared" si="101"/>
        <v>0</v>
      </c>
      <c r="G359" s="74">
        <f t="shared" si="101"/>
        <v>10704</v>
      </c>
      <c r="H359" s="74">
        <f t="shared" si="101"/>
        <v>0</v>
      </c>
      <c r="I359" s="74">
        <f t="shared" si="101"/>
        <v>10704</v>
      </c>
      <c r="J359" s="74">
        <f t="shared" si="101"/>
        <v>0</v>
      </c>
      <c r="K359" s="74">
        <f t="shared" si="101"/>
        <v>10704</v>
      </c>
    </row>
    <row r="360" spans="1:19" s="24" customFormat="1" ht="45">
      <c r="A360" s="60"/>
      <c r="B360" s="75"/>
      <c r="C360" s="79">
        <v>2710</v>
      </c>
      <c r="D360" s="38" t="s">
        <v>274</v>
      </c>
      <c r="E360" s="74">
        <v>10704</v>
      </c>
      <c r="F360" s="74"/>
      <c r="G360" s="74">
        <f>SUM(E360:F360)</f>
        <v>10704</v>
      </c>
      <c r="H360" s="74"/>
      <c r="I360" s="74">
        <f>SUM(G360:H360)</f>
        <v>10704</v>
      </c>
      <c r="J360" s="74"/>
      <c r="K360" s="74">
        <f>SUM(I360:J360)</f>
        <v>10704</v>
      </c>
      <c r="Q360" s="112"/>
      <c r="R360" s="112"/>
      <c r="S360" s="112"/>
    </row>
    <row r="361" spans="1:11" s="8" customFormat="1" ht="21" customHeight="1">
      <c r="A361" s="33" t="s">
        <v>124</v>
      </c>
      <c r="B361" s="34"/>
      <c r="C361" s="35"/>
      <c r="D361" s="36" t="s">
        <v>61</v>
      </c>
      <c r="E361" s="37">
        <f aca="true" t="shared" si="102" ref="E361:K361">SUM(E362,E373,E380,E378,E376)</f>
        <v>1079023</v>
      </c>
      <c r="F361" s="37">
        <f t="shared" si="102"/>
        <v>-100000</v>
      </c>
      <c r="G361" s="37">
        <f t="shared" si="102"/>
        <v>979023</v>
      </c>
      <c r="H361" s="37">
        <f t="shared" si="102"/>
        <v>0</v>
      </c>
      <c r="I361" s="37">
        <f t="shared" si="102"/>
        <v>979023</v>
      </c>
      <c r="J361" s="37">
        <f t="shared" si="102"/>
        <v>0</v>
      </c>
      <c r="K361" s="37">
        <f t="shared" si="102"/>
        <v>979023</v>
      </c>
    </row>
    <row r="362" spans="1:11" s="24" customFormat="1" ht="21" customHeight="1">
      <c r="A362" s="60"/>
      <c r="B362" s="75">
        <v>85401</v>
      </c>
      <c r="C362" s="79"/>
      <c r="D362" s="38" t="s">
        <v>62</v>
      </c>
      <c r="E362" s="74">
        <f aca="true" t="shared" si="103" ref="E362:K362">SUM(E363:E372)</f>
        <v>622434</v>
      </c>
      <c r="F362" s="74">
        <f t="shared" si="103"/>
        <v>0</v>
      </c>
      <c r="G362" s="74">
        <f t="shared" si="103"/>
        <v>622434</v>
      </c>
      <c r="H362" s="74">
        <f t="shared" si="103"/>
        <v>0</v>
      </c>
      <c r="I362" s="74">
        <f t="shared" si="103"/>
        <v>622434</v>
      </c>
      <c r="J362" s="74">
        <f t="shared" si="103"/>
        <v>0</v>
      </c>
      <c r="K362" s="74">
        <f t="shared" si="103"/>
        <v>622434</v>
      </c>
    </row>
    <row r="363" spans="1:11" s="24" customFormat="1" ht="21" customHeight="1">
      <c r="A363" s="60"/>
      <c r="B363" s="75"/>
      <c r="C363" s="79">
        <v>3020</v>
      </c>
      <c r="D363" s="38" t="s">
        <v>210</v>
      </c>
      <c r="E363" s="74">
        <v>10531</v>
      </c>
      <c r="F363" s="74"/>
      <c r="G363" s="74">
        <f>SUM(E363:F363)</f>
        <v>10531</v>
      </c>
      <c r="H363" s="74"/>
      <c r="I363" s="74">
        <f>SUM(G363:H363)</f>
        <v>10531</v>
      </c>
      <c r="J363" s="74"/>
      <c r="K363" s="74">
        <f>SUM(I363:J363)</f>
        <v>10531</v>
      </c>
    </row>
    <row r="364" spans="1:11" s="24" customFormat="1" ht="21" customHeight="1">
      <c r="A364" s="60"/>
      <c r="B364" s="75"/>
      <c r="C364" s="79">
        <v>4010</v>
      </c>
      <c r="D364" s="38" t="s">
        <v>86</v>
      </c>
      <c r="E364" s="74">
        <v>448520</v>
      </c>
      <c r="F364" s="74"/>
      <c r="G364" s="74">
        <f aca="true" t="shared" si="104" ref="G364:G372">SUM(E364:F364)</f>
        <v>448520</v>
      </c>
      <c r="H364" s="74"/>
      <c r="I364" s="74">
        <f aca="true" t="shared" si="105" ref="I364:I372">SUM(G364:H364)</f>
        <v>448520</v>
      </c>
      <c r="J364" s="74"/>
      <c r="K364" s="74">
        <f aca="true" t="shared" si="106" ref="K364:K372">SUM(I364:J364)</f>
        <v>448520</v>
      </c>
    </row>
    <row r="365" spans="1:11" s="24" customFormat="1" ht="21" customHeight="1">
      <c r="A365" s="60"/>
      <c r="B365" s="75"/>
      <c r="C365" s="79">
        <v>4040</v>
      </c>
      <c r="D365" s="38" t="s">
        <v>87</v>
      </c>
      <c r="E365" s="74">
        <v>31891</v>
      </c>
      <c r="F365" s="74"/>
      <c r="G365" s="74">
        <f t="shared" si="104"/>
        <v>31891</v>
      </c>
      <c r="H365" s="74"/>
      <c r="I365" s="74">
        <f t="shared" si="105"/>
        <v>31891</v>
      </c>
      <c r="J365" s="74"/>
      <c r="K365" s="74">
        <f t="shared" si="106"/>
        <v>31891</v>
      </c>
    </row>
    <row r="366" spans="1:11" s="24" customFormat="1" ht="21" customHeight="1">
      <c r="A366" s="60"/>
      <c r="B366" s="75"/>
      <c r="C366" s="79">
        <v>4110</v>
      </c>
      <c r="D366" s="38" t="s">
        <v>88</v>
      </c>
      <c r="E366" s="74">
        <v>73489</v>
      </c>
      <c r="F366" s="74"/>
      <c r="G366" s="74">
        <f t="shared" si="104"/>
        <v>73489</v>
      </c>
      <c r="H366" s="74"/>
      <c r="I366" s="74">
        <f t="shared" si="105"/>
        <v>73489</v>
      </c>
      <c r="J366" s="74"/>
      <c r="K366" s="74">
        <f t="shared" si="106"/>
        <v>73489</v>
      </c>
    </row>
    <row r="367" spans="1:11" s="24" customFormat="1" ht="21" customHeight="1">
      <c r="A367" s="60"/>
      <c r="B367" s="75"/>
      <c r="C367" s="79">
        <v>4120</v>
      </c>
      <c r="D367" s="38" t="s">
        <v>89</v>
      </c>
      <c r="E367" s="74">
        <v>11872</v>
      </c>
      <c r="F367" s="74"/>
      <c r="G367" s="74">
        <f t="shared" si="104"/>
        <v>11872</v>
      </c>
      <c r="H367" s="74"/>
      <c r="I367" s="74">
        <f t="shared" si="105"/>
        <v>11872</v>
      </c>
      <c r="J367" s="74"/>
      <c r="K367" s="74">
        <f t="shared" si="106"/>
        <v>11872</v>
      </c>
    </row>
    <row r="368" spans="1:11" s="24" customFormat="1" ht="21" customHeight="1">
      <c r="A368" s="60"/>
      <c r="B368" s="75"/>
      <c r="C368" s="79">
        <v>4210</v>
      </c>
      <c r="D368" s="38" t="s">
        <v>94</v>
      </c>
      <c r="E368" s="74">
        <v>6500</v>
      </c>
      <c r="F368" s="74"/>
      <c r="G368" s="74">
        <f t="shared" si="104"/>
        <v>6500</v>
      </c>
      <c r="H368" s="74"/>
      <c r="I368" s="74">
        <f t="shared" si="105"/>
        <v>6500</v>
      </c>
      <c r="J368" s="74"/>
      <c r="K368" s="74">
        <f t="shared" si="106"/>
        <v>6500</v>
      </c>
    </row>
    <row r="369" spans="1:11" s="24" customFormat="1" ht="21" customHeight="1">
      <c r="A369" s="60"/>
      <c r="B369" s="75"/>
      <c r="C369" s="79">
        <v>4240</v>
      </c>
      <c r="D369" s="38" t="s">
        <v>125</v>
      </c>
      <c r="E369" s="74">
        <v>5640</v>
      </c>
      <c r="F369" s="74"/>
      <c r="G369" s="74">
        <f t="shared" si="104"/>
        <v>5640</v>
      </c>
      <c r="H369" s="74"/>
      <c r="I369" s="74">
        <f t="shared" si="105"/>
        <v>5640</v>
      </c>
      <c r="J369" s="74"/>
      <c r="K369" s="74">
        <f t="shared" si="106"/>
        <v>5640</v>
      </c>
    </row>
    <row r="370" spans="1:11" s="24" customFormat="1" ht="21" customHeight="1">
      <c r="A370" s="60"/>
      <c r="B370" s="75"/>
      <c r="C370" s="79">
        <v>4280</v>
      </c>
      <c r="D370" s="38" t="s">
        <v>199</v>
      </c>
      <c r="E370" s="74">
        <v>600</v>
      </c>
      <c r="F370" s="74"/>
      <c r="G370" s="74">
        <f t="shared" si="104"/>
        <v>600</v>
      </c>
      <c r="H370" s="74"/>
      <c r="I370" s="74">
        <f t="shared" si="105"/>
        <v>600</v>
      </c>
      <c r="J370" s="74"/>
      <c r="K370" s="74">
        <f t="shared" si="106"/>
        <v>600</v>
      </c>
    </row>
    <row r="371" spans="1:11" s="24" customFormat="1" ht="21" customHeight="1">
      <c r="A371" s="60"/>
      <c r="B371" s="75"/>
      <c r="C371" s="79">
        <v>4300</v>
      </c>
      <c r="D371" s="38" t="s">
        <v>81</v>
      </c>
      <c r="E371" s="74">
        <v>200</v>
      </c>
      <c r="F371" s="74"/>
      <c r="G371" s="74">
        <f t="shared" si="104"/>
        <v>200</v>
      </c>
      <c r="H371" s="74"/>
      <c r="I371" s="74">
        <f t="shared" si="105"/>
        <v>200</v>
      </c>
      <c r="J371" s="74"/>
      <c r="K371" s="74">
        <f t="shared" si="106"/>
        <v>200</v>
      </c>
    </row>
    <row r="372" spans="1:11" s="24" customFormat="1" ht="22.5">
      <c r="A372" s="60"/>
      <c r="B372" s="75"/>
      <c r="C372" s="79">
        <v>4440</v>
      </c>
      <c r="D372" s="38" t="s">
        <v>90</v>
      </c>
      <c r="E372" s="74">
        <v>33191</v>
      </c>
      <c r="F372" s="74"/>
      <c r="G372" s="74">
        <f t="shared" si="104"/>
        <v>33191</v>
      </c>
      <c r="H372" s="74"/>
      <c r="I372" s="74">
        <f t="shared" si="105"/>
        <v>33191</v>
      </c>
      <c r="J372" s="74"/>
      <c r="K372" s="74">
        <f t="shared" si="106"/>
        <v>33191</v>
      </c>
    </row>
    <row r="373" spans="1:11" s="24" customFormat="1" ht="33.75">
      <c r="A373" s="60"/>
      <c r="B373" s="75" t="s">
        <v>128</v>
      </c>
      <c r="C373" s="79"/>
      <c r="D373" s="38" t="s">
        <v>160</v>
      </c>
      <c r="E373" s="74">
        <f aca="true" t="shared" si="107" ref="E373:K373">SUM(E374:E375)</f>
        <v>102899</v>
      </c>
      <c r="F373" s="74">
        <f t="shared" si="107"/>
        <v>-100000</v>
      </c>
      <c r="G373" s="74">
        <f t="shared" si="107"/>
        <v>2899</v>
      </c>
      <c r="H373" s="74">
        <f t="shared" si="107"/>
        <v>0</v>
      </c>
      <c r="I373" s="74">
        <f t="shared" si="107"/>
        <v>2899</v>
      </c>
      <c r="J373" s="74">
        <f t="shared" si="107"/>
        <v>0</v>
      </c>
      <c r="K373" s="74">
        <f t="shared" si="107"/>
        <v>2899</v>
      </c>
    </row>
    <row r="374" spans="1:11" s="24" customFormat="1" ht="21.75" customHeight="1">
      <c r="A374" s="60"/>
      <c r="B374" s="75"/>
      <c r="C374" s="79">
        <v>4210</v>
      </c>
      <c r="D374" s="38" t="s">
        <v>94</v>
      </c>
      <c r="E374" s="74">
        <f>1968+931</f>
        <v>2899</v>
      </c>
      <c r="F374" s="74"/>
      <c r="G374" s="74">
        <f>SUM(E374:F374)</f>
        <v>2899</v>
      </c>
      <c r="H374" s="74"/>
      <c r="I374" s="74">
        <f>SUM(G374:H374)</f>
        <v>2899</v>
      </c>
      <c r="J374" s="74"/>
      <c r="K374" s="74">
        <f>SUM(I374:J374)</f>
        <v>2899</v>
      </c>
    </row>
    <row r="375" spans="1:16" s="24" customFormat="1" ht="22.5" hidden="1">
      <c r="A375" s="79"/>
      <c r="B375" s="80"/>
      <c r="C375" s="79">
        <v>6050</v>
      </c>
      <c r="D375" s="38" t="s">
        <v>75</v>
      </c>
      <c r="E375" s="74">
        <v>100000</v>
      </c>
      <c r="F375" s="74">
        <v>-100000</v>
      </c>
      <c r="G375" s="74">
        <f>SUM(E375:F375)</f>
        <v>0</v>
      </c>
      <c r="H375" s="74"/>
      <c r="I375" s="74">
        <f>SUM(G375:H375)</f>
        <v>0</v>
      </c>
      <c r="J375" s="74"/>
      <c r="K375" s="74">
        <f>SUM(I375:J375)</f>
        <v>0</v>
      </c>
      <c r="N375" s="112"/>
      <c r="O375" s="112"/>
      <c r="P375" s="112"/>
    </row>
    <row r="376" spans="1:11" s="24" customFormat="1" ht="21" customHeight="1">
      <c r="A376" s="79"/>
      <c r="B376" s="80">
        <v>85415</v>
      </c>
      <c r="C376" s="79"/>
      <c r="D376" s="38" t="s">
        <v>229</v>
      </c>
      <c r="E376" s="74">
        <f aca="true" t="shared" si="108" ref="E376:K376">SUM(E377)</f>
        <v>113000</v>
      </c>
      <c r="F376" s="74">
        <f t="shared" si="108"/>
        <v>0</v>
      </c>
      <c r="G376" s="74">
        <f t="shared" si="108"/>
        <v>113000</v>
      </c>
      <c r="H376" s="74">
        <f t="shared" si="108"/>
        <v>0</v>
      </c>
      <c r="I376" s="74">
        <f t="shared" si="108"/>
        <v>113000</v>
      </c>
      <c r="J376" s="74">
        <f t="shared" si="108"/>
        <v>0</v>
      </c>
      <c r="K376" s="74">
        <f t="shared" si="108"/>
        <v>113000</v>
      </c>
    </row>
    <row r="377" spans="1:11" s="24" customFormat="1" ht="21" customHeight="1">
      <c r="A377" s="79"/>
      <c r="B377" s="80"/>
      <c r="C377" s="79">
        <v>3240</v>
      </c>
      <c r="D377" s="38" t="s">
        <v>230</v>
      </c>
      <c r="E377" s="74">
        <v>113000</v>
      </c>
      <c r="F377" s="74"/>
      <c r="G377" s="74">
        <f>SUM(E377:F377)</f>
        <v>113000</v>
      </c>
      <c r="H377" s="74"/>
      <c r="I377" s="74">
        <f>SUM(G377:H377)</f>
        <v>113000</v>
      </c>
      <c r="J377" s="74"/>
      <c r="K377" s="74">
        <f>SUM(I377:J377)</f>
        <v>113000</v>
      </c>
    </row>
    <row r="378" spans="1:11" s="24" customFormat="1" ht="21" customHeight="1">
      <c r="A378" s="79"/>
      <c r="B378" s="80">
        <v>85446</v>
      </c>
      <c r="C378" s="79"/>
      <c r="D378" s="38" t="s">
        <v>149</v>
      </c>
      <c r="E378" s="74">
        <f aca="true" t="shared" si="109" ref="E378:K378">SUM(E379:E379)</f>
        <v>4445</v>
      </c>
      <c r="F378" s="74">
        <f t="shared" si="109"/>
        <v>0</v>
      </c>
      <c r="G378" s="74">
        <f t="shared" si="109"/>
        <v>4445</v>
      </c>
      <c r="H378" s="74">
        <f t="shared" si="109"/>
        <v>0</v>
      </c>
      <c r="I378" s="74">
        <f t="shared" si="109"/>
        <v>4445</v>
      </c>
      <c r="J378" s="74">
        <f t="shared" si="109"/>
        <v>0</v>
      </c>
      <c r="K378" s="74">
        <f t="shared" si="109"/>
        <v>4445</v>
      </c>
    </row>
    <row r="379" spans="1:11" s="24" customFormat="1" ht="21" customHeight="1">
      <c r="A379" s="79"/>
      <c r="B379" s="80"/>
      <c r="C379" s="79">
        <v>4300</v>
      </c>
      <c r="D379" s="38" t="s">
        <v>81</v>
      </c>
      <c r="E379" s="74">
        <v>4445</v>
      </c>
      <c r="F379" s="74"/>
      <c r="G379" s="74">
        <f>SUM(E379:F379)</f>
        <v>4445</v>
      </c>
      <c r="H379" s="74"/>
      <c r="I379" s="74">
        <f>SUM(G379:H379)</f>
        <v>4445</v>
      </c>
      <c r="J379" s="74"/>
      <c r="K379" s="74">
        <f>SUM(I379:J379)</f>
        <v>4445</v>
      </c>
    </row>
    <row r="380" spans="1:11" s="24" customFormat="1" ht="21" customHeight="1">
      <c r="A380" s="79"/>
      <c r="B380" s="80">
        <v>85495</v>
      </c>
      <c r="C380" s="79"/>
      <c r="D380" s="38" t="s">
        <v>6</v>
      </c>
      <c r="E380" s="74">
        <f aca="true" t="shared" si="110" ref="E380:K380">SUM(E381:E381)</f>
        <v>236245</v>
      </c>
      <c r="F380" s="74">
        <f t="shared" si="110"/>
        <v>0</v>
      </c>
      <c r="G380" s="74">
        <f t="shared" si="110"/>
        <v>236245</v>
      </c>
      <c r="H380" s="74">
        <f t="shared" si="110"/>
        <v>0</v>
      </c>
      <c r="I380" s="74">
        <f t="shared" si="110"/>
        <v>236245</v>
      </c>
      <c r="J380" s="74">
        <f t="shared" si="110"/>
        <v>0</v>
      </c>
      <c r="K380" s="74">
        <f t="shared" si="110"/>
        <v>236245</v>
      </c>
    </row>
    <row r="381" spans="1:20" s="24" customFormat="1" ht="45">
      <c r="A381" s="79"/>
      <c r="B381" s="80"/>
      <c r="C381" s="79">
        <v>2320</v>
      </c>
      <c r="D381" s="38" t="s">
        <v>152</v>
      </c>
      <c r="E381" s="74">
        <f>199150+37095</f>
        <v>236245</v>
      </c>
      <c r="F381" s="74"/>
      <c r="G381" s="74">
        <f>SUM(E381:F381)</f>
        <v>236245</v>
      </c>
      <c r="H381" s="74"/>
      <c r="I381" s="74">
        <f>SUM(G381:H381)</f>
        <v>236245</v>
      </c>
      <c r="J381" s="74"/>
      <c r="K381" s="74">
        <f>SUM(I381:J381)</f>
        <v>236245</v>
      </c>
      <c r="Q381" s="112"/>
      <c r="R381" s="112"/>
      <c r="S381" s="112"/>
      <c r="T381" s="112"/>
    </row>
    <row r="382" spans="1:11" s="8" customFormat="1" ht="24">
      <c r="A382" s="33" t="s">
        <v>129</v>
      </c>
      <c r="B382" s="34"/>
      <c r="C382" s="35"/>
      <c r="D382" s="36" t="s">
        <v>63</v>
      </c>
      <c r="E382" s="37">
        <f aca="true" t="shared" si="111" ref="E382:K382">SUM(E383,E387,E389,E393,E395,E400,)</f>
        <v>2762212</v>
      </c>
      <c r="F382" s="37">
        <f t="shared" si="111"/>
        <v>535000</v>
      </c>
      <c r="G382" s="37">
        <f t="shared" si="111"/>
        <v>3297212</v>
      </c>
      <c r="H382" s="37">
        <f t="shared" si="111"/>
        <v>0</v>
      </c>
      <c r="I382" s="37">
        <f t="shared" si="111"/>
        <v>3297212</v>
      </c>
      <c r="J382" s="37">
        <f t="shared" si="111"/>
        <v>0</v>
      </c>
      <c r="K382" s="37">
        <f t="shared" si="111"/>
        <v>3297212</v>
      </c>
    </row>
    <row r="383" spans="1:11" s="24" customFormat="1" ht="21" customHeight="1">
      <c r="A383" s="60"/>
      <c r="B383" s="75" t="s">
        <v>130</v>
      </c>
      <c r="C383" s="79"/>
      <c r="D383" s="38" t="s">
        <v>64</v>
      </c>
      <c r="E383" s="74">
        <f aca="true" t="shared" si="112" ref="E383:K383">SUM(E384:E386)</f>
        <v>300000</v>
      </c>
      <c r="F383" s="74">
        <f t="shared" si="112"/>
        <v>720000</v>
      </c>
      <c r="G383" s="74">
        <f t="shared" si="112"/>
        <v>1020000</v>
      </c>
      <c r="H383" s="74">
        <f t="shared" si="112"/>
        <v>0</v>
      </c>
      <c r="I383" s="74">
        <f t="shared" si="112"/>
        <v>1020000</v>
      </c>
      <c r="J383" s="74">
        <f t="shared" si="112"/>
        <v>0</v>
      </c>
      <c r="K383" s="74">
        <f t="shared" si="112"/>
        <v>1020000</v>
      </c>
    </row>
    <row r="384" spans="1:11" s="24" customFormat="1" ht="21" customHeight="1">
      <c r="A384" s="60"/>
      <c r="B384" s="75"/>
      <c r="C384" s="60">
        <v>4300</v>
      </c>
      <c r="D384" s="38" t="s">
        <v>81</v>
      </c>
      <c r="E384" s="74">
        <v>160000</v>
      </c>
      <c r="F384" s="74"/>
      <c r="G384" s="74">
        <f>SUM(E384:F384)</f>
        <v>160000</v>
      </c>
      <c r="H384" s="74"/>
      <c r="I384" s="74">
        <f>SUM(G384:H384)</f>
        <v>160000</v>
      </c>
      <c r="J384" s="74"/>
      <c r="K384" s="74">
        <f>SUM(I384:J384)</f>
        <v>160000</v>
      </c>
    </row>
    <row r="385" spans="1:16" s="24" customFormat="1" ht="56.25">
      <c r="A385" s="60"/>
      <c r="B385" s="75"/>
      <c r="C385" s="60">
        <v>6010</v>
      </c>
      <c r="D385" s="13" t="s">
        <v>268</v>
      </c>
      <c r="E385" s="74">
        <v>140000</v>
      </c>
      <c r="F385" s="74"/>
      <c r="G385" s="74">
        <f>SUM(E385:F385)</f>
        <v>140000</v>
      </c>
      <c r="H385" s="74"/>
      <c r="I385" s="74">
        <f>SUM(G385:H385)</f>
        <v>140000</v>
      </c>
      <c r="J385" s="74"/>
      <c r="K385" s="74">
        <f>SUM(I385:J385)</f>
        <v>140000</v>
      </c>
      <c r="N385" s="112"/>
      <c r="O385" s="112"/>
      <c r="P385" s="112"/>
    </row>
    <row r="386" spans="1:16" s="24" customFormat="1" ht="21.75" customHeight="1">
      <c r="A386" s="60"/>
      <c r="B386" s="75"/>
      <c r="C386" s="60">
        <v>6050</v>
      </c>
      <c r="D386" s="38" t="s">
        <v>75</v>
      </c>
      <c r="E386" s="74">
        <v>0</v>
      </c>
      <c r="F386" s="74">
        <f>400000+65000+5000+250000</f>
        <v>720000</v>
      </c>
      <c r="G386" s="74">
        <f>SUM(E386:F386)</f>
        <v>720000</v>
      </c>
      <c r="H386" s="74"/>
      <c r="I386" s="74">
        <f>SUM(G386:H386)</f>
        <v>720000</v>
      </c>
      <c r="J386" s="74"/>
      <c r="K386" s="74">
        <f>SUM(I386:J386)</f>
        <v>720000</v>
      </c>
      <c r="N386" s="112"/>
      <c r="O386" s="112"/>
      <c r="P386" s="112"/>
    </row>
    <row r="387" spans="1:11" s="24" customFormat="1" ht="21" customHeight="1">
      <c r="A387" s="60"/>
      <c r="B387" s="75" t="s">
        <v>131</v>
      </c>
      <c r="C387" s="79"/>
      <c r="D387" s="38" t="s">
        <v>132</v>
      </c>
      <c r="E387" s="74">
        <f aca="true" t="shared" si="113" ref="E387:K387">SUM(E388:E388)</f>
        <v>787540</v>
      </c>
      <c r="F387" s="74">
        <f t="shared" si="113"/>
        <v>0</v>
      </c>
      <c r="G387" s="74">
        <f t="shared" si="113"/>
        <v>787540</v>
      </c>
      <c r="H387" s="74">
        <f t="shared" si="113"/>
        <v>0</v>
      </c>
      <c r="I387" s="74">
        <f t="shared" si="113"/>
        <v>787540</v>
      </c>
      <c r="J387" s="74">
        <f t="shared" si="113"/>
        <v>0</v>
      </c>
      <c r="K387" s="74">
        <f t="shared" si="113"/>
        <v>787540</v>
      </c>
    </row>
    <row r="388" spans="1:11" s="24" customFormat="1" ht="21" customHeight="1">
      <c r="A388" s="60"/>
      <c r="B388" s="75"/>
      <c r="C388" s="79">
        <v>4300</v>
      </c>
      <c r="D388" s="83" t="s">
        <v>81</v>
      </c>
      <c r="E388" s="74">
        <f>785470+900+1170</f>
        <v>787540</v>
      </c>
      <c r="F388" s="74"/>
      <c r="G388" s="74">
        <f>SUM(E388:F388)</f>
        <v>787540</v>
      </c>
      <c r="H388" s="74"/>
      <c r="I388" s="74">
        <f>SUM(G388:H388)</f>
        <v>787540</v>
      </c>
      <c r="J388" s="74"/>
      <c r="K388" s="74">
        <f>SUM(I388:J388)</f>
        <v>787540</v>
      </c>
    </row>
    <row r="389" spans="1:11" s="24" customFormat="1" ht="21" customHeight="1">
      <c r="A389" s="60"/>
      <c r="B389" s="75" t="s">
        <v>133</v>
      </c>
      <c r="C389" s="79"/>
      <c r="D389" s="38" t="s">
        <v>154</v>
      </c>
      <c r="E389" s="74">
        <f aca="true" t="shared" si="114" ref="E389:K389">SUM(E390:E392)</f>
        <v>284872</v>
      </c>
      <c r="F389" s="74">
        <f t="shared" si="114"/>
        <v>0</v>
      </c>
      <c r="G389" s="74">
        <f t="shared" si="114"/>
        <v>284872</v>
      </c>
      <c r="H389" s="74">
        <f t="shared" si="114"/>
        <v>0</v>
      </c>
      <c r="I389" s="74">
        <f t="shared" si="114"/>
        <v>284872</v>
      </c>
      <c r="J389" s="74">
        <f t="shared" si="114"/>
        <v>0</v>
      </c>
      <c r="K389" s="74">
        <f t="shared" si="114"/>
        <v>284872</v>
      </c>
    </row>
    <row r="390" spans="1:11" s="24" customFormat="1" ht="21" customHeight="1">
      <c r="A390" s="60"/>
      <c r="B390" s="75"/>
      <c r="C390" s="60">
        <v>4210</v>
      </c>
      <c r="D390" s="38" t="s">
        <v>94</v>
      </c>
      <c r="E390" s="74">
        <f>18000+6000+12000+15756+17714</f>
        <v>69470</v>
      </c>
      <c r="F390" s="74"/>
      <c r="G390" s="74">
        <f>SUM(E390:F390)</f>
        <v>69470</v>
      </c>
      <c r="H390" s="74"/>
      <c r="I390" s="74">
        <f>SUM(G390:H390)</f>
        <v>69470</v>
      </c>
      <c r="J390" s="74"/>
      <c r="K390" s="74">
        <f>SUM(I390:J390)</f>
        <v>69470</v>
      </c>
    </row>
    <row r="391" spans="1:11" s="24" customFormat="1" ht="21" customHeight="1">
      <c r="A391" s="60"/>
      <c r="B391" s="75"/>
      <c r="C391" s="60">
        <v>4270</v>
      </c>
      <c r="D391" s="38" t="s">
        <v>80</v>
      </c>
      <c r="E391" s="74">
        <v>5000</v>
      </c>
      <c r="F391" s="74"/>
      <c r="G391" s="74">
        <f>SUM(E391:F391)</f>
        <v>5000</v>
      </c>
      <c r="H391" s="74"/>
      <c r="I391" s="74">
        <f>SUM(G391:H391)</f>
        <v>5000</v>
      </c>
      <c r="J391" s="74"/>
      <c r="K391" s="74">
        <f>SUM(I391:J391)</f>
        <v>5000</v>
      </c>
    </row>
    <row r="392" spans="1:11" s="24" customFormat="1" ht="21" customHeight="1">
      <c r="A392" s="60"/>
      <c r="B392" s="75"/>
      <c r="C392" s="60">
        <v>4300</v>
      </c>
      <c r="D392" s="38" t="s">
        <v>81</v>
      </c>
      <c r="E392" s="74">
        <f>130802+32000+1000+20000+20000+6400+200</f>
        <v>210402</v>
      </c>
      <c r="F392" s="74"/>
      <c r="G392" s="74">
        <f>SUM(E392:F392)</f>
        <v>210402</v>
      </c>
      <c r="H392" s="74"/>
      <c r="I392" s="74">
        <f>SUM(G392:H392)</f>
        <v>210402</v>
      </c>
      <c r="J392" s="74"/>
      <c r="K392" s="74">
        <f>SUM(I392:J392)</f>
        <v>210402</v>
      </c>
    </row>
    <row r="393" spans="1:11" s="24" customFormat="1" ht="21" customHeight="1">
      <c r="A393" s="60"/>
      <c r="B393" s="75" t="s">
        <v>134</v>
      </c>
      <c r="C393" s="79"/>
      <c r="D393" s="38" t="s">
        <v>135</v>
      </c>
      <c r="E393" s="74">
        <f aca="true" t="shared" si="115" ref="E393:K393">SUM(E394)</f>
        <v>134000</v>
      </c>
      <c r="F393" s="74">
        <f t="shared" si="115"/>
        <v>0</v>
      </c>
      <c r="G393" s="74">
        <f t="shared" si="115"/>
        <v>134000</v>
      </c>
      <c r="H393" s="74">
        <f t="shared" si="115"/>
        <v>0</v>
      </c>
      <c r="I393" s="74">
        <f t="shared" si="115"/>
        <v>134000</v>
      </c>
      <c r="J393" s="74">
        <f t="shared" si="115"/>
        <v>0</v>
      </c>
      <c r="K393" s="74">
        <f t="shared" si="115"/>
        <v>134000</v>
      </c>
    </row>
    <row r="394" spans="1:11" s="24" customFormat="1" ht="21" customHeight="1">
      <c r="A394" s="60"/>
      <c r="B394" s="75"/>
      <c r="C394" s="79">
        <v>4300</v>
      </c>
      <c r="D394" s="83" t="s">
        <v>81</v>
      </c>
      <c r="E394" s="74">
        <v>134000</v>
      </c>
      <c r="F394" s="74"/>
      <c r="G394" s="74">
        <f>SUM(E394:F394)</f>
        <v>134000</v>
      </c>
      <c r="H394" s="74"/>
      <c r="I394" s="74">
        <f>SUM(G394:H394)</f>
        <v>134000</v>
      </c>
      <c r="J394" s="74"/>
      <c r="K394" s="74">
        <f>SUM(I394:J394)</f>
        <v>134000</v>
      </c>
    </row>
    <row r="395" spans="1:11" s="24" customFormat="1" ht="21" customHeight="1">
      <c r="A395" s="60"/>
      <c r="B395" s="75" t="s">
        <v>136</v>
      </c>
      <c r="C395" s="79"/>
      <c r="D395" s="38" t="s">
        <v>137</v>
      </c>
      <c r="E395" s="74">
        <f aca="true" t="shared" si="116" ref="E395:K395">SUM(E396:E399)</f>
        <v>1200000</v>
      </c>
      <c r="F395" s="74">
        <f t="shared" si="116"/>
        <v>-185000</v>
      </c>
      <c r="G395" s="74">
        <f t="shared" si="116"/>
        <v>1015000</v>
      </c>
      <c r="H395" s="74">
        <f t="shared" si="116"/>
        <v>0</v>
      </c>
      <c r="I395" s="74">
        <f t="shared" si="116"/>
        <v>1015000</v>
      </c>
      <c r="J395" s="74">
        <f t="shared" si="116"/>
        <v>0</v>
      </c>
      <c r="K395" s="74">
        <f t="shared" si="116"/>
        <v>1015000</v>
      </c>
    </row>
    <row r="396" spans="1:11" s="24" customFormat="1" ht="21" customHeight="1">
      <c r="A396" s="60"/>
      <c r="B396" s="80"/>
      <c r="C396" s="60">
        <v>4260</v>
      </c>
      <c r="D396" s="38" t="s">
        <v>97</v>
      </c>
      <c r="E396" s="74">
        <v>800000</v>
      </c>
      <c r="F396" s="74">
        <v>-100000</v>
      </c>
      <c r="G396" s="74">
        <f>SUM(E396:F396)</f>
        <v>700000</v>
      </c>
      <c r="H396" s="74"/>
      <c r="I396" s="74">
        <f>SUM(G396:H396)</f>
        <v>700000</v>
      </c>
      <c r="J396" s="74"/>
      <c r="K396" s="74">
        <f>SUM(I396:J396)</f>
        <v>700000</v>
      </c>
    </row>
    <row r="397" spans="1:11" s="24" customFormat="1" ht="21" customHeight="1">
      <c r="A397" s="60"/>
      <c r="B397" s="80"/>
      <c r="C397" s="60">
        <v>4270</v>
      </c>
      <c r="D397" s="38" t="s">
        <v>80</v>
      </c>
      <c r="E397" s="74">
        <v>350000</v>
      </c>
      <c r="F397" s="74">
        <v>-100000</v>
      </c>
      <c r="G397" s="74">
        <f>SUM(E397:F397)</f>
        <v>250000</v>
      </c>
      <c r="H397" s="74"/>
      <c r="I397" s="74">
        <f>SUM(G397:H397)</f>
        <v>250000</v>
      </c>
      <c r="J397" s="74"/>
      <c r="K397" s="74">
        <f>SUM(I397:J397)</f>
        <v>250000</v>
      </c>
    </row>
    <row r="398" spans="1:11" s="24" customFormat="1" ht="21" customHeight="1">
      <c r="A398" s="60"/>
      <c r="B398" s="80"/>
      <c r="C398" s="60">
        <v>4300</v>
      </c>
      <c r="D398" s="38" t="s">
        <v>81</v>
      </c>
      <c r="E398" s="74">
        <v>50000</v>
      </c>
      <c r="F398" s="74"/>
      <c r="G398" s="74">
        <f>SUM(E398:F398)</f>
        <v>50000</v>
      </c>
      <c r="H398" s="74"/>
      <c r="I398" s="74">
        <f>SUM(G398:H398)</f>
        <v>50000</v>
      </c>
      <c r="J398" s="74"/>
      <c r="K398" s="74">
        <f>SUM(I398:J398)</f>
        <v>50000</v>
      </c>
    </row>
    <row r="399" spans="1:16" s="24" customFormat="1" ht="21" customHeight="1">
      <c r="A399" s="60"/>
      <c r="B399" s="80"/>
      <c r="C399" s="60">
        <v>6050</v>
      </c>
      <c r="D399" s="38" t="s">
        <v>75</v>
      </c>
      <c r="E399" s="74">
        <v>0</v>
      </c>
      <c r="F399" s="74">
        <f>5000+10000</f>
        <v>15000</v>
      </c>
      <c r="G399" s="74">
        <f>SUM(E399:F399)</f>
        <v>15000</v>
      </c>
      <c r="H399" s="74"/>
      <c r="I399" s="74">
        <f>SUM(G399:H399)</f>
        <v>15000</v>
      </c>
      <c r="J399" s="74"/>
      <c r="K399" s="74">
        <f>SUM(I399:J399)</f>
        <v>15000</v>
      </c>
      <c r="N399" s="112"/>
      <c r="O399" s="112"/>
      <c r="P399" s="112"/>
    </row>
    <row r="400" spans="1:11" s="24" customFormat="1" ht="21" customHeight="1">
      <c r="A400" s="60"/>
      <c r="B400" s="75" t="s">
        <v>138</v>
      </c>
      <c r="C400" s="79"/>
      <c r="D400" s="38" t="s">
        <v>6</v>
      </c>
      <c r="E400" s="74">
        <f aca="true" t="shared" si="117" ref="E400:K400">SUM(E401:E404)</f>
        <v>55800</v>
      </c>
      <c r="F400" s="74">
        <f t="shared" si="117"/>
        <v>0</v>
      </c>
      <c r="G400" s="74">
        <f t="shared" si="117"/>
        <v>55800</v>
      </c>
      <c r="H400" s="74">
        <f t="shared" si="117"/>
        <v>0</v>
      </c>
      <c r="I400" s="74">
        <f t="shared" si="117"/>
        <v>55800</v>
      </c>
      <c r="J400" s="74">
        <f t="shared" si="117"/>
        <v>0</v>
      </c>
      <c r="K400" s="74">
        <f t="shared" si="117"/>
        <v>55800</v>
      </c>
    </row>
    <row r="401" spans="1:11" s="24" customFormat="1" ht="21" customHeight="1">
      <c r="A401" s="60"/>
      <c r="B401" s="75"/>
      <c r="C401" s="79">
        <v>4210</v>
      </c>
      <c r="D401" s="38" t="s">
        <v>94</v>
      </c>
      <c r="E401" s="74">
        <v>11800</v>
      </c>
      <c r="F401" s="74"/>
      <c r="G401" s="74">
        <f>SUM(E401:F401)</f>
        <v>11800</v>
      </c>
      <c r="H401" s="74"/>
      <c r="I401" s="74">
        <f>SUM(G401:H401)</f>
        <v>11800</v>
      </c>
      <c r="J401" s="74"/>
      <c r="K401" s="74">
        <f>SUM(I401:J401)</f>
        <v>11800</v>
      </c>
    </row>
    <row r="402" spans="1:11" s="24" customFormat="1" ht="21" customHeight="1">
      <c r="A402" s="60"/>
      <c r="B402" s="80"/>
      <c r="C402" s="60">
        <v>4260</v>
      </c>
      <c r="D402" s="38" t="s">
        <v>97</v>
      </c>
      <c r="E402" s="74">
        <v>7000</v>
      </c>
      <c r="F402" s="74"/>
      <c r="G402" s="74">
        <f>SUM(E402:F402)</f>
        <v>7000</v>
      </c>
      <c r="H402" s="74"/>
      <c r="I402" s="74">
        <f>SUM(G402:H402)</f>
        <v>7000</v>
      </c>
      <c r="J402" s="74"/>
      <c r="K402" s="74">
        <f>SUM(I402:J402)</f>
        <v>7000</v>
      </c>
    </row>
    <row r="403" spans="1:11" s="24" customFormat="1" ht="21" customHeight="1">
      <c r="A403" s="60"/>
      <c r="B403" s="80"/>
      <c r="C403" s="79">
        <v>4300</v>
      </c>
      <c r="D403" s="83" t="s">
        <v>81</v>
      </c>
      <c r="E403" s="74">
        <f>26000+9000</f>
        <v>35000</v>
      </c>
      <c r="F403" s="74"/>
      <c r="G403" s="74">
        <f>SUM(E403:F403)</f>
        <v>35000</v>
      </c>
      <c r="H403" s="74"/>
      <c r="I403" s="74">
        <f>SUM(G403:H403)</f>
        <v>35000</v>
      </c>
      <c r="J403" s="74"/>
      <c r="K403" s="74">
        <f>SUM(I403:J403)</f>
        <v>35000</v>
      </c>
    </row>
    <row r="404" spans="1:11" s="24" customFormat="1" ht="30" customHeight="1">
      <c r="A404" s="60"/>
      <c r="B404" s="80"/>
      <c r="C404" s="79">
        <v>4390</v>
      </c>
      <c r="D404" s="38" t="s">
        <v>260</v>
      </c>
      <c r="E404" s="74">
        <v>2000</v>
      </c>
      <c r="F404" s="74"/>
      <c r="G404" s="74">
        <f>SUM(E404:F404)</f>
        <v>2000</v>
      </c>
      <c r="H404" s="74"/>
      <c r="I404" s="74">
        <f>SUM(G404:H404)</f>
        <v>2000</v>
      </c>
      <c r="J404" s="74"/>
      <c r="K404" s="74">
        <f>SUM(I404:J404)</f>
        <v>2000</v>
      </c>
    </row>
    <row r="405" spans="1:11" s="7" customFormat="1" ht="25.5" customHeight="1">
      <c r="A405" s="33" t="s">
        <v>65</v>
      </c>
      <c r="B405" s="34"/>
      <c r="C405" s="35"/>
      <c r="D405" s="36" t="s">
        <v>139</v>
      </c>
      <c r="E405" s="37">
        <f aca="true" t="shared" si="118" ref="E405:K405">SUM(E406,E413,E415,E417,E419)</f>
        <v>2570955</v>
      </c>
      <c r="F405" s="37">
        <f t="shared" si="118"/>
        <v>170500</v>
      </c>
      <c r="G405" s="37">
        <f t="shared" si="118"/>
        <v>2741455</v>
      </c>
      <c r="H405" s="37">
        <f t="shared" si="118"/>
        <v>0</v>
      </c>
      <c r="I405" s="37">
        <f t="shared" si="118"/>
        <v>2741455</v>
      </c>
      <c r="J405" s="37">
        <f t="shared" si="118"/>
        <v>0</v>
      </c>
      <c r="K405" s="37">
        <f t="shared" si="118"/>
        <v>2741455</v>
      </c>
    </row>
    <row r="406" spans="1:11" s="24" customFormat="1" ht="21.75" customHeight="1">
      <c r="A406" s="60"/>
      <c r="B406" s="75" t="s">
        <v>140</v>
      </c>
      <c r="C406" s="79"/>
      <c r="D406" s="38" t="s">
        <v>153</v>
      </c>
      <c r="E406" s="74">
        <f aca="true" t="shared" si="119" ref="E406:K406">SUM(E407:E412)</f>
        <v>713023</v>
      </c>
      <c r="F406" s="74">
        <f t="shared" si="119"/>
        <v>170500</v>
      </c>
      <c r="G406" s="74">
        <f t="shared" si="119"/>
        <v>883523</v>
      </c>
      <c r="H406" s="74">
        <f t="shared" si="119"/>
        <v>0</v>
      </c>
      <c r="I406" s="74">
        <f t="shared" si="119"/>
        <v>883523</v>
      </c>
      <c r="J406" s="74">
        <f t="shared" si="119"/>
        <v>0</v>
      </c>
      <c r="K406" s="74">
        <f t="shared" si="119"/>
        <v>883523</v>
      </c>
    </row>
    <row r="407" spans="1:19" s="24" customFormat="1" ht="27" customHeight="1">
      <c r="A407" s="60"/>
      <c r="B407" s="75"/>
      <c r="C407" s="79">
        <v>2480</v>
      </c>
      <c r="D407" s="38" t="s">
        <v>190</v>
      </c>
      <c r="E407" s="74">
        <v>632800</v>
      </c>
      <c r="F407" s="74">
        <f>-62000-11000+6000+187500</f>
        <v>120500</v>
      </c>
      <c r="G407" s="74">
        <f aca="true" t="shared" si="120" ref="G407:G412">SUM(E407:F407)</f>
        <v>753300</v>
      </c>
      <c r="H407" s="74"/>
      <c r="I407" s="74">
        <f aca="true" t="shared" si="121" ref="I407:I412">SUM(G407:H407)</f>
        <v>753300</v>
      </c>
      <c r="J407" s="74"/>
      <c r="K407" s="74">
        <f aca="true" t="shared" si="122" ref="K407:K412">SUM(I407:J407)</f>
        <v>753300</v>
      </c>
      <c r="Q407" s="112"/>
      <c r="R407" s="112"/>
      <c r="S407" s="112"/>
    </row>
    <row r="408" spans="1:11" s="24" customFormat="1" ht="21" customHeight="1">
      <c r="A408" s="60"/>
      <c r="B408" s="75"/>
      <c r="C408" s="60">
        <v>4210</v>
      </c>
      <c r="D408" s="38" t="s">
        <v>94</v>
      </c>
      <c r="E408" s="74">
        <f>26426+6061</f>
        <v>32487</v>
      </c>
      <c r="F408" s="74"/>
      <c r="G408" s="74">
        <f t="shared" si="120"/>
        <v>32487</v>
      </c>
      <c r="H408" s="74"/>
      <c r="I408" s="74">
        <f t="shared" si="121"/>
        <v>32487</v>
      </c>
      <c r="J408" s="74"/>
      <c r="K408" s="74">
        <f t="shared" si="122"/>
        <v>32487</v>
      </c>
    </row>
    <row r="409" spans="1:11" s="24" customFormat="1" ht="21" customHeight="1">
      <c r="A409" s="60"/>
      <c r="B409" s="75"/>
      <c r="C409" s="60">
        <v>4260</v>
      </c>
      <c r="D409" s="38" t="s">
        <v>97</v>
      </c>
      <c r="E409" s="74">
        <v>15466</v>
      </c>
      <c r="F409" s="74"/>
      <c r="G409" s="74">
        <f t="shared" si="120"/>
        <v>15466</v>
      </c>
      <c r="H409" s="74"/>
      <c r="I409" s="74">
        <f t="shared" si="121"/>
        <v>15466</v>
      </c>
      <c r="J409" s="74"/>
      <c r="K409" s="74">
        <f t="shared" si="122"/>
        <v>15466</v>
      </c>
    </row>
    <row r="410" spans="1:11" s="24" customFormat="1" ht="21" customHeight="1">
      <c r="A410" s="60"/>
      <c r="B410" s="75"/>
      <c r="C410" s="60">
        <v>4270</v>
      </c>
      <c r="D410" s="38" t="s">
        <v>80</v>
      </c>
      <c r="E410" s="74">
        <f>29250+1100</f>
        <v>30350</v>
      </c>
      <c r="F410" s="74">
        <f>20000+30000</f>
        <v>50000</v>
      </c>
      <c r="G410" s="74">
        <f t="shared" si="120"/>
        <v>80350</v>
      </c>
      <c r="H410" s="74"/>
      <c r="I410" s="74">
        <f t="shared" si="121"/>
        <v>80350</v>
      </c>
      <c r="J410" s="74"/>
      <c r="K410" s="74">
        <f t="shared" si="122"/>
        <v>80350</v>
      </c>
    </row>
    <row r="411" spans="1:11" s="24" customFormat="1" ht="21" customHeight="1">
      <c r="A411" s="60"/>
      <c r="B411" s="75"/>
      <c r="C411" s="79">
        <v>4300</v>
      </c>
      <c r="D411" s="83" t="s">
        <v>81</v>
      </c>
      <c r="E411" s="74">
        <v>230</v>
      </c>
      <c r="F411" s="74"/>
      <c r="G411" s="74">
        <f t="shared" si="120"/>
        <v>230</v>
      </c>
      <c r="H411" s="74"/>
      <c r="I411" s="74">
        <f t="shared" si="121"/>
        <v>230</v>
      </c>
      <c r="J411" s="74"/>
      <c r="K411" s="74">
        <f t="shared" si="122"/>
        <v>230</v>
      </c>
    </row>
    <row r="412" spans="1:11" s="24" customFormat="1" ht="21" customHeight="1">
      <c r="A412" s="60"/>
      <c r="B412" s="75"/>
      <c r="C412" s="79">
        <v>4430</v>
      </c>
      <c r="D412" s="83" t="s">
        <v>96</v>
      </c>
      <c r="E412" s="74">
        <v>1690</v>
      </c>
      <c r="F412" s="74"/>
      <c r="G412" s="74">
        <f t="shared" si="120"/>
        <v>1690</v>
      </c>
      <c r="H412" s="74"/>
      <c r="I412" s="74">
        <f t="shared" si="121"/>
        <v>1690</v>
      </c>
      <c r="J412" s="74"/>
      <c r="K412" s="74">
        <f t="shared" si="122"/>
        <v>1690</v>
      </c>
    </row>
    <row r="413" spans="1:11" s="24" customFormat="1" ht="21" customHeight="1">
      <c r="A413" s="60"/>
      <c r="B413" s="75" t="s">
        <v>66</v>
      </c>
      <c r="C413" s="79"/>
      <c r="D413" s="38" t="s">
        <v>67</v>
      </c>
      <c r="E413" s="74">
        <f aca="true" t="shared" si="123" ref="E413:K413">E414</f>
        <v>1180352</v>
      </c>
      <c r="F413" s="74">
        <f t="shared" si="123"/>
        <v>0</v>
      </c>
      <c r="G413" s="74">
        <f t="shared" si="123"/>
        <v>1180352</v>
      </c>
      <c r="H413" s="74">
        <f t="shared" si="123"/>
        <v>0</v>
      </c>
      <c r="I413" s="74">
        <f t="shared" si="123"/>
        <v>1180352</v>
      </c>
      <c r="J413" s="74">
        <f t="shared" si="123"/>
        <v>0</v>
      </c>
      <c r="K413" s="74">
        <f t="shared" si="123"/>
        <v>1180352</v>
      </c>
    </row>
    <row r="414" spans="1:19" s="24" customFormat="1" ht="22.5">
      <c r="A414" s="60"/>
      <c r="B414" s="75"/>
      <c r="C414" s="79">
        <v>2480</v>
      </c>
      <c r="D414" s="38" t="s">
        <v>190</v>
      </c>
      <c r="E414" s="74">
        <f>60000+1120352</f>
        <v>1180352</v>
      </c>
      <c r="F414" s="74"/>
      <c r="G414" s="74">
        <f>SUM(E414:F414)</f>
        <v>1180352</v>
      </c>
      <c r="H414" s="74"/>
      <c r="I414" s="74">
        <f>SUM(G414:H414)</f>
        <v>1180352</v>
      </c>
      <c r="J414" s="74"/>
      <c r="K414" s="74">
        <f>SUM(I414:J414)</f>
        <v>1180352</v>
      </c>
      <c r="Q414" s="112"/>
      <c r="R414" s="112"/>
      <c r="S414" s="112"/>
    </row>
    <row r="415" spans="1:11" s="24" customFormat="1" ht="21" customHeight="1">
      <c r="A415" s="60"/>
      <c r="B415" s="75" t="s">
        <v>141</v>
      </c>
      <c r="C415" s="79"/>
      <c r="D415" s="38" t="s">
        <v>142</v>
      </c>
      <c r="E415" s="74">
        <f aca="true" t="shared" si="124" ref="E415:K415">E416</f>
        <v>650000</v>
      </c>
      <c r="F415" s="74">
        <f t="shared" si="124"/>
        <v>0</v>
      </c>
      <c r="G415" s="74">
        <f t="shared" si="124"/>
        <v>650000</v>
      </c>
      <c r="H415" s="74">
        <f t="shared" si="124"/>
        <v>0</v>
      </c>
      <c r="I415" s="74">
        <f t="shared" si="124"/>
        <v>650000</v>
      </c>
      <c r="J415" s="74">
        <f t="shared" si="124"/>
        <v>0</v>
      </c>
      <c r="K415" s="74">
        <f t="shared" si="124"/>
        <v>650000</v>
      </c>
    </row>
    <row r="416" spans="1:19" s="24" customFormat="1" ht="22.5">
      <c r="A416" s="60"/>
      <c r="B416" s="75"/>
      <c r="C416" s="79">
        <v>2480</v>
      </c>
      <c r="D416" s="38" t="s">
        <v>190</v>
      </c>
      <c r="E416" s="74">
        <v>650000</v>
      </c>
      <c r="F416" s="74"/>
      <c r="G416" s="74">
        <f>SUM(E416:F416)</f>
        <v>650000</v>
      </c>
      <c r="H416" s="74"/>
      <c r="I416" s="74">
        <f>SUM(G416:H416)</f>
        <v>650000</v>
      </c>
      <c r="J416" s="74"/>
      <c r="K416" s="74">
        <f>SUM(I416:J416)</f>
        <v>650000</v>
      </c>
      <c r="Q416" s="112"/>
      <c r="R416" s="112"/>
      <c r="S416" s="112"/>
    </row>
    <row r="417" spans="1:11" s="24" customFormat="1" ht="21" customHeight="1">
      <c r="A417" s="60"/>
      <c r="B417" s="75">
        <v>92120</v>
      </c>
      <c r="C417" s="79"/>
      <c r="D417" s="38" t="s">
        <v>266</v>
      </c>
      <c r="E417" s="74">
        <f aca="true" t="shared" si="125" ref="E417:K417">SUM(E418)</f>
        <v>7500</v>
      </c>
      <c r="F417" s="74">
        <f t="shared" si="125"/>
        <v>0</v>
      </c>
      <c r="G417" s="74">
        <f t="shared" si="125"/>
        <v>7500</v>
      </c>
      <c r="H417" s="74">
        <f t="shared" si="125"/>
        <v>0</v>
      </c>
      <c r="I417" s="74">
        <f t="shared" si="125"/>
        <v>7500</v>
      </c>
      <c r="J417" s="74">
        <f t="shared" si="125"/>
        <v>0</v>
      </c>
      <c r="K417" s="74">
        <f t="shared" si="125"/>
        <v>7500</v>
      </c>
    </row>
    <row r="418" spans="1:19" s="24" customFormat="1" ht="56.25">
      <c r="A418" s="60"/>
      <c r="B418" s="75"/>
      <c r="C418" s="79">
        <v>2720</v>
      </c>
      <c r="D418" s="38" t="s">
        <v>267</v>
      </c>
      <c r="E418" s="74">
        <v>7500</v>
      </c>
      <c r="F418" s="74"/>
      <c r="G418" s="74">
        <f>SUM(E418:F418)</f>
        <v>7500</v>
      </c>
      <c r="H418" s="74"/>
      <c r="I418" s="74">
        <f>SUM(G418:H418)</f>
        <v>7500</v>
      </c>
      <c r="J418" s="74"/>
      <c r="K418" s="74">
        <f>SUM(I418:J418)</f>
        <v>7500</v>
      </c>
      <c r="Q418" s="112"/>
      <c r="R418" s="112"/>
      <c r="S418" s="112"/>
    </row>
    <row r="419" spans="1:11" s="24" customFormat="1" ht="21" customHeight="1">
      <c r="A419" s="60"/>
      <c r="B419" s="75">
        <v>92195</v>
      </c>
      <c r="C419" s="79"/>
      <c r="D419" s="38" t="s">
        <v>6</v>
      </c>
      <c r="E419" s="74">
        <f aca="true" t="shared" si="126" ref="E419:K419">SUM(E420:E421)</f>
        <v>20080</v>
      </c>
      <c r="F419" s="74">
        <f t="shared" si="126"/>
        <v>0</v>
      </c>
      <c r="G419" s="74">
        <f t="shared" si="126"/>
        <v>20080</v>
      </c>
      <c r="H419" s="74">
        <f t="shared" si="126"/>
        <v>0</v>
      </c>
      <c r="I419" s="74">
        <f t="shared" si="126"/>
        <v>20080</v>
      </c>
      <c r="J419" s="74">
        <f t="shared" si="126"/>
        <v>0</v>
      </c>
      <c r="K419" s="74">
        <f t="shared" si="126"/>
        <v>20080</v>
      </c>
    </row>
    <row r="420" spans="1:11" s="24" customFormat="1" ht="21" customHeight="1">
      <c r="A420" s="60"/>
      <c r="B420" s="75"/>
      <c r="C420" s="79">
        <v>4210</v>
      </c>
      <c r="D420" s="38" t="s">
        <v>94</v>
      </c>
      <c r="E420" s="74">
        <v>80</v>
      </c>
      <c r="F420" s="74"/>
      <c r="G420" s="74">
        <f>SUM(E420:F420)</f>
        <v>80</v>
      </c>
      <c r="H420" s="74"/>
      <c r="I420" s="74">
        <f>SUM(G420:H420)</f>
        <v>80</v>
      </c>
      <c r="J420" s="74"/>
      <c r="K420" s="74">
        <f>SUM(I420:J420)</f>
        <v>80</v>
      </c>
    </row>
    <row r="421" spans="1:11" s="24" customFormat="1" ht="21" customHeight="1">
      <c r="A421" s="60"/>
      <c r="B421" s="75"/>
      <c r="C421" s="79">
        <v>4300</v>
      </c>
      <c r="D421" s="83" t="s">
        <v>81</v>
      </c>
      <c r="E421" s="74">
        <v>20000</v>
      </c>
      <c r="F421" s="74"/>
      <c r="G421" s="74">
        <f>SUM(E421:F421)</f>
        <v>20000</v>
      </c>
      <c r="H421" s="74"/>
      <c r="I421" s="74">
        <f>SUM(G421:H421)</f>
        <v>20000</v>
      </c>
      <c r="J421" s="74"/>
      <c r="K421" s="74">
        <f>SUM(I421:J421)</f>
        <v>20000</v>
      </c>
    </row>
    <row r="422" spans="1:11" s="7" customFormat="1" ht="21" customHeight="1">
      <c r="A422" s="33" t="s">
        <v>143</v>
      </c>
      <c r="B422" s="34"/>
      <c r="C422" s="35"/>
      <c r="D422" s="36" t="s">
        <v>68</v>
      </c>
      <c r="E422" s="37">
        <f aca="true" t="shared" si="127" ref="E422:K422">SUM(E429,E425,E423,E437)</f>
        <v>2621888</v>
      </c>
      <c r="F422" s="37">
        <f t="shared" si="127"/>
        <v>-744000</v>
      </c>
      <c r="G422" s="37">
        <f t="shared" si="127"/>
        <v>1877888</v>
      </c>
      <c r="H422" s="37">
        <f t="shared" si="127"/>
        <v>0</v>
      </c>
      <c r="I422" s="37">
        <f t="shared" si="127"/>
        <v>1877888</v>
      </c>
      <c r="J422" s="37">
        <f t="shared" si="127"/>
        <v>0</v>
      </c>
      <c r="K422" s="37">
        <f t="shared" si="127"/>
        <v>1877888</v>
      </c>
    </row>
    <row r="423" spans="1:11" s="24" customFormat="1" ht="21" customHeight="1">
      <c r="A423" s="60"/>
      <c r="B423" s="80">
        <v>92601</v>
      </c>
      <c r="C423" s="79"/>
      <c r="D423" s="38" t="s">
        <v>253</v>
      </c>
      <c r="E423" s="74">
        <f aca="true" t="shared" si="128" ref="E423:K423">SUM(E424)</f>
        <v>1956380</v>
      </c>
      <c r="F423" s="74">
        <f t="shared" si="128"/>
        <v>-500000</v>
      </c>
      <c r="G423" s="74">
        <f t="shared" si="128"/>
        <v>1456380</v>
      </c>
      <c r="H423" s="74">
        <f t="shared" si="128"/>
        <v>0</v>
      </c>
      <c r="I423" s="74">
        <f t="shared" si="128"/>
        <v>1456380</v>
      </c>
      <c r="J423" s="74">
        <f t="shared" si="128"/>
        <v>0</v>
      </c>
      <c r="K423" s="74">
        <f t="shared" si="128"/>
        <v>1456380</v>
      </c>
    </row>
    <row r="424" spans="1:16" s="24" customFormat="1" ht="21" customHeight="1">
      <c r="A424" s="60"/>
      <c r="B424" s="80"/>
      <c r="C424" s="79">
        <v>6050</v>
      </c>
      <c r="D424" s="38" t="s">
        <v>80</v>
      </c>
      <c r="E424" s="74">
        <f>70000+1886380</f>
        <v>1956380</v>
      </c>
      <c r="F424" s="74">
        <f>-600000+100000</f>
        <v>-500000</v>
      </c>
      <c r="G424" s="74">
        <f>SUM(E424:F424)</f>
        <v>1456380</v>
      </c>
      <c r="H424" s="74"/>
      <c r="I424" s="74">
        <f>SUM(G424:H424)</f>
        <v>1456380</v>
      </c>
      <c r="J424" s="74"/>
      <c r="K424" s="74">
        <f>SUM(I424:J424)</f>
        <v>1456380</v>
      </c>
      <c r="N424" s="112"/>
      <c r="O424" s="112"/>
      <c r="P424" s="112"/>
    </row>
    <row r="425" spans="1:11" s="24" customFormat="1" ht="21.75" customHeight="1">
      <c r="A425" s="60"/>
      <c r="B425" s="80">
        <v>92604</v>
      </c>
      <c r="C425" s="79"/>
      <c r="D425" s="38" t="s">
        <v>198</v>
      </c>
      <c r="E425" s="74">
        <f aca="true" t="shared" si="129" ref="E425:K425">SUM(E426:E428)</f>
        <v>530000</v>
      </c>
      <c r="F425" s="74">
        <f t="shared" si="129"/>
        <v>-250000</v>
      </c>
      <c r="G425" s="74">
        <f t="shared" si="129"/>
        <v>280000</v>
      </c>
      <c r="H425" s="74">
        <f t="shared" si="129"/>
        <v>0</v>
      </c>
      <c r="I425" s="74">
        <f t="shared" si="129"/>
        <v>280000</v>
      </c>
      <c r="J425" s="74">
        <f t="shared" si="129"/>
        <v>0</v>
      </c>
      <c r="K425" s="74">
        <f t="shared" si="129"/>
        <v>280000</v>
      </c>
    </row>
    <row r="426" spans="1:11" s="24" customFormat="1" ht="21" customHeight="1">
      <c r="A426" s="60"/>
      <c r="B426" s="80"/>
      <c r="C426" s="79">
        <v>4270</v>
      </c>
      <c r="D426" s="38" t="s">
        <v>80</v>
      </c>
      <c r="E426" s="74">
        <v>10000</v>
      </c>
      <c r="F426" s="74"/>
      <c r="G426" s="74">
        <f>SUM(E426:F426)</f>
        <v>10000</v>
      </c>
      <c r="H426" s="74"/>
      <c r="I426" s="74">
        <f>SUM(G426:H426)</f>
        <v>10000</v>
      </c>
      <c r="J426" s="74"/>
      <c r="K426" s="74">
        <f>SUM(I426:J426)</f>
        <v>10000</v>
      </c>
    </row>
    <row r="427" spans="1:11" s="24" customFormat="1" ht="21" customHeight="1">
      <c r="A427" s="60"/>
      <c r="B427" s="80"/>
      <c r="C427" s="79">
        <v>4300</v>
      </c>
      <c r="D427" s="83" t="s">
        <v>81</v>
      </c>
      <c r="E427" s="74">
        <f>90000+30000</f>
        <v>120000</v>
      </c>
      <c r="F427" s="74"/>
      <c r="G427" s="74">
        <f>SUM(E427:F427)</f>
        <v>120000</v>
      </c>
      <c r="H427" s="74"/>
      <c r="I427" s="74">
        <f>SUM(G427:H427)</f>
        <v>120000</v>
      </c>
      <c r="J427" s="74"/>
      <c r="K427" s="74">
        <f>SUM(I427:J427)</f>
        <v>120000</v>
      </c>
    </row>
    <row r="428" spans="1:16" s="24" customFormat="1" ht="56.25">
      <c r="A428" s="60"/>
      <c r="B428" s="80"/>
      <c r="C428" s="79">
        <v>6010</v>
      </c>
      <c r="D428" s="13" t="s">
        <v>268</v>
      </c>
      <c r="E428" s="74">
        <v>400000</v>
      </c>
      <c r="F428" s="74">
        <v>-250000</v>
      </c>
      <c r="G428" s="74">
        <f>SUM(E428:F428)</f>
        <v>150000</v>
      </c>
      <c r="H428" s="74"/>
      <c r="I428" s="74">
        <f>SUM(G428:H428)</f>
        <v>150000</v>
      </c>
      <c r="J428" s="74"/>
      <c r="K428" s="74">
        <f>SUM(I428:J428)</f>
        <v>150000</v>
      </c>
      <c r="N428" s="112"/>
      <c r="O428" s="112"/>
      <c r="P428" s="112"/>
    </row>
    <row r="429" spans="1:11" s="24" customFormat="1" ht="20.25" customHeight="1">
      <c r="A429" s="79"/>
      <c r="B429" s="82">
        <v>92605</v>
      </c>
      <c r="C429" s="79"/>
      <c r="D429" s="38" t="s">
        <v>69</v>
      </c>
      <c r="E429" s="74">
        <f aca="true" t="shared" si="130" ref="E429:K429">SUM(E430:E436)</f>
        <v>124903</v>
      </c>
      <c r="F429" s="74">
        <f t="shared" si="130"/>
        <v>6000</v>
      </c>
      <c r="G429" s="74">
        <f t="shared" si="130"/>
        <v>130903</v>
      </c>
      <c r="H429" s="74">
        <f t="shared" si="130"/>
        <v>0</v>
      </c>
      <c r="I429" s="74">
        <f t="shared" si="130"/>
        <v>130903</v>
      </c>
      <c r="J429" s="74">
        <f t="shared" si="130"/>
        <v>0</v>
      </c>
      <c r="K429" s="74">
        <f t="shared" si="130"/>
        <v>130903</v>
      </c>
    </row>
    <row r="430" spans="1:11" s="24" customFormat="1" ht="24.75" customHeight="1">
      <c r="A430" s="79"/>
      <c r="B430" s="82"/>
      <c r="C430" s="79">
        <v>3250</v>
      </c>
      <c r="D430" s="38" t="s">
        <v>269</v>
      </c>
      <c r="E430" s="74">
        <v>50000</v>
      </c>
      <c r="F430" s="74"/>
      <c r="G430" s="74">
        <f aca="true" t="shared" si="131" ref="G430:G436">SUM(E430:F430)</f>
        <v>50000</v>
      </c>
      <c r="H430" s="74"/>
      <c r="I430" s="74">
        <f aca="true" t="shared" si="132" ref="I430:I436">SUM(G430:H430)</f>
        <v>50000</v>
      </c>
      <c r="J430" s="74"/>
      <c r="K430" s="74">
        <f aca="true" t="shared" si="133" ref="K430:K436">SUM(I430:J430)</f>
        <v>50000</v>
      </c>
    </row>
    <row r="431" spans="1:11" s="24" customFormat="1" ht="21" customHeight="1">
      <c r="A431" s="79"/>
      <c r="B431" s="82"/>
      <c r="C431" s="79">
        <v>4110</v>
      </c>
      <c r="D431" s="38" t="s">
        <v>88</v>
      </c>
      <c r="E431" s="74">
        <v>1200</v>
      </c>
      <c r="F431" s="74"/>
      <c r="G431" s="74">
        <f t="shared" si="131"/>
        <v>1200</v>
      </c>
      <c r="H431" s="74"/>
      <c r="I431" s="74">
        <f t="shared" si="132"/>
        <v>1200</v>
      </c>
      <c r="J431" s="74"/>
      <c r="K431" s="74">
        <f t="shared" si="133"/>
        <v>1200</v>
      </c>
    </row>
    <row r="432" spans="1:11" s="24" customFormat="1" ht="21" customHeight="1">
      <c r="A432" s="79"/>
      <c r="B432" s="82"/>
      <c r="C432" s="79">
        <v>4120</v>
      </c>
      <c r="D432" s="38" t="s">
        <v>89</v>
      </c>
      <c r="E432" s="74">
        <v>150</v>
      </c>
      <c r="F432" s="74"/>
      <c r="G432" s="74">
        <f t="shared" si="131"/>
        <v>150</v>
      </c>
      <c r="H432" s="74"/>
      <c r="I432" s="74">
        <f t="shared" si="132"/>
        <v>150</v>
      </c>
      <c r="J432" s="74"/>
      <c r="K432" s="74">
        <f t="shared" si="133"/>
        <v>150</v>
      </c>
    </row>
    <row r="433" spans="1:11" s="24" customFormat="1" ht="21" customHeight="1">
      <c r="A433" s="79"/>
      <c r="B433" s="82"/>
      <c r="C433" s="79">
        <v>4170</v>
      </c>
      <c r="D433" s="38" t="s">
        <v>197</v>
      </c>
      <c r="E433" s="74">
        <f>40000+5000-1200-150</f>
        <v>43650</v>
      </c>
      <c r="F433" s="74"/>
      <c r="G433" s="74">
        <f t="shared" si="131"/>
        <v>43650</v>
      </c>
      <c r="H433" s="74"/>
      <c r="I433" s="74">
        <f t="shared" si="132"/>
        <v>43650</v>
      </c>
      <c r="J433" s="74"/>
      <c r="K433" s="74">
        <f t="shared" si="133"/>
        <v>43650</v>
      </c>
    </row>
    <row r="434" spans="1:11" s="24" customFormat="1" ht="21" customHeight="1">
      <c r="A434" s="79"/>
      <c r="B434" s="75"/>
      <c r="C434" s="60">
        <v>4210</v>
      </c>
      <c r="D434" s="38" t="s">
        <v>94</v>
      </c>
      <c r="E434" s="74">
        <f>8500+1500+2100+3863</f>
        <v>15963</v>
      </c>
      <c r="F434" s="74">
        <v>6000</v>
      </c>
      <c r="G434" s="74">
        <f t="shared" si="131"/>
        <v>21963</v>
      </c>
      <c r="H434" s="74"/>
      <c r="I434" s="74">
        <f t="shared" si="132"/>
        <v>21963</v>
      </c>
      <c r="J434" s="74"/>
      <c r="K434" s="74">
        <f t="shared" si="133"/>
        <v>21963</v>
      </c>
    </row>
    <row r="435" spans="1:11" s="24" customFormat="1" ht="21" customHeight="1">
      <c r="A435" s="79"/>
      <c r="B435" s="75"/>
      <c r="C435" s="60">
        <v>4260</v>
      </c>
      <c r="D435" s="38" t="s">
        <v>97</v>
      </c>
      <c r="E435" s="74">
        <v>1000</v>
      </c>
      <c r="F435" s="74"/>
      <c r="G435" s="74">
        <f t="shared" si="131"/>
        <v>1000</v>
      </c>
      <c r="H435" s="74"/>
      <c r="I435" s="74">
        <f t="shared" si="132"/>
        <v>1000</v>
      </c>
      <c r="J435" s="74"/>
      <c r="K435" s="74">
        <f t="shared" si="133"/>
        <v>1000</v>
      </c>
    </row>
    <row r="436" spans="1:11" s="24" customFormat="1" ht="21" customHeight="1">
      <c r="A436" s="79"/>
      <c r="B436" s="75"/>
      <c r="C436" s="79">
        <v>4300</v>
      </c>
      <c r="D436" s="83" t="s">
        <v>81</v>
      </c>
      <c r="E436" s="74">
        <f>8500+1500+1740+1200</f>
        <v>12940</v>
      </c>
      <c r="F436" s="74"/>
      <c r="G436" s="74">
        <f t="shared" si="131"/>
        <v>12940</v>
      </c>
      <c r="H436" s="74"/>
      <c r="I436" s="74">
        <f t="shared" si="132"/>
        <v>12940</v>
      </c>
      <c r="J436" s="74"/>
      <c r="K436" s="74">
        <f t="shared" si="133"/>
        <v>12940</v>
      </c>
    </row>
    <row r="437" spans="1:11" s="24" customFormat="1" ht="21" customHeight="1">
      <c r="A437" s="79"/>
      <c r="B437" s="60">
        <v>92695</v>
      </c>
      <c r="C437" s="79"/>
      <c r="D437" s="83" t="s">
        <v>6</v>
      </c>
      <c r="E437" s="74">
        <f aca="true" t="shared" si="134" ref="E437:K437">SUM(E438:E439)</f>
        <v>10605</v>
      </c>
      <c r="F437" s="74">
        <f t="shared" si="134"/>
        <v>0</v>
      </c>
      <c r="G437" s="74">
        <f t="shared" si="134"/>
        <v>10605</v>
      </c>
      <c r="H437" s="74">
        <f t="shared" si="134"/>
        <v>0</v>
      </c>
      <c r="I437" s="74">
        <f t="shared" si="134"/>
        <v>10605</v>
      </c>
      <c r="J437" s="74">
        <f t="shared" si="134"/>
        <v>0</v>
      </c>
      <c r="K437" s="74">
        <f t="shared" si="134"/>
        <v>10605</v>
      </c>
    </row>
    <row r="438" spans="1:11" s="24" customFormat="1" ht="21" customHeight="1">
      <c r="A438" s="79"/>
      <c r="B438" s="60"/>
      <c r="C438" s="60">
        <v>4210</v>
      </c>
      <c r="D438" s="38" t="s">
        <v>94</v>
      </c>
      <c r="E438" s="74">
        <f>6250+2655</f>
        <v>8905</v>
      </c>
      <c r="F438" s="74"/>
      <c r="G438" s="74">
        <f>SUM(E438:F438)</f>
        <v>8905</v>
      </c>
      <c r="H438" s="74"/>
      <c r="I438" s="74">
        <f>SUM(G438:H438)</f>
        <v>8905</v>
      </c>
      <c r="J438" s="74"/>
      <c r="K438" s="74">
        <f>SUM(I438:J438)</f>
        <v>8905</v>
      </c>
    </row>
    <row r="439" spans="1:11" s="24" customFormat="1" ht="21" customHeight="1">
      <c r="A439" s="79"/>
      <c r="B439" s="60"/>
      <c r="C439" s="60">
        <v>4300</v>
      </c>
      <c r="D439" s="83" t="s">
        <v>81</v>
      </c>
      <c r="E439" s="74">
        <v>1700</v>
      </c>
      <c r="F439" s="74"/>
      <c r="G439" s="74">
        <f>SUM(E439:F439)</f>
        <v>1700</v>
      </c>
      <c r="H439" s="74"/>
      <c r="I439" s="74">
        <f>SUM(G439:H439)</f>
        <v>1700</v>
      </c>
      <c r="J439" s="74"/>
      <c r="K439" s="74">
        <f>SUM(I439:J439)</f>
        <v>1700</v>
      </c>
    </row>
    <row r="440" spans="1:11" s="8" customFormat="1" ht="20.25" customHeight="1">
      <c r="A440" s="10"/>
      <c r="B440" s="10"/>
      <c r="C440" s="10"/>
      <c r="D440" s="35" t="s">
        <v>70</v>
      </c>
      <c r="E440" s="37">
        <f aca="true" t="shared" si="135" ref="E440:K440">SUM(E422,E405,E382,E361,E296,E281,E176,E172,E169,E159,E121,E116,E48,E39,E20,E14,E7,E358)</f>
        <v>64069780</v>
      </c>
      <c r="F440" s="37">
        <f t="shared" si="135"/>
        <v>0</v>
      </c>
      <c r="G440" s="37">
        <f t="shared" si="135"/>
        <v>64069780</v>
      </c>
      <c r="H440" s="37">
        <f t="shared" si="135"/>
        <v>530000</v>
      </c>
      <c r="I440" s="37">
        <f t="shared" si="135"/>
        <v>64599780</v>
      </c>
      <c r="J440" s="37">
        <f t="shared" si="135"/>
        <v>-73</v>
      </c>
      <c r="K440" s="37">
        <f t="shared" si="135"/>
        <v>64599707</v>
      </c>
    </row>
    <row r="441" spans="1:19" ht="12.75">
      <c r="A441" s="49"/>
      <c r="B441" s="49"/>
      <c r="C441" s="49"/>
      <c r="D441" s="49"/>
      <c r="E441" s="111"/>
      <c r="F441" s="111"/>
      <c r="G441" s="111"/>
      <c r="H441" s="111"/>
      <c r="I441" s="111"/>
      <c r="J441" s="111"/>
      <c r="K441" s="111"/>
      <c r="L441" s="167"/>
      <c r="M441" s="167"/>
      <c r="N441" s="167"/>
      <c r="O441" s="167"/>
      <c r="P441" s="167"/>
      <c r="Q441" s="167"/>
      <c r="R441" s="167"/>
      <c r="S441" s="167"/>
    </row>
    <row r="442" spans="4:11" ht="12.75">
      <c r="D442" s="49"/>
      <c r="E442" s="111"/>
      <c r="F442" s="111"/>
      <c r="G442" s="111"/>
      <c r="H442" s="111"/>
      <c r="I442" s="111"/>
      <c r="J442" s="111"/>
      <c r="K442" s="111"/>
    </row>
    <row r="443" spans="4:11" ht="12.75">
      <c r="D443" s="49"/>
      <c r="E443" s="173"/>
      <c r="F443" s="173"/>
      <c r="G443" s="173"/>
      <c r="H443" s="173"/>
      <c r="I443" s="173"/>
      <c r="J443" s="173"/>
      <c r="K443" s="173"/>
    </row>
    <row r="444" spans="1:11" s="21" customFormat="1" ht="12.75">
      <c r="A444" s="23"/>
      <c r="B444" s="23"/>
      <c r="C444" s="23"/>
      <c r="D444" s="23"/>
      <c r="E444" s="22"/>
      <c r="F444" s="22"/>
      <c r="G444" s="22"/>
      <c r="H444" s="22"/>
      <c r="I444" s="22"/>
      <c r="J444" s="22"/>
      <c r="K444" s="22"/>
    </row>
    <row r="445" spans="1:11" s="21" customFormat="1" ht="12.75">
      <c r="A445" s="23"/>
      <c r="B445" s="23"/>
      <c r="C445" s="23"/>
      <c r="D445" s="23"/>
      <c r="E445" s="22"/>
      <c r="F445" s="22"/>
      <c r="G445" s="22"/>
      <c r="H445" s="22"/>
      <c r="I445" s="22"/>
      <c r="J445" s="22"/>
      <c r="K445" s="22"/>
    </row>
    <row r="446" spans="1:11" s="21" customFormat="1" ht="12.75">
      <c r="A446" s="23"/>
      <c r="B446" s="23"/>
      <c r="C446" s="23"/>
      <c r="D446" s="23"/>
      <c r="E446" s="22"/>
      <c r="F446" s="22"/>
      <c r="G446" s="22"/>
      <c r="H446" s="22"/>
      <c r="I446" s="22"/>
      <c r="J446" s="22"/>
      <c r="K446" s="22"/>
    </row>
    <row r="447" spans="1:11" s="21" customFormat="1" ht="12.75">
      <c r="A447" s="23"/>
      <c r="B447" s="23"/>
      <c r="C447" s="23"/>
      <c r="D447" s="23"/>
      <c r="E447" s="22"/>
      <c r="F447" s="22"/>
      <c r="G447" s="22"/>
      <c r="H447" s="22"/>
      <c r="I447" s="22"/>
      <c r="J447" s="22"/>
      <c r="K447" s="22"/>
    </row>
    <row r="448" spans="1:11" s="21" customFormat="1" ht="12.75">
      <c r="A448" s="23"/>
      <c r="B448" s="23"/>
      <c r="C448" s="23"/>
      <c r="D448" s="23"/>
      <c r="E448" s="22"/>
      <c r="F448" s="22"/>
      <c r="G448" s="22"/>
      <c r="H448" s="22"/>
      <c r="I448" s="22"/>
      <c r="J448" s="22"/>
      <c r="K448" s="22"/>
    </row>
    <row r="449" spans="1:11" s="21" customFormat="1" ht="12.75">
      <c r="A449" s="23"/>
      <c r="B449" s="23"/>
      <c r="C449" s="23"/>
      <c r="D449" s="23"/>
      <c r="E449" s="22"/>
      <c r="F449" s="22"/>
      <c r="G449" s="22"/>
      <c r="H449" s="22"/>
      <c r="I449" s="22"/>
      <c r="J449" s="22"/>
      <c r="K449" s="22"/>
    </row>
    <row r="450" spans="1:11" s="21" customFormat="1" ht="12.75">
      <c r="A450" s="23"/>
      <c r="B450" s="23"/>
      <c r="C450" s="23"/>
      <c r="D450" s="23"/>
      <c r="E450" s="22"/>
      <c r="F450" s="22"/>
      <c r="G450" s="22"/>
      <c r="H450" s="22"/>
      <c r="I450" s="22"/>
      <c r="J450" s="22"/>
      <c r="K450" s="22"/>
    </row>
    <row r="451" spans="1:11" s="21" customFormat="1" ht="12.75">
      <c r="A451" s="23"/>
      <c r="B451" s="23"/>
      <c r="C451" s="23"/>
      <c r="D451" s="23"/>
      <c r="E451" s="22"/>
      <c r="F451" s="22"/>
      <c r="G451" s="22"/>
      <c r="H451" s="22"/>
      <c r="I451" s="22"/>
      <c r="J451" s="22"/>
      <c r="K451" s="22"/>
    </row>
    <row r="452" spans="1:11" s="21" customFormat="1" ht="12.75">
      <c r="A452" s="23"/>
      <c r="B452" s="23"/>
      <c r="C452" s="23"/>
      <c r="D452" s="23"/>
      <c r="E452" s="106"/>
      <c r="F452" s="106"/>
      <c r="G452" s="106"/>
      <c r="H452" s="106"/>
      <c r="I452" s="106"/>
      <c r="J452" s="106"/>
      <c r="K452" s="106"/>
    </row>
    <row r="453" spans="1:11" s="21" customFormat="1" ht="12.75">
      <c r="A453" s="23"/>
      <c r="B453" s="23"/>
      <c r="C453" s="23"/>
      <c r="D453" s="23"/>
      <c r="E453" s="22"/>
      <c r="F453" s="22"/>
      <c r="G453" s="22"/>
      <c r="H453" s="22"/>
      <c r="I453" s="22"/>
      <c r="J453" s="22"/>
      <c r="K453" s="22"/>
    </row>
    <row r="454" spans="1:11" s="21" customFormat="1" ht="12.75">
      <c r="A454" s="23"/>
      <c r="B454" s="23"/>
      <c r="C454" s="23"/>
      <c r="D454" s="23"/>
      <c r="E454" s="22"/>
      <c r="F454" s="22"/>
      <c r="G454" s="22"/>
      <c r="H454" s="22"/>
      <c r="I454" s="22"/>
      <c r="J454" s="22"/>
      <c r="K454" s="22"/>
    </row>
    <row r="455" spans="1:11" s="21" customFormat="1" ht="12.75">
      <c r="A455" s="23"/>
      <c r="B455" s="23"/>
      <c r="C455" s="23"/>
      <c r="D455" s="23"/>
      <c r="E455" s="22"/>
      <c r="F455" s="22"/>
      <c r="G455" s="22"/>
      <c r="H455" s="22"/>
      <c r="I455" s="22"/>
      <c r="J455" s="22"/>
      <c r="K455" s="22"/>
    </row>
    <row r="456" spans="1:11" s="21" customFormat="1" ht="12.75">
      <c r="A456" s="23"/>
      <c r="B456" s="23"/>
      <c r="C456" s="23"/>
      <c r="D456" s="23"/>
      <c r="E456" s="22"/>
      <c r="F456" s="22"/>
      <c r="G456" s="22"/>
      <c r="H456" s="22"/>
      <c r="I456" s="22"/>
      <c r="J456" s="22"/>
      <c r="K456" s="22"/>
    </row>
    <row r="457" spans="1:11" s="21" customFormat="1" ht="12.75">
      <c r="A457" s="23"/>
      <c r="B457" s="23"/>
      <c r="C457" s="23"/>
      <c r="D457" s="23"/>
      <c r="E457" s="22"/>
      <c r="F457" s="22"/>
      <c r="G457" s="22"/>
      <c r="H457" s="22"/>
      <c r="I457" s="22"/>
      <c r="J457" s="22"/>
      <c r="K457" s="22"/>
    </row>
    <row r="458" spans="1:11" s="21" customFormat="1" ht="12.75">
      <c r="A458" s="23"/>
      <c r="B458" s="23"/>
      <c r="C458" s="23"/>
      <c r="D458" s="23"/>
      <c r="E458" s="22"/>
      <c r="F458" s="22"/>
      <c r="G458" s="22"/>
      <c r="H458" s="22"/>
      <c r="I458" s="22"/>
      <c r="J458" s="22"/>
      <c r="K458" s="22"/>
    </row>
    <row r="459" spans="1:11" s="21" customFormat="1" ht="12.75">
      <c r="A459" s="23"/>
      <c r="B459" s="23"/>
      <c r="C459" s="23"/>
      <c r="D459" s="23"/>
      <c r="E459" s="22"/>
      <c r="F459" s="22"/>
      <c r="G459" s="22"/>
      <c r="H459" s="22"/>
      <c r="I459" s="22"/>
      <c r="J459" s="22"/>
      <c r="K459" s="22"/>
    </row>
    <row r="460" spans="1:11" s="21" customFormat="1" ht="12.75">
      <c r="A460" s="23"/>
      <c r="B460" s="23"/>
      <c r="C460" s="23"/>
      <c r="D460" s="23"/>
      <c r="E460" s="22"/>
      <c r="F460" s="22"/>
      <c r="G460" s="22"/>
      <c r="H460" s="22"/>
      <c r="I460" s="22"/>
      <c r="J460" s="22"/>
      <c r="K460" s="22"/>
    </row>
    <row r="461" spans="1:11" s="21" customFormat="1" ht="12.75">
      <c r="A461" s="23"/>
      <c r="B461" s="23"/>
      <c r="C461" s="23"/>
      <c r="D461" s="23"/>
      <c r="E461" s="22"/>
      <c r="F461" s="22"/>
      <c r="G461" s="22"/>
      <c r="H461" s="22"/>
      <c r="I461" s="22"/>
      <c r="J461" s="22"/>
      <c r="K461" s="22"/>
    </row>
    <row r="462" spans="1:11" s="21" customFormat="1" ht="12.75">
      <c r="A462" s="23"/>
      <c r="B462" s="23"/>
      <c r="C462" s="23"/>
      <c r="D462" s="23"/>
      <c r="E462" s="22"/>
      <c r="F462" s="22"/>
      <c r="G462" s="22"/>
      <c r="H462" s="22"/>
      <c r="I462" s="22"/>
      <c r="J462" s="22"/>
      <c r="K462" s="22"/>
    </row>
    <row r="463" spans="1:11" s="21" customFormat="1" ht="12.75">
      <c r="A463" s="23"/>
      <c r="B463" s="23"/>
      <c r="C463" s="23"/>
      <c r="D463" s="23"/>
      <c r="E463" s="22"/>
      <c r="F463" s="22"/>
      <c r="G463" s="22"/>
      <c r="H463" s="22"/>
      <c r="I463" s="22"/>
      <c r="J463" s="22"/>
      <c r="K463" s="22"/>
    </row>
    <row r="464" spans="1:11" s="21" customFormat="1" ht="12.75">
      <c r="A464" s="23"/>
      <c r="B464" s="23"/>
      <c r="C464" s="23"/>
      <c r="D464" s="23"/>
      <c r="E464" s="22"/>
      <c r="F464" s="22"/>
      <c r="G464" s="22"/>
      <c r="H464" s="22"/>
      <c r="I464" s="22"/>
      <c r="J464" s="22"/>
      <c r="K464" s="22"/>
    </row>
    <row r="465" spans="1:11" s="21" customFormat="1" ht="12.75">
      <c r="A465" s="23"/>
      <c r="B465" s="23"/>
      <c r="C465" s="23"/>
      <c r="D465" s="23"/>
      <c r="E465" s="22"/>
      <c r="F465" s="22"/>
      <c r="G465" s="22"/>
      <c r="H465" s="22"/>
      <c r="I465" s="22"/>
      <c r="J465" s="22"/>
      <c r="K465" s="22"/>
    </row>
    <row r="466" spans="1:11" s="21" customFormat="1" ht="12.75">
      <c r="A466" s="23"/>
      <c r="B466" s="23"/>
      <c r="C466" s="23"/>
      <c r="D466" s="23"/>
      <c r="E466" s="22"/>
      <c r="F466" s="22"/>
      <c r="G466" s="22"/>
      <c r="H466" s="22"/>
      <c r="I466" s="22"/>
      <c r="J466" s="22"/>
      <c r="K466" s="22"/>
    </row>
    <row r="467" spans="1:11" s="21" customFormat="1" ht="12.75">
      <c r="A467" s="23"/>
      <c r="B467" s="23"/>
      <c r="C467" s="23"/>
      <c r="D467" s="23"/>
      <c r="E467" s="22"/>
      <c r="F467" s="22"/>
      <c r="G467" s="22"/>
      <c r="H467" s="22"/>
      <c r="I467" s="22"/>
      <c r="J467" s="22"/>
      <c r="K467" s="22"/>
    </row>
    <row r="468" spans="1:11" s="21" customFormat="1" ht="12.75">
      <c r="A468" s="23"/>
      <c r="B468" s="23"/>
      <c r="C468" s="23"/>
      <c r="D468" s="23"/>
      <c r="E468" s="22"/>
      <c r="F468" s="22"/>
      <c r="G468" s="22"/>
      <c r="H468" s="22"/>
      <c r="I468" s="22"/>
      <c r="J468" s="22"/>
      <c r="K468" s="22"/>
    </row>
    <row r="469" spans="1:11" s="21" customFormat="1" ht="12.75">
      <c r="A469" s="23"/>
      <c r="B469" s="23"/>
      <c r="C469" s="23"/>
      <c r="D469" s="23"/>
      <c r="E469" s="22"/>
      <c r="F469" s="22"/>
      <c r="G469" s="22"/>
      <c r="H469" s="22"/>
      <c r="I469" s="22"/>
      <c r="J469" s="22"/>
      <c r="K469" s="22"/>
    </row>
    <row r="470" spans="1:11" s="21" customFormat="1" ht="12.75">
      <c r="A470" s="23"/>
      <c r="B470" s="23"/>
      <c r="C470" s="23"/>
      <c r="D470" s="23"/>
      <c r="E470" s="22"/>
      <c r="F470" s="22"/>
      <c r="G470" s="22"/>
      <c r="H470" s="22"/>
      <c r="I470" s="22"/>
      <c r="J470" s="22"/>
      <c r="K470" s="22"/>
    </row>
    <row r="471" spans="1:11" s="21" customFormat="1" ht="12.75">
      <c r="A471" s="23"/>
      <c r="B471" s="23"/>
      <c r="C471" s="23"/>
      <c r="D471" s="23"/>
      <c r="E471" s="22"/>
      <c r="F471" s="22"/>
      <c r="G471" s="22"/>
      <c r="H471" s="22"/>
      <c r="I471" s="22"/>
      <c r="J471" s="22"/>
      <c r="K471" s="22"/>
    </row>
    <row r="472" spans="1:11" s="21" customFormat="1" ht="12.75">
      <c r="A472" s="23"/>
      <c r="B472" s="23"/>
      <c r="C472" s="23"/>
      <c r="D472" s="23"/>
      <c r="E472" s="22"/>
      <c r="F472" s="22"/>
      <c r="G472" s="22"/>
      <c r="H472" s="22"/>
      <c r="I472" s="22"/>
      <c r="J472" s="22"/>
      <c r="K472" s="22"/>
    </row>
    <row r="473" spans="1:11" s="21" customFormat="1" ht="12.75">
      <c r="A473" s="23"/>
      <c r="B473" s="23"/>
      <c r="C473" s="23"/>
      <c r="D473" s="23"/>
      <c r="E473" s="22"/>
      <c r="F473" s="22"/>
      <c r="G473" s="22"/>
      <c r="H473" s="22"/>
      <c r="I473" s="22"/>
      <c r="J473" s="22"/>
      <c r="K473" s="22"/>
    </row>
    <row r="474" spans="1:11" s="21" customFormat="1" ht="12.75">
      <c r="A474" s="23"/>
      <c r="B474" s="23"/>
      <c r="C474" s="23"/>
      <c r="D474" s="23"/>
      <c r="E474" s="22"/>
      <c r="F474" s="22"/>
      <c r="G474" s="22"/>
      <c r="H474" s="22"/>
      <c r="I474" s="22"/>
      <c r="J474" s="22"/>
      <c r="K474" s="22"/>
    </row>
    <row r="475" spans="1:11" s="21" customFormat="1" ht="12.75">
      <c r="A475" s="23"/>
      <c r="B475" s="23"/>
      <c r="C475" s="23"/>
      <c r="D475" s="23"/>
      <c r="E475" s="22"/>
      <c r="F475" s="22"/>
      <c r="G475" s="22"/>
      <c r="H475" s="22"/>
      <c r="I475" s="22"/>
      <c r="J475" s="22"/>
      <c r="K475" s="22"/>
    </row>
    <row r="476" spans="1:11" s="21" customFormat="1" ht="12.75">
      <c r="A476" s="23"/>
      <c r="B476" s="23"/>
      <c r="C476" s="23"/>
      <c r="D476" s="23"/>
      <c r="E476" s="22"/>
      <c r="F476" s="22"/>
      <c r="G476" s="22"/>
      <c r="H476" s="22"/>
      <c r="I476" s="22"/>
      <c r="J476" s="22"/>
      <c r="K476" s="22"/>
    </row>
    <row r="477" spans="1:11" s="21" customFormat="1" ht="12.75">
      <c r="A477" s="23"/>
      <c r="B477" s="23"/>
      <c r="C477" s="23"/>
      <c r="D477" s="23"/>
      <c r="E477" s="22"/>
      <c r="F477" s="22"/>
      <c r="G477" s="22"/>
      <c r="H477" s="22"/>
      <c r="I477" s="22"/>
      <c r="J477" s="22"/>
      <c r="K477" s="22"/>
    </row>
    <row r="478" spans="1:11" s="21" customFormat="1" ht="12.75">
      <c r="A478" s="23"/>
      <c r="B478" s="23"/>
      <c r="C478" s="23"/>
      <c r="D478" s="23"/>
      <c r="E478" s="22"/>
      <c r="F478" s="22"/>
      <c r="G478" s="22"/>
      <c r="H478" s="22"/>
      <c r="I478" s="22"/>
      <c r="J478" s="22"/>
      <c r="K478" s="22"/>
    </row>
    <row r="479" spans="1:11" s="21" customFormat="1" ht="12.75">
      <c r="A479" s="23"/>
      <c r="B479" s="23"/>
      <c r="C479" s="23"/>
      <c r="D479" s="23"/>
      <c r="E479" s="22"/>
      <c r="F479" s="22"/>
      <c r="G479" s="22"/>
      <c r="H479" s="22"/>
      <c r="I479" s="22"/>
      <c r="J479" s="22"/>
      <c r="K479" s="22"/>
    </row>
    <row r="480" spans="1:11" s="21" customFormat="1" ht="12.75">
      <c r="A480" s="23"/>
      <c r="B480" s="23"/>
      <c r="C480" s="23"/>
      <c r="D480" s="23"/>
      <c r="E480" s="22"/>
      <c r="F480" s="22"/>
      <c r="G480" s="22"/>
      <c r="H480" s="22"/>
      <c r="I480" s="22"/>
      <c r="J480" s="22"/>
      <c r="K480" s="22"/>
    </row>
    <row r="481" spans="1:11" s="21" customFormat="1" ht="12.75">
      <c r="A481" s="23"/>
      <c r="B481" s="23"/>
      <c r="C481" s="23"/>
      <c r="D481" s="23"/>
      <c r="E481" s="22"/>
      <c r="F481" s="22"/>
      <c r="G481" s="22"/>
      <c r="H481" s="22"/>
      <c r="I481" s="22"/>
      <c r="J481" s="22"/>
      <c r="K481" s="22"/>
    </row>
    <row r="482" spans="1:11" s="21" customFormat="1" ht="12.75">
      <c r="A482" s="23"/>
      <c r="B482" s="23"/>
      <c r="C482" s="23"/>
      <c r="D482" s="23"/>
      <c r="E482" s="22"/>
      <c r="F482" s="22"/>
      <c r="G482" s="22"/>
      <c r="H482" s="22"/>
      <c r="I482" s="22"/>
      <c r="J482" s="22"/>
      <c r="K482" s="22"/>
    </row>
    <row r="483" spans="1:11" s="21" customFormat="1" ht="12.75">
      <c r="A483" s="23"/>
      <c r="B483" s="23"/>
      <c r="C483" s="23"/>
      <c r="D483" s="23"/>
      <c r="E483" s="22"/>
      <c r="F483" s="22"/>
      <c r="G483" s="22"/>
      <c r="H483" s="22"/>
      <c r="I483" s="22"/>
      <c r="J483" s="22"/>
      <c r="K483" s="22"/>
    </row>
    <row r="484" spans="1:11" s="21" customFormat="1" ht="12.75">
      <c r="A484" s="23"/>
      <c r="B484" s="23"/>
      <c r="C484" s="23"/>
      <c r="D484" s="23"/>
      <c r="E484" s="22"/>
      <c r="F484" s="22"/>
      <c r="G484" s="22"/>
      <c r="H484" s="22"/>
      <c r="I484" s="22"/>
      <c r="J484" s="22"/>
      <c r="K484" s="22"/>
    </row>
    <row r="485" spans="1:11" s="21" customFormat="1" ht="12.75">
      <c r="A485" s="23"/>
      <c r="B485" s="23"/>
      <c r="C485" s="23"/>
      <c r="D485" s="23"/>
      <c r="E485" s="22"/>
      <c r="F485" s="22"/>
      <c r="G485" s="22"/>
      <c r="H485" s="22"/>
      <c r="I485" s="22"/>
      <c r="J485" s="22"/>
      <c r="K485" s="22"/>
    </row>
    <row r="486" spans="1:11" s="21" customFormat="1" ht="12.75">
      <c r="A486" s="23"/>
      <c r="B486" s="23"/>
      <c r="C486" s="23"/>
      <c r="D486" s="23"/>
      <c r="E486" s="22"/>
      <c r="F486" s="22"/>
      <c r="G486" s="22"/>
      <c r="H486" s="22"/>
      <c r="I486" s="22"/>
      <c r="J486" s="22"/>
      <c r="K486" s="22"/>
    </row>
    <row r="487" spans="1:11" s="21" customFormat="1" ht="12.75">
      <c r="A487" s="23"/>
      <c r="B487" s="23"/>
      <c r="C487" s="23"/>
      <c r="D487" s="23"/>
      <c r="E487" s="22"/>
      <c r="F487" s="22"/>
      <c r="G487" s="22"/>
      <c r="H487" s="22"/>
      <c r="I487" s="22"/>
      <c r="J487" s="22"/>
      <c r="K487" s="22"/>
    </row>
    <row r="488" spans="1:11" s="21" customFormat="1" ht="12.75">
      <c r="A488" s="23"/>
      <c r="B488" s="23"/>
      <c r="C488" s="23"/>
      <c r="D488" s="23"/>
      <c r="E488" s="22"/>
      <c r="F488" s="22"/>
      <c r="G488" s="22"/>
      <c r="H488" s="22"/>
      <c r="I488" s="22"/>
      <c r="J488" s="22"/>
      <c r="K488" s="22"/>
    </row>
    <row r="489" spans="1:11" s="21" customFormat="1" ht="12.75">
      <c r="A489" s="23"/>
      <c r="B489" s="23"/>
      <c r="C489" s="23"/>
      <c r="D489" s="23"/>
      <c r="E489" s="22"/>
      <c r="F489" s="22"/>
      <c r="G489" s="22"/>
      <c r="H489" s="22"/>
      <c r="I489" s="22"/>
      <c r="J489" s="22"/>
      <c r="K489" s="22"/>
    </row>
    <row r="490" spans="1:11" s="21" customFormat="1" ht="12.75">
      <c r="A490" s="23"/>
      <c r="B490" s="23"/>
      <c r="C490" s="23"/>
      <c r="D490" s="23"/>
      <c r="E490" s="22"/>
      <c r="F490" s="22"/>
      <c r="G490" s="22"/>
      <c r="H490" s="22"/>
      <c r="I490" s="22"/>
      <c r="J490" s="22"/>
      <c r="K490" s="22"/>
    </row>
    <row r="491" spans="1:11" s="21" customFormat="1" ht="12.75">
      <c r="A491" s="23"/>
      <c r="B491" s="23"/>
      <c r="C491" s="23"/>
      <c r="D491" s="23"/>
      <c r="E491" s="22"/>
      <c r="F491" s="22"/>
      <c r="G491" s="22"/>
      <c r="H491" s="22"/>
      <c r="I491" s="22"/>
      <c r="J491" s="22"/>
      <c r="K491" s="22"/>
    </row>
    <row r="492" spans="1:11" s="21" customFormat="1" ht="12.75">
      <c r="A492" s="23"/>
      <c r="B492" s="23"/>
      <c r="C492" s="23"/>
      <c r="D492" s="23"/>
      <c r="E492" s="22"/>
      <c r="F492" s="22"/>
      <c r="G492" s="22"/>
      <c r="H492" s="22"/>
      <c r="I492" s="22"/>
      <c r="J492" s="22"/>
      <c r="K492" s="22"/>
    </row>
    <row r="493" spans="1:11" s="21" customFormat="1" ht="12.75">
      <c r="A493" s="23"/>
      <c r="B493" s="23"/>
      <c r="C493" s="23"/>
      <c r="D493" s="23"/>
      <c r="E493" s="22"/>
      <c r="F493" s="22"/>
      <c r="G493" s="22"/>
      <c r="H493" s="22"/>
      <c r="I493" s="22"/>
      <c r="J493" s="22"/>
      <c r="K493" s="22"/>
    </row>
    <row r="494" spans="1:11" s="21" customFormat="1" ht="12.75">
      <c r="A494" s="23"/>
      <c r="B494" s="23"/>
      <c r="C494" s="23"/>
      <c r="D494" s="23"/>
      <c r="E494" s="22"/>
      <c r="F494" s="22"/>
      <c r="G494" s="22"/>
      <c r="H494" s="22"/>
      <c r="I494" s="22"/>
      <c r="J494" s="22"/>
      <c r="K494" s="22"/>
    </row>
    <row r="495" spans="1:11" s="21" customFormat="1" ht="12.75">
      <c r="A495" s="23"/>
      <c r="B495" s="23"/>
      <c r="C495" s="23"/>
      <c r="D495" s="23"/>
      <c r="E495" s="22"/>
      <c r="F495" s="22"/>
      <c r="G495" s="22"/>
      <c r="H495" s="22"/>
      <c r="I495" s="22"/>
      <c r="J495" s="22"/>
      <c r="K495" s="22"/>
    </row>
    <row r="496" spans="1:11" s="21" customFormat="1" ht="12.75">
      <c r="A496" s="23"/>
      <c r="B496" s="23"/>
      <c r="C496" s="23"/>
      <c r="D496" s="23"/>
      <c r="E496" s="22"/>
      <c r="F496" s="22"/>
      <c r="G496" s="22"/>
      <c r="H496" s="22"/>
      <c r="I496" s="22"/>
      <c r="J496" s="22"/>
      <c r="K496" s="22"/>
    </row>
    <row r="497" spans="1:11" s="21" customFormat="1" ht="12.75">
      <c r="A497" s="23"/>
      <c r="B497" s="23"/>
      <c r="C497" s="23"/>
      <c r="D497" s="23"/>
      <c r="E497" s="22"/>
      <c r="F497" s="22"/>
      <c r="G497" s="22"/>
      <c r="H497" s="22"/>
      <c r="I497" s="22"/>
      <c r="J497" s="22"/>
      <c r="K497" s="22"/>
    </row>
    <row r="498" spans="1:11" s="21" customFormat="1" ht="12.75">
      <c r="A498" s="23"/>
      <c r="B498" s="23"/>
      <c r="C498" s="23"/>
      <c r="D498" s="23"/>
      <c r="E498" s="22"/>
      <c r="F498" s="22"/>
      <c r="G498" s="22"/>
      <c r="H498" s="22"/>
      <c r="I498" s="22"/>
      <c r="J498" s="22"/>
      <c r="K498" s="22"/>
    </row>
    <row r="499" spans="1:11" s="21" customFormat="1" ht="12.75">
      <c r="A499" s="23"/>
      <c r="B499" s="23"/>
      <c r="C499" s="23"/>
      <c r="D499" s="23"/>
      <c r="E499" s="22"/>
      <c r="F499" s="22"/>
      <c r="G499" s="22"/>
      <c r="H499" s="22"/>
      <c r="I499" s="22"/>
      <c r="J499" s="22"/>
      <c r="K499" s="22"/>
    </row>
    <row r="500" spans="1:11" s="21" customFormat="1" ht="12.75">
      <c r="A500" s="23"/>
      <c r="B500" s="23"/>
      <c r="C500" s="23"/>
      <c r="D500" s="23"/>
      <c r="E500" s="22"/>
      <c r="F500" s="22"/>
      <c r="G500" s="22"/>
      <c r="H500" s="22"/>
      <c r="I500" s="22"/>
      <c r="J500" s="22"/>
      <c r="K500" s="22"/>
    </row>
    <row r="501" spans="1:11" s="21" customFormat="1" ht="12.75">
      <c r="A501" s="23"/>
      <c r="B501" s="23"/>
      <c r="C501" s="23"/>
      <c r="D501" s="23"/>
      <c r="E501" s="22"/>
      <c r="F501" s="22"/>
      <c r="G501" s="22"/>
      <c r="H501" s="22"/>
      <c r="I501" s="22"/>
      <c r="J501" s="22"/>
      <c r="K501" s="22"/>
    </row>
    <row r="502" spans="1:11" s="21" customFormat="1" ht="12.75">
      <c r="A502" s="23"/>
      <c r="B502" s="23"/>
      <c r="C502" s="23"/>
      <c r="D502" s="23"/>
      <c r="E502" s="22"/>
      <c r="F502" s="22"/>
      <c r="G502" s="22"/>
      <c r="H502" s="22"/>
      <c r="I502" s="22"/>
      <c r="J502" s="22"/>
      <c r="K502" s="22"/>
    </row>
    <row r="503" spans="1:11" s="21" customFormat="1" ht="12.75">
      <c r="A503" s="23"/>
      <c r="B503" s="23"/>
      <c r="C503" s="23"/>
      <c r="D503" s="23"/>
      <c r="E503" s="22"/>
      <c r="F503" s="22"/>
      <c r="G503" s="22"/>
      <c r="H503" s="22"/>
      <c r="I503" s="22"/>
      <c r="J503" s="22"/>
      <c r="K503" s="22"/>
    </row>
    <row r="504" spans="1:11" s="21" customFormat="1" ht="12.75">
      <c r="A504" s="23"/>
      <c r="B504" s="23"/>
      <c r="C504" s="23"/>
      <c r="D504" s="23"/>
      <c r="E504" s="22"/>
      <c r="F504" s="22"/>
      <c r="G504" s="22"/>
      <c r="H504" s="22"/>
      <c r="I504" s="22"/>
      <c r="J504" s="22"/>
      <c r="K504" s="22"/>
    </row>
    <row r="505" spans="1:11" s="21" customFormat="1" ht="12.75">
      <c r="A505" s="23"/>
      <c r="B505" s="23"/>
      <c r="C505" s="23"/>
      <c r="D505" s="23"/>
      <c r="E505" s="22"/>
      <c r="F505" s="22"/>
      <c r="G505" s="22"/>
      <c r="H505" s="22"/>
      <c r="I505" s="22"/>
      <c r="J505" s="22"/>
      <c r="K505" s="22"/>
    </row>
    <row r="506" spans="1:11" s="21" customFormat="1" ht="12.75">
      <c r="A506" s="23"/>
      <c r="B506" s="23"/>
      <c r="C506" s="23"/>
      <c r="D506" s="23"/>
      <c r="E506" s="22"/>
      <c r="F506" s="22"/>
      <c r="G506" s="22"/>
      <c r="H506" s="22"/>
      <c r="I506" s="22"/>
      <c r="J506" s="22"/>
      <c r="K506" s="22"/>
    </row>
    <row r="507" spans="1:11" s="21" customFormat="1" ht="12.75">
      <c r="A507" s="23"/>
      <c r="B507" s="23"/>
      <c r="C507" s="23"/>
      <c r="D507" s="23"/>
      <c r="E507" s="22"/>
      <c r="F507" s="22"/>
      <c r="G507" s="22"/>
      <c r="H507" s="22"/>
      <c r="I507" s="22"/>
      <c r="J507" s="22"/>
      <c r="K507" s="22"/>
    </row>
    <row r="508" spans="1:11" s="21" customFormat="1" ht="12.75">
      <c r="A508" s="23"/>
      <c r="B508" s="23"/>
      <c r="C508" s="23"/>
      <c r="D508" s="23"/>
      <c r="E508" s="22"/>
      <c r="F508" s="22"/>
      <c r="G508" s="22"/>
      <c r="H508" s="22"/>
      <c r="I508" s="22"/>
      <c r="J508" s="22"/>
      <c r="K508" s="22"/>
    </row>
    <row r="509" spans="1:11" s="21" customFormat="1" ht="12.75">
      <c r="A509" s="23"/>
      <c r="B509" s="23"/>
      <c r="C509" s="23"/>
      <c r="D509" s="23"/>
      <c r="E509" s="22"/>
      <c r="F509" s="22"/>
      <c r="G509" s="22"/>
      <c r="H509" s="22"/>
      <c r="I509" s="22"/>
      <c r="J509" s="22"/>
      <c r="K509" s="22"/>
    </row>
    <row r="510" spans="1:11" s="21" customFormat="1" ht="12.75">
      <c r="A510" s="23"/>
      <c r="B510" s="23"/>
      <c r="C510" s="23"/>
      <c r="D510" s="23"/>
      <c r="E510" s="22"/>
      <c r="F510" s="22"/>
      <c r="G510" s="22"/>
      <c r="H510" s="22"/>
      <c r="I510" s="22"/>
      <c r="J510" s="22"/>
      <c r="K510" s="22"/>
    </row>
    <row r="511" spans="1:11" s="21" customFormat="1" ht="12.75">
      <c r="A511" s="23"/>
      <c r="B511" s="23"/>
      <c r="C511" s="23"/>
      <c r="D511" s="23"/>
      <c r="E511" s="22"/>
      <c r="F511" s="22"/>
      <c r="G511" s="22"/>
      <c r="H511" s="22"/>
      <c r="I511" s="22"/>
      <c r="J511" s="22"/>
      <c r="K511" s="22"/>
    </row>
    <row r="512" spans="1:11" s="21" customFormat="1" ht="12.75">
      <c r="A512" s="23"/>
      <c r="B512" s="23"/>
      <c r="C512" s="23"/>
      <c r="D512" s="23"/>
      <c r="E512" s="22"/>
      <c r="F512" s="22"/>
      <c r="G512" s="22"/>
      <c r="H512" s="22"/>
      <c r="I512" s="22"/>
      <c r="J512" s="22"/>
      <c r="K512" s="22"/>
    </row>
    <row r="513" spans="1:11" s="21" customFormat="1" ht="12.75">
      <c r="A513" s="23"/>
      <c r="B513" s="23"/>
      <c r="C513" s="23"/>
      <c r="D513" s="23"/>
      <c r="E513" s="22"/>
      <c r="F513" s="22"/>
      <c r="G513" s="22"/>
      <c r="H513" s="22"/>
      <c r="I513" s="22"/>
      <c r="J513" s="22"/>
      <c r="K513" s="22"/>
    </row>
    <row r="514" spans="1:11" s="21" customFormat="1" ht="12.75">
      <c r="A514" s="23"/>
      <c r="B514" s="23"/>
      <c r="C514" s="23"/>
      <c r="D514" s="23"/>
      <c r="E514" s="22"/>
      <c r="F514" s="22"/>
      <c r="G514" s="22"/>
      <c r="H514" s="22"/>
      <c r="I514" s="22"/>
      <c r="J514" s="22"/>
      <c r="K514" s="22"/>
    </row>
    <row r="515" spans="1:11" s="21" customFormat="1" ht="12.75">
      <c r="A515" s="23"/>
      <c r="B515" s="23"/>
      <c r="C515" s="23"/>
      <c r="D515" s="23"/>
      <c r="E515" s="22"/>
      <c r="F515" s="22"/>
      <c r="G515" s="22"/>
      <c r="H515" s="22"/>
      <c r="I515" s="22"/>
      <c r="J515" s="22"/>
      <c r="K515" s="22"/>
    </row>
    <row r="516" spans="1:11" s="21" customFormat="1" ht="12.75">
      <c r="A516" s="23"/>
      <c r="B516" s="23"/>
      <c r="C516" s="23"/>
      <c r="D516" s="23"/>
      <c r="E516" s="22"/>
      <c r="F516" s="22"/>
      <c r="G516" s="22"/>
      <c r="H516" s="22"/>
      <c r="I516" s="22"/>
      <c r="J516" s="22"/>
      <c r="K516" s="22"/>
    </row>
    <row r="517" spans="1:11" s="21" customFormat="1" ht="12.75">
      <c r="A517" s="23"/>
      <c r="B517" s="23"/>
      <c r="C517" s="23"/>
      <c r="D517" s="23"/>
      <c r="E517" s="22"/>
      <c r="F517" s="22"/>
      <c r="G517" s="22"/>
      <c r="H517" s="22"/>
      <c r="I517" s="22"/>
      <c r="J517" s="22"/>
      <c r="K517" s="22"/>
    </row>
    <row r="518" spans="1:11" s="21" customFormat="1" ht="12.75">
      <c r="A518" s="23"/>
      <c r="B518" s="23"/>
      <c r="C518" s="23"/>
      <c r="D518" s="23"/>
      <c r="E518" s="22"/>
      <c r="F518" s="22"/>
      <c r="G518" s="22"/>
      <c r="H518" s="22"/>
      <c r="I518" s="22"/>
      <c r="J518" s="22"/>
      <c r="K518" s="22"/>
    </row>
    <row r="519" spans="1:11" s="21" customFormat="1" ht="12.75">
      <c r="A519" s="23"/>
      <c r="B519" s="23"/>
      <c r="C519" s="23"/>
      <c r="D519" s="23"/>
      <c r="E519" s="22"/>
      <c r="F519" s="22"/>
      <c r="G519" s="22"/>
      <c r="H519" s="22"/>
      <c r="I519" s="22"/>
      <c r="J519" s="22"/>
      <c r="K519" s="22"/>
    </row>
    <row r="520" spans="1:11" s="21" customFormat="1" ht="12.75">
      <c r="A520" s="23"/>
      <c r="B520" s="23"/>
      <c r="C520" s="23"/>
      <c r="D520" s="23"/>
      <c r="E520" s="22"/>
      <c r="F520" s="22"/>
      <c r="G520" s="22"/>
      <c r="H520" s="22"/>
      <c r="I520" s="22"/>
      <c r="J520" s="22"/>
      <c r="K520" s="22"/>
    </row>
    <row r="521" spans="1:11" s="21" customFormat="1" ht="12.75">
      <c r="A521" s="23"/>
      <c r="B521" s="23"/>
      <c r="C521" s="23"/>
      <c r="D521" s="23"/>
      <c r="E521" s="22"/>
      <c r="F521" s="22"/>
      <c r="G521" s="22"/>
      <c r="H521" s="22"/>
      <c r="I521" s="22"/>
      <c r="J521" s="22"/>
      <c r="K521" s="22"/>
    </row>
    <row r="522" spans="1:11" s="21" customFormat="1" ht="12.75">
      <c r="A522" s="23"/>
      <c r="B522" s="23"/>
      <c r="C522" s="23"/>
      <c r="D522" s="23"/>
      <c r="E522" s="22"/>
      <c r="F522" s="22"/>
      <c r="G522" s="22"/>
      <c r="H522" s="22"/>
      <c r="I522" s="22"/>
      <c r="J522" s="22"/>
      <c r="K522" s="22"/>
    </row>
    <row r="523" spans="1:11" s="21" customFormat="1" ht="12.75">
      <c r="A523" s="23"/>
      <c r="B523" s="23"/>
      <c r="C523" s="23"/>
      <c r="D523" s="23"/>
      <c r="E523" s="22"/>
      <c r="F523" s="22"/>
      <c r="G523" s="22"/>
      <c r="H523" s="22"/>
      <c r="I523" s="22"/>
      <c r="J523" s="22"/>
      <c r="K523" s="22"/>
    </row>
    <row r="524" spans="1:11" s="21" customFormat="1" ht="12.75">
      <c r="A524" s="23"/>
      <c r="B524" s="23"/>
      <c r="C524" s="23"/>
      <c r="D524" s="23"/>
      <c r="E524" s="22"/>
      <c r="F524" s="22"/>
      <c r="G524" s="22"/>
      <c r="H524" s="22"/>
      <c r="I524" s="22"/>
      <c r="J524" s="22"/>
      <c r="K524" s="22"/>
    </row>
    <row r="525" spans="1:11" s="21" customFormat="1" ht="12.75">
      <c r="A525" s="23"/>
      <c r="B525" s="23"/>
      <c r="C525" s="23"/>
      <c r="D525" s="23"/>
      <c r="E525" s="22"/>
      <c r="F525" s="22"/>
      <c r="G525" s="22"/>
      <c r="H525" s="22"/>
      <c r="I525" s="22"/>
      <c r="J525" s="22"/>
      <c r="K525" s="22"/>
    </row>
    <row r="526" spans="1:11" s="21" customFormat="1" ht="12.75">
      <c r="A526" s="23"/>
      <c r="B526" s="23"/>
      <c r="C526" s="23"/>
      <c r="D526" s="23"/>
      <c r="E526" s="22"/>
      <c r="F526" s="22"/>
      <c r="G526" s="22"/>
      <c r="H526" s="22"/>
      <c r="I526" s="22"/>
      <c r="J526" s="22"/>
      <c r="K526" s="22"/>
    </row>
    <row r="527" spans="1:11" s="21" customFormat="1" ht="12.75">
      <c r="A527" s="23"/>
      <c r="B527" s="23"/>
      <c r="C527" s="23"/>
      <c r="D527" s="23"/>
      <c r="E527" s="22"/>
      <c r="F527" s="22"/>
      <c r="G527" s="22"/>
      <c r="H527" s="22"/>
      <c r="I527" s="22"/>
      <c r="J527" s="22"/>
      <c r="K527" s="22"/>
    </row>
    <row r="528" spans="1:11" s="21" customFormat="1" ht="12.75">
      <c r="A528" s="23"/>
      <c r="B528" s="23"/>
      <c r="C528" s="23"/>
      <c r="D528" s="23"/>
      <c r="E528" s="22"/>
      <c r="F528" s="22"/>
      <c r="G528" s="22"/>
      <c r="H528" s="22"/>
      <c r="I528" s="22"/>
      <c r="J528" s="22"/>
      <c r="K528" s="22"/>
    </row>
    <row r="529" spans="1:11" s="21" customFormat="1" ht="12.75">
      <c r="A529" s="23"/>
      <c r="B529" s="23"/>
      <c r="C529" s="23"/>
      <c r="D529" s="23"/>
      <c r="E529" s="22"/>
      <c r="F529" s="22"/>
      <c r="G529" s="22"/>
      <c r="H529" s="22"/>
      <c r="I529" s="22"/>
      <c r="J529" s="22"/>
      <c r="K529" s="22"/>
    </row>
    <row r="530" spans="1:11" s="21" customFormat="1" ht="12.75">
      <c r="A530" s="23"/>
      <c r="B530" s="23"/>
      <c r="C530" s="23"/>
      <c r="D530" s="23"/>
      <c r="E530" s="22"/>
      <c r="F530" s="22"/>
      <c r="G530" s="22"/>
      <c r="H530" s="22"/>
      <c r="I530" s="22"/>
      <c r="J530" s="22"/>
      <c r="K530" s="22"/>
    </row>
    <row r="531" spans="1:11" s="21" customFormat="1" ht="12.75">
      <c r="A531" s="23"/>
      <c r="B531" s="23"/>
      <c r="C531" s="23"/>
      <c r="D531" s="23"/>
      <c r="E531" s="22"/>
      <c r="F531" s="22"/>
      <c r="G531" s="22"/>
      <c r="H531" s="22"/>
      <c r="I531" s="22"/>
      <c r="J531" s="22"/>
      <c r="K531" s="22"/>
    </row>
    <row r="532" spans="1:11" s="21" customFormat="1" ht="12.75">
      <c r="A532" s="23"/>
      <c r="B532" s="23"/>
      <c r="C532" s="23"/>
      <c r="D532" s="23"/>
      <c r="E532" s="22"/>
      <c r="F532" s="22"/>
      <c r="G532" s="22"/>
      <c r="H532" s="22"/>
      <c r="I532" s="22"/>
      <c r="J532" s="22"/>
      <c r="K532" s="22"/>
    </row>
    <row r="533" spans="1:11" s="21" customFormat="1" ht="12.75">
      <c r="A533" s="23"/>
      <c r="B533" s="23"/>
      <c r="C533" s="23"/>
      <c r="D533" s="23"/>
      <c r="E533" s="22"/>
      <c r="F533" s="22"/>
      <c r="G533" s="22"/>
      <c r="H533" s="22"/>
      <c r="I533" s="22"/>
      <c r="J533" s="22"/>
      <c r="K533" s="22"/>
    </row>
    <row r="534" spans="1:11" s="21" customFormat="1" ht="12.75">
      <c r="A534" s="23"/>
      <c r="B534" s="23"/>
      <c r="C534" s="23"/>
      <c r="D534" s="23"/>
      <c r="E534" s="22"/>
      <c r="F534" s="22"/>
      <c r="G534" s="22"/>
      <c r="H534" s="22"/>
      <c r="I534" s="22"/>
      <c r="J534" s="22"/>
      <c r="K534" s="22"/>
    </row>
    <row r="535" spans="1:11" s="21" customFormat="1" ht="12.75">
      <c r="A535" s="23"/>
      <c r="B535" s="23"/>
      <c r="C535" s="23"/>
      <c r="D535" s="23"/>
      <c r="E535" s="22"/>
      <c r="F535" s="22"/>
      <c r="G535" s="22"/>
      <c r="H535" s="22"/>
      <c r="I535" s="22"/>
      <c r="J535" s="22"/>
      <c r="K535" s="22"/>
    </row>
    <row r="536" spans="1:11" s="21" customFormat="1" ht="12.75">
      <c r="A536" s="23"/>
      <c r="B536" s="23"/>
      <c r="C536" s="23"/>
      <c r="D536" s="23"/>
      <c r="E536" s="22"/>
      <c r="F536" s="22"/>
      <c r="G536" s="22"/>
      <c r="H536" s="22"/>
      <c r="I536" s="22"/>
      <c r="J536" s="22"/>
      <c r="K536" s="22"/>
    </row>
    <row r="537" spans="1:11" s="21" customFormat="1" ht="12.75">
      <c r="A537" s="23"/>
      <c r="B537" s="23"/>
      <c r="C537" s="23"/>
      <c r="D537" s="23"/>
      <c r="E537" s="22"/>
      <c r="F537" s="22"/>
      <c r="G537" s="22"/>
      <c r="H537" s="22"/>
      <c r="I537" s="22"/>
      <c r="J537" s="22"/>
      <c r="K537" s="22"/>
    </row>
    <row r="538" spans="1:11" s="21" customFormat="1" ht="12.75">
      <c r="A538" s="23"/>
      <c r="B538" s="23"/>
      <c r="C538" s="23"/>
      <c r="D538" s="23"/>
      <c r="E538" s="22"/>
      <c r="F538" s="22"/>
      <c r="G538" s="22"/>
      <c r="H538" s="22"/>
      <c r="I538" s="22"/>
      <c r="J538" s="22"/>
      <c r="K538" s="22"/>
    </row>
    <row r="539" spans="1:11" s="21" customFormat="1" ht="12.75">
      <c r="A539" s="23"/>
      <c r="B539" s="23"/>
      <c r="C539" s="23"/>
      <c r="D539" s="23"/>
      <c r="E539" s="22"/>
      <c r="F539" s="22"/>
      <c r="G539" s="22"/>
      <c r="H539" s="22"/>
      <c r="I539" s="22"/>
      <c r="J539" s="22"/>
      <c r="K539" s="22"/>
    </row>
    <row r="540" spans="1:11" s="21" customFormat="1" ht="12.75">
      <c r="A540" s="23"/>
      <c r="B540" s="23"/>
      <c r="C540" s="23"/>
      <c r="D540" s="23"/>
      <c r="E540" s="22"/>
      <c r="F540" s="22"/>
      <c r="G540" s="22"/>
      <c r="H540" s="22"/>
      <c r="I540" s="22"/>
      <c r="J540" s="22"/>
      <c r="K540" s="22"/>
    </row>
    <row r="541" spans="1:11" s="21" customFormat="1" ht="12.75">
      <c r="A541" s="23"/>
      <c r="B541" s="23"/>
      <c r="C541" s="23"/>
      <c r="D541" s="23"/>
      <c r="E541" s="22"/>
      <c r="F541" s="22"/>
      <c r="G541" s="22"/>
      <c r="H541" s="22"/>
      <c r="I541" s="22"/>
      <c r="J541" s="22"/>
      <c r="K541" s="22"/>
    </row>
    <row r="542" spans="1:11" s="21" customFormat="1" ht="12.75">
      <c r="A542" s="23"/>
      <c r="B542" s="23"/>
      <c r="C542" s="23"/>
      <c r="D542" s="23"/>
      <c r="E542" s="22"/>
      <c r="F542" s="22"/>
      <c r="G542" s="22"/>
      <c r="H542" s="22"/>
      <c r="I542" s="22"/>
      <c r="J542" s="22"/>
      <c r="K542" s="22"/>
    </row>
    <row r="543" spans="1:11" s="21" customFormat="1" ht="12.75">
      <c r="A543" s="23"/>
      <c r="B543" s="23"/>
      <c r="C543" s="23"/>
      <c r="D543" s="23"/>
      <c r="E543" s="22"/>
      <c r="F543" s="22"/>
      <c r="G543" s="22"/>
      <c r="H543" s="22"/>
      <c r="I543" s="22"/>
      <c r="J543" s="22"/>
      <c r="K543" s="22"/>
    </row>
    <row r="544" spans="1:11" s="21" customFormat="1" ht="12.75">
      <c r="A544" s="23"/>
      <c r="B544" s="23"/>
      <c r="C544" s="23"/>
      <c r="D544" s="23"/>
      <c r="E544" s="22"/>
      <c r="F544" s="22"/>
      <c r="G544" s="22"/>
      <c r="H544" s="22"/>
      <c r="I544" s="22"/>
      <c r="J544" s="22"/>
      <c r="K544" s="22"/>
    </row>
    <row r="545" spans="1:11" s="21" customFormat="1" ht="12.75">
      <c r="A545" s="23"/>
      <c r="B545" s="23"/>
      <c r="C545" s="23"/>
      <c r="D545" s="23"/>
      <c r="E545" s="22"/>
      <c r="F545" s="22"/>
      <c r="G545" s="22"/>
      <c r="H545" s="22"/>
      <c r="I545" s="22"/>
      <c r="J545" s="22"/>
      <c r="K545" s="22"/>
    </row>
    <row r="546" spans="1:11" s="21" customFormat="1" ht="12.75">
      <c r="A546" s="23"/>
      <c r="B546" s="23"/>
      <c r="C546" s="23"/>
      <c r="D546" s="23"/>
      <c r="E546" s="22"/>
      <c r="F546" s="22"/>
      <c r="G546" s="22"/>
      <c r="H546" s="22"/>
      <c r="I546" s="22"/>
      <c r="J546" s="22"/>
      <c r="K546" s="22"/>
    </row>
    <row r="547" spans="1:11" s="21" customFormat="1" ht="12.75">
      <c r="A547" s="23"/>
      <c r="B547" s="23"/>
      <c r="C547" s="23"/>
      <c r="D547" s="23"/>
      <c r="E547" s="22"/>
      <c r="F547" s="22"/>
      <c r="G547" s="22"/>
      <c r="H547" s="22"/>
      <c r="I547" s="22"/>
      <c r="J547" s="22"/>
      <c r="K547" s="22"/>
    </row>
    <row r="548" spans="1:11" s="21" customFormat="1" ht="12.75">
      <c r="A548" s="23"/>
      <c r="B548" s="23"/>
      <c r="C548" s="23"/>
      <c r="D548" s="23"/>
      <c r="E548" s="22"/>
      <c r="F548" s="22"/>
      <c r="G548" s="22"/>
      <c r="H548" s="22"/>
      <c r="I548" s="22"/>
      <c r="J548" s="22"/>
      <c r="K548" s="22"/>
    </row>
    <row r="549" spans="1:11" s="21" customFormat="1" ht="12.75">
      <c r="A549" s="23"/>
      <c r="B549" s="23"/>
      <c r="C549" s="23"/>
      <c r="D549" s="23"/>
      <c r="E549" s="22"/>
      <c r="F549" s="22"/>
      <c r="G549" s="22"/>
      <c r="H549" s="22"/>
      <c r="I549" s="22"/>
      <c r="J549" s="22"/>
      <c r="K549" s="22"/>
    </row>
    <row r="550" spans="1:11" s="21" customFormat="1" ht="12.75">
      <c r="A550" s="23"/>
      <c r="B550" s="23"/>
      <c r="C550" s="23"/>
      <c r="D550" s="23"/>
      <c r="E550" s="22"/>
      <c r="F550" s="22"/>
      <c r="G550" s="22"/>
      <c r="H550" s="22"/>
      <c r="I550" s="22"/>
      <c r="J550" s="22"/>
      <c r="K550" s="22"/>
    </row>
    <row r="551" spans="1:11" s="21" customFormat="1" ht="12.75">
      <c r="A551" s="23"/>
      <c r="B551" s="23"/>
      <c r="C551" s="23"/>
      <c r="D551" s="23"/>
      <c r="E551" s="22"/>
      <c r="F551" s="22"/>
      <c r="G551" s="22"/>
      <c r="H551" s="22"/>
      <c r="I551" s="22"/>
      <c r="J551" s="22"/>
      <c r="K551" s="22"/>
    </row>
    <row r="552" spans="1:11" s="21" customFormat="1" ht="12.75">
      <c r="A552" s="23"/>
      <c r="B552" s="23"/>
      <c r="C552" s="23"/>
      <c r="D552" s="23"/>
      <c r="E552" s="22"/>
      <c r="F552" s="22"/>
      <c r="G552" s="22"/>
      <c r="H552" s="22"/>
      <c r="I552" s="22"/>
      <c r="J552" s="22"/>
      <c r="K552" s="22"/>
    </row>
    <row r="553" spans="1:11" s="21" customFormat="1" ht="12.75">
      <c r="A553" s="23"/>
      <c r="B553" s="23"/>
      <c r="C553" s="23"/>
      <c r="D553" s="23"/>
      <c r="E553" s="22"/>
      <c r="F553" s="22"/>
      <c r="G553" s="22"/>
      <c r="H553" s="22"/>
      <c r="I553" s="22"/>
      <c r="J553" s="22"/>
      <c r="K553" s="22"/>
    </row>
    <row r="554" spans="1:11" s="21" customFormat="1" ht="12.75">
      <c r="A554" s="23"/>
      <c r="B554" s="23"/>
      <c r="C554" s="23"/>
      <c r="D554" s="23"/>
      <c r="E554" s="22"/>
      <c r="F554" s="22"/>
      <c r="G554" s="22"/>
      <c r="H554" s="22"/>
      <c r="I554" s="22"/>
      <c r="J554" s="22"/>
      <c r="K554" s="22"/>
    </row>
    <row r="555" spans="1:11" s="21" customFormat="1" ht="12.75">
      <c r="A555" s="23"/>
      <c r="B555" s="23"/>
      <c r="C555" s="23"/>
      <c r="D555" s="23"/>
      <c r="E555" s="22"/>
      <c r="F555" s="22"/>
      <c r="G555" s="22"/>
      <c r="H555" s="22"/>
      <c r="I555" s="22"/>
      <c r="J555" s="22"/>
      <c r="K555" s="22"/>
    </row>
    <row r="556" spans="1:11" s="21" customFormat="1" ht="12.75">
      <c r="A556" s="23"/>
      <c r="B556" s="23"/>
      <c r="C556" s="23"/>
      <c r="D556" s="23"/>
      <c r="E556" s="22"/>
      <c r="F556" s="22"/>
      <c r="G556" s="22"/>
      <c r="H556" s="22"/>
      <c r="I556" s="22"/>
      <c r="J556" s="22"/>
      <c r="K556" s="22"/>
    </row>
    <row r="557" spans="1:11" s="21" customFormat="1" ht="12.75">
      <c r="A557" s="23"/>
      <c r="B557" s="23"/>
      <c r="C557" s="23"/>
      <c r="D557" s="23"/>
      <c r="E557" s="22"/>
      <c r="F557" s="22"/>
      <c r="G557" s="22"/>
      <c r="H557" s="22"/>
      <c r="I557" s="22"/>
      <c r="J557" s="22"/>
      <c r="K557" s="22"/>
    </row>
    <row r="558" spans="1:11" s="21" customFormat="1" ht="12.75">
      <c r="A558" s="23"/>
      <c r="B558" s="23"/>
      <c r="C558" s="23"/>
      <c r="D558" s="23"/>
      <c r="E558" s="22"/>
      <c r="F558" s="22"/>
      <c r="G558" s="22"/>
      <c r="H558" s="22"/>
      <c r="I558" s="22"/>
      <c r="J558" s="22"/>
      <c r="K558" s="22"/>
    </row>
    <row r="559" spans="1:11" s="21" customFormat="1" ht="12.75">
      <c r="A559" s="23"/>
      <c r="B559" s="23"/>
      <c r="C559" s="23"/>
      <c r="D559" s="23"/>
      <c r="E559" s="22"/>
      <c r="F559" s="22"/>
      <c r="G559" s="22"/>
      <c r="H559" s="22"/>
      <c r="I559" s="22"/>
      <c r="J559" s="22"/>
      <c r="K559" s="22"/>
    </row>
    <row r="560" spans="1:11" s="21" customFormat="1" ht="12.75">
      <c r="A560" s="23"/>
      <c r="B560" s="23"/>
      <c r="C560" s="23"/>
      <c r="D560" s="23"/>
      <c r="E560" s="22"/>
      <c r="F560" s="22"/>
      <c r="G560" s="22"/>
      <c r="H560" s="22"/>
      <c r="I560" s="22"/>
      <c r="J560" s="22"/>
      <c r="K560" s="22"/>
    </row>
    <row r="561" spans="1:11" s="21" customFormat="1" ht="12.75">
      <c r="A561" s="23"/>
      <c r="B561" s="23"/>
      <c r="C561" s="23"/>
      <c r="D561" s="23"/>
      <c r="E561" s="22"/>
      <c r="F561" s="22"/>
      <c r="G561" s="22"/>
      <c r="H561" s="22"/>
      <c r="I561" s="22"/>
      <c r="J561" s="22"/>
      <c r="K561" s="22"/>
    </row>
    <row r="562" spans="1:11" s="21" customFormat="1" ht="12.75">
      <c r="A562" s="23"/>
      <c r="B562" s="23"/>
      <c r="C562" s="23"/>
      <c r="D562" s="23"/>
      <c r="E562" s="22"/>
      <c r="F562" s="22"/>
      <c r="G562" s="22"/>
      <c r="H562" s="22"/>
      <c r="I562" s="22"/>
      <c r="J562" s="22"/>
      <c r="K562" s="22"/>
    </row>
    <row r="563" spans="1:11" s="21" customFormat="1" ht="12.75">
      <c r="A563" s="23"/>
      <c r="B563" s="23"/>
      <c r="C563" s="23"/>
      <c r="D563" s="23"/>
      <c r="E563" s="22"/>
      <c r="F563" s="22"/>
      <c r="G563" s="22"/>
      <c r="H563" s="22"/>
      <c r="I563" s="22"/>
      <c r="J563" s="22"/>
      <c r="K563" s="22"/>
    </row>
    <row r="564" spans="1:11" s="21" customFormat="1" ht="12.75">
      <c r="A564" s="23"/>
      <c r="B564" s="23"/>
      <c r="C564" s="23"/>
      <c r="D564" s="23"/>
      <c r="E564" s="22"/>
      <c r="F564" s="22"/>
      <c r="G564" s="22"/>
      <c r="H564" s="22"/>
      <c r="I564" s="22"/>
      <c r="J564" s="22"/>
      <c r="K564" s="22"/>
    </row>
    <row r="565" spans="1:11" s="21" customFormat="1" ht="12.75">
      <c r="A565" s="23"/>
      <c r="B565" s="23"/>
      <c r="C565" s="23"/>
      <c r="D565" s="23"/>
      <c r="E565" s="22"/>
      <c r="F565" s="22"/>
      <c r="G565" s="22"/>
      <c r="H565" s="22"/>
      <c r="I565" s="22"/>
      <c r="J565" s="22"/>
      <c r="K565" s="22"/>
    </row>
    <row r="566" spans="1:11" s="21" customFormat="1" ht="12.75">
      <c r="A566" s="23"/>
      <c r="B566" s="23"/>
      <c r="C566" s="23"/>
      <c r="D566" s="23"/>
      <c r="E566" s="22"/>
      <c r="F566" s="22"/>
      <c r="G566" s="22"/>
      <c r="H566" s="22"/>
      <c r="I566" s="22"/>
      <c r="J566" s="22"/>
      <c r="K566" s="22"/>
    </row>
    <row r="567" spans="1:11" s="21" customFormat="1" ht="12.75">
      <c r="A567" s="23"/>
      <c r="B567" s="23"/>
      <c r="C567" s="23"/>
      <c r="D567" s="23"/>
      <c r="E567" s="22"/>
      <c r="F567" s="22"/>
      <c r="G567" s="22"/>
      <c r="H567" s="22"/>
      <c r="I567" s="22"/>
      <c r="J567" s="22"/>
      <c r="K567" s="22"/>
    </row>
    <row r="568" spans="1:11" s="21" customFormat="1" ht="12.75">
      <c r="A568" s="23"/>
      <c r="B568" s="23"/>
      <c r="C568" s="23"/>
      <c r="D568" s="23"/>
      <c r="E568" s="22"/>
      <c r="F568" s="22"/>
      <c r="G568" s="22"/>
      <c r="H568" s="22"/>
      <c r="I568" s="22"/>
      <c r="J568" s="22"/>
      <c r="K568" s="22"/>
    </row>
    <row r="569" spans="1:11" s="21" customFormat="1" ht="12.75">
      <c r="A569" s="23"/>
      <c r="B569" s="23"/>
      <c r="C569" s="23"/>
      <c r="D569" s="23"/>
      <c r="E569" s="22"/>
      <c r="F569" s="22"/>
      <c r="G569" s="22"/>
      <c r="H569" s="22"/>
      <c r="I569" s="22"/>
      <c r="J569" s="22"/>
      <c r="K569" s="22"/>
    </row>
    <row r="570" spans="1:11" s="21" customFormat="1" ht="12.75">
      <c r="A570" s="23"/>
      <c r="B570" s="23"/>
      <c r="C570" s="23"/>
      <c r="D570" s="23"/>
      <c r="E570" s="22"/>
      <c r="F570" s="22"/>
      <c r="G570" s="22"/>
      <c r="H570" s="22"/>
      <c r="I570" s="22"/>
      <c r="J570" s="22"/>
      <c r="K570" s="22"/>
    </row>
    <row r="571" spans="1:11" s="21" customFormat="1" ht="12.75">
      <c r="A571" s="23"/>
      <c r="B571" s="23"/>
      <c r="C571" s="23"/>
      <c r="D571" s="23"/>
      <c r="E571" s="22"/>
      <c r="F571" s="22"/>
      <c r="G571" s="22"/>
      <c r="H571" s="22"/>
      <c r="I571" s="22"/>
      <c r="J571" s="22"/>
      <c r="K571" s="22"/>
    </row>
    <row r="572" spans="1:11" s="21" customFormat="1" ht="12.75">
      <c r="A572" s="23"/>
      <c r="B572" s="23"/>
      <c r="C572" s="23"/>
      <c r="D572" s="23"/>
      <c r="E572" s="22"/>
      <c r="F572" s="22"/>
      <c r="G572" s="22"/>
      <c r="H572" s="22"/>
      <c r="I572" s="22"/>
      <c r="J572" s="22"/>
      <c r="K572" s="22"/>
    </row>
    <row r="573" spans="1:11" s="21" customFormat="1" ht="12.75">
      <c r="A573" s="23"/>
      <c r="B573" s="23"/>
      <c r="C573" s="23"/>
      <c r="D573" s="23"/>
      <c r="E573" s="22"/>
      <c r="F573" s="22"/>
      <c r="G573" s="22"/>
      <c r="H573" s="22"/>
      <c r="I573" s="22"/>
      <c r="J573" s="22"/>
      <c r="K573" s="22"/>
    </row>
    <row r="574" spans="1:11" s="21" customFormat="1" ht="12.75">
      <c r="A574" s="23"/>
      <c r="B574" s="23"/>
      <c r="C574" s="23"/>
      <c r="D574" s="23"/>
      <c r="E574" s="22"/>
      <c r="F574" s="22"/>
      <c r="G574" s="22"/>
      <c r="H574" s="22"/>
      <c r="I574" s="22"/>
      <c r="J574" s="22"/>
      <c r="K574" s="22"/>
    </row>
    <row r="575" spans="1:11" s="21" customFormat="1" ht="12.75">
      <c r="A575" s="23"/>
      <c r="B575" s="23"/>
      <c r="C575" s="23"/>
      <c r="D575" s="23"/>
      <c r="E575" s="22"/>
      <c r="F575" s="22"/>
      <c r="G575" s="22"/>
      <c r="H575" s="22"/>
      <c r="I575" s="22"/>
      <c r="J575" s="22"/>
      <c r="K575" s="22"/>
    </row>
    <row r="576" spans="1:11" s="21" customFormat="1" ht="12.75">
      <c r="A576" s="23"/>
      <c r="B576" s="23"/>
      <c r="C576" s="23"/>
      <c r="D576" s="23"/>
      <c r="E576" s="22"/>
      <c r="F576" s="22"/>
      <c r="G576" s="22"/>
      <c r="H576" s="22"/>
      <c r="I576" s="22"/>
      <c r="J576" s="22"/>
      <c r="K576" s="22"/>
    </row>
    <row r="577" spans="1:11" s="21" customFormat="1" ht="12.75">
      <c r="A577" s="23"/>
      <c r="B577" s="23"/>
      <c r="C577" s="23"/>
      <c r="D577" s="23"/>
      <c r="E577" s="22"/>
      <c r="F577" s="22"/>
      <c r="G577" s="22"/>
      <c r="H577" s="22"/>
      <c r="I577" s="22"/>
      <c r="J577" s="22"/>
      <c r="K577" s="22"/>
    </row>
    <row r="578" spans="1:11" s="21" customFormat="1" ht="12.75">
      <c r="A578" s="23"/>
      <c r="B578" s="23"/>
      <c r="C578" s="23"/>
      <c r="D578" s="23"/>
      <c r="E578" s="22"/>
      <c r="F578" s="22"/>
      <c r="G578" s="22"/>
      <c r="H578" s="22"/>
      <c r="I578" s="22"/>
      <c r="J578" s="22"/>
      <c r="K578" s="22"/>
    </row>
    <row r="579" spans="1:11" s="21" customFormat="1" ht="12.75">
      <c r="A579" s="23"/>
      <c r="B579" s="23"/>
      <c r="C579" s="23"/>
      <c r="D579" s="23"/>
      <c r="E579" s="22"/>
      <c r="F579" s="22"/>
      <c r="G579" s="22"/>
      <c r="H579" s="22"/>
      <c r="I579" s="22"/>
      <c r="J579" s="22"/>
      <c r="K579" s="22"/>
    </row>
    <row r="580" spans="1:11" s="21" customFormat="1" ht="12.75">
      <c r="A580" s="23"/>
      <c r="B580" s="23"/>
      <c r="C580" s="23"/>
      <c r="D580" s="23"/>
      <c r="E580" s="22"/>
      <c r="F580" s="22"/>
      <c r="G580" s="22"/>
      <c r="H580" s="22"/>
      <c r="I580" s="22"/>
      <c r="J580" s="22"/>
      <c r="K580" s="22"/>
    </row>
    <row r="581" spans="1:11" s="21" customFormat="1" ht="12.75">
      <c r="A581" s="23"/>
      <c r="B581" s="23"/>
      <c r="C581" s="23"/>
      <c r="D581" s="23"/>
      <c r="E581" s="22"/>
      <c r="F581" s="22"/>
      <c r="G581" s="22"/>
      <c r="H581" s="22"/>
      <c r="I581" s="22"/>
      <c r="J581" s="22"/>
      <c r="K581" s="22"/>
    </row>
    <row r="582" spans="1:11" s="21" customFormat="1" ht="12.75">
      <c r="A582" s="23"/>
      <c r="B582" s="23"/>
      <c r="C582" s="23"/>
      <c r="D582" s="23"/>
      <c r="E582" s="22"/>
      <c r="F582" s="22"/>
      <c r="G582" s="22"/>
      <c r="H582" s="22"/>
      <c r="I582" s="22"/>
      <c r="J582" s="22"/>
      <c r="K582" s="22"/>
    </row>
    <row r="583" spans="1:11" s="21" customFormat="1" ht="12.75">
      <c r="A583" s="23"/>
      <c r="B583" s="23"/>
      <c r="C583" s="23"/>
      <c r="D583" s="23"/>
      <c r="E583" s="22"/>
      <c r="F583" s="22"/>
      <c r="G583" s="22"/>
      <c r="H583" s="22"/>
      <c r="I583" s="22"/>
      <c r="J583" s="22"/>
      <c r="K583" s="22"/>
    </row>
    <row r="584" spans="1:11" s="21" customFormat="1" ht="12.75">
      <c r="A584" s="23"/>
      <c r="B584" s="23"/>
      <c r="C584" s="23"/>
      <c r="D584" s="23"/>
      <c r="E584" s="22"/>
      <c r="F584" s="22"/>
      <c r="G584" s="22"/>
      <c r="H584" s="22"/>
      <c r="I584" s="22"/>
      <c r="J584" s="22"/>
      <c r="K584" s="22"/>
    </row>
    <row r="585" spans="1:11" s="21" customFormat="1" ht="12.75">
      <c r="A585" s="23"/>
      <c r="B585" s="23"/>
      <c r="C585" s="23"/>
      <c r="D585" s="23"/>
      <c r="E585" s="22"/>
      <c r="F585" s="22"/>
      <c r="G585" s="22"/>
      <c r="H585" s="22"/>
      <c r="I585" s="22"/>
      <c r="J585" s="22"/>
      <c r="K585" s="22"/>
    </row>
    <row r="586" spans="1:11" s="21" customFormat="1" ht="12.75">
      <c r="A586" s="23"/>
      <c r="B586" s="23"/>
      <c r="C586" s="23"/>
      <c r="D586" s="23"/>
      <c r="E586" s="22"/>
      <c r="F586" s="22"/>
      <c r="G586" s="22"/>
      <c r="H586" s="22"/>
      <c r="I586" s="22"/>
      <c r="J586" s="22"/>
      <c r="K586" s="22"/>
    </row>
    <row r="587" spans="1:11" s="21" customFormat="1" ht="12.75">
      <c r="A587" s="23"/>
      <c r="B587" s="23"/>
      <c r="C587" s="23"/>
      <c r="D587" s="23"/>
      <c r="E587" s="22"/>
      <c r="F587" s="22"/>
      <c r="G587" s="22"/>
      <c r="H587" s="22"/>
      <c r="I587" s="22"/>
      <c r="J587" s="22"/>
      <c r="K587" s="22"/>
    </row>
    <row r="588" spans="1:11" s="21" customFormat="1" ht="12.75">
      <c r="A588" s="23"/>
      <c r="B588" s="23"/>
      <c r="C588" s="23"/>
      <c r="D588" s="23"/>
      <c r="E588" s="22"/>
      <c r="F588" s="22"/>
      <c r="G588" s="22"/>
      <c r="H588" s="22"/>
      <c r="I588" s="22"/>
      <c r="J588" s="22"/>
      <c r="K588" s="22"/>
    </row>
    <row r="589" spans="1:11" s="21" customFormat="1" ht="12.75">
      <c r="A589" s="23"/>
      <c r="B589" s="23"/>
      <c r="C589" s="23"/>
      <c r="D589" s="23"/>
      <c r="E589" s="22"/>
      <c r="F589" s="22"/>
      <c r="G589" s="22"/>
      <c r="H589" s="22"/>
      <c r="I589" s="22"/>
      <c r="J589" s="22"/>
      <c r="K589" s="22"/>
    </row>
    <row r="590" spans="1:11" s="21" customFormat="1" ht="12.75">
      <c r="A590" s="23"/>
      <c r="B590" s="23"/>
      <c r="C590" s="23"/>
      <c r="D590" s="23"/>
      <c r="E590" s="22"/>
      <c r="F590" s="22"/>
      <c r="G590" s="22"/>
      <c r="H590" s="22"/>
      <c r="I590" s="22"/>
      <c r="J590" s="22"/>
      <c r="K590" s="22"/>
    </row>
    <row r="591" spans="1:11" s="21" customFormat="1" ht="12.75">
      <c r="A591" s="23"/>
      <c r="B591" s="23"/>
      <c r="C591" s="23"/>
      <c r="D591" s="23"/>
      <c r="E591" s="22"/>
      <c r="F591" s="22"/>
      <c r="G591" s="22"/>
      <c r="H591" s="22"/>
      <c r="I591" s="22"/>
      <c r="J591" s="22"/>
      <c r="K591" s="22"/>
    </row>
    <row r="592" spans="1:11" s="21" customFormat="1" ht="12.75">
      <c r="A592" s="23"/>
      <c r="B592" s="23"/>
      <c r="C592" s="23"/>
      <c r="D592" s="23"/>
      <c r="E592" s="22"/>
      <c r="F592" s="22"/>
      <c r="G592" s="22"/>
      <c r="H592" s="22"/>
      <c r="I592" s="22"/>
      <c r="J592" s="22"/>
      <c r="K592" s="22"/>
    </row>
    <row r="593" spans="1:11" s="21" customFormat="1" ht="12.75">
      <c r="A593" s="23"/>
      <c r="B593" s="23"/>
      <c r="C593" s="23"/>
      <c r="D593" s="23"/>
      <c r="E593" s="22"/>
      <c r="F593" s="22"/>
      <c r="G593" s="22"/>
      <c r="H593" s="22"/>
      <c r="I593" s="22"/>
      <c r="J593" s="22"/>
      <c r="K593" s="22"/>
    </row>
    <row r="594" spans="1:11" s="21" customFormat="1" ht="12.75">
      <c r="A594" s="23"/>
      <c r="B594" s="23"/>
      <c r="C594" s="23"/>
      <c r="D594" s="23"/>
      <c r="E594" s="22"/>
      <c r="F594" s="22"/>
      <c r="G594" s="22"/>
      <c r="H594" s="22"/>
      <c r="I594" s="22"/>
      <c r="J594" s="22"/>
      <c r="K594" s="22"/>
    </row>
    <row r="595" spans="1:11" s="21" customFormat="1" ht="12.75">
      <c r="A595" s="23"/>
      <c r="B595" s="23"/>
      <c r="C595" s="23"/>
      <c r="D595" s="23"/>
      <c r="E595" s="22"/>
      <c r="F595" s="22"/>
      <c r="G595" s="22"/>
      <c r="H595" s="22"/>
      <c r="I595" s="22"/>
      <c r="J595" s="22"/>
      <c r="K595" s="22"/>
    </row>
    <row r="596" spans="1:11" s="21" customFormat="1" ht="12.75">
      <c r="A596" s="23"/>
      <c r="B596" s="23"/>
      <c r="C596" s="23"/>
      <c r="D596" s="23"/>
      <c r="E596" s="22"/>
      <c r="F596" s="22"/>
      <c r="G596" s="22"/>
      <c r="H596" s="22"/>
      <c r="I596" s="22"/>
      <c r="J596" s="22"/>
      <c r="K596" s="22"/>
    </row>
    <row r="597" spans="1:11" s="21" customFormat="1" ht="12.75">
      <c r="A597" s="23"/>
      <c r="B597" s="23"/>
      <c r="C597" s="23"/>
      <c r="D597" s="23"/>
      <c r="E597" s="22"/>
      <c r="F597" s="22"/>
      <c r="G597" s="22"/>
      <c r="H597" s="22"/>
      <c r="I597" s="22"/>
      <c r="J597" s="22"/>
      <c r="K597" s="22"/>
    </row>
    <row r="598" spans="1:11" s="21" customFormat="1" ht="12.75">
      <c r="A598" s="23"/>
      <c r="B598" s="23"/>
      <c r="C598" s="23"/>
      <c r="D598" s="23"/>
      <c r="E598" s="22"/>
      <c r="F598" s="22"/>
      <c r="G598" s="22"/>
      <c r="H598" s="22"/>
      <c r="I598" s="22"/>
      <c r="J598" s="22"/>
      <c r="K598" s="22"/>
    </row>
    <row r="599" spans="1:11" s="21" customFormat="1" ht="12.75">
      <c r="A599" s="23"/>
      <c r="B599" s="23"/>
      <c r="C599" s="23"/>
      <c r="D599" s="23"/>
      <c r="E599" s="22"/>
      <c r="F599" s="22"/>
      <c r="G599" s="22"/>
      <c r="H599" s="22"/>
      <c r="I599" s="22"/>
      <c r="J599" s="22"/>
      <c r="K599" s="22"/>
    </row>
    <row r="600" spans="1:11" s="21" customFormat="1" ht="12.75">
      <c r="A600" s="23"/>
      <c r="B600" s="23"/>
      <c r="C600" s="23"/>
      <c r="D600" s="23"/>
      <c r="E600" s="22"/>
      <c r="F600" s="22"/>
      <c r="G600" s="22"/>
      <c r="H600" s="22"/>
      <c r="I600" s="22"/>
      <c r="J600" s="22"/>
      <c r="K600" s="22"/>
    </row>
    <row r="601" spans="1:11" s="21" customFormat="1" ht="12.75">
      <c r="A601" s="23"/>
      <c r="B601" s="23"/>
      <c r="C601" s="23"/>
      <c r="D601" s="23"/>
      <c r="E601" s="22"/>
      <c r="F601" s="22"/>
      <c r="G601" s="22"/>
      <c r="H601" s="22"/>
      <c r="I601" s="22"/>
      <c r="J601" s="22"/>
      <c r="K601" s="22"/>
    </row>
    <row r="602" spans="1:11" s="21" customFormat="1" ht="12.75">
      <c r="A602" s="23"/>
      <c r="B602" s="23"/>
      <c r="C602" s="23"/>
      <c r="D602" s="23"/>
      <c r="E602" s="22"/>
      <c r="F602" s="22"/>
      <c r="G602" s="22"/>
      <c r="H602" s="22"/>
      <c r="I602" s="22"/>
      <c r="J602" s="22"/>
      <c r="K602" s="22"/>
    </row>
    <row r="603" spans="1:11" s="21" customFormat="1" ht="12.75">
      <c r="A603" s="23"/>
      <c r="B603" s="23"/>
      <c r="C603" s="23"/>
      <c r="D603" s="23"/>
      <c r="E603" s="22"/>
      <c r="F603" s="22"/>
      <c r="G603" s="22"/>
      <c r="H603" s="22"/>
      <c r="I603" s="22"/>
      <c r="J603" s="22"/>
      <c r="K603" s="22"/>
    </row>
    <row r="604" spans="1:11" s="21" customFormat="1" ht="12.75">
      <c r="A604" s="23"/>
      <c r="B604" s="23"/>
      <c r="C604" s="23"/>
      <c r="D604" s="23"/>
      <c r="E604" s="22"/>
      <c r="F604" s="22"/>
      <c r="G604" s="22"/>
      <c r="H604" s="22"/>
      <c r="I604" s="22"/>
      <c r="J604" s="22"/>
      <c r="K604" s="22"/>
    </row>
    <row r="605" spans="1:11" s="21" customFormat="1" ht="12.75">
      <c r="A605" s="23"/>
      <c r="B605" s="23"/>
      <c r="C605" s="23"/>
      <c r="D605" s="23"/>
      <c r="E605" s="22"/>
      <c r="F605" s="22"/>
      <c r="G605" s="22"/>
      <c r="H605" s="22"/>
      <c r="I605" s="22"/>
      <c r="J605" s="22"/>
      <c r="K605" s="22"/>
    </row>
    <row r="606" spans="1:11" s="21" customFormat="1" ht="12.75">
      <c r="A606" s="23"/>
      <c r="B606" s="23"/>
      <c r="C606" s="23"/>
      <c r="D606" s="23"/>
      <c r="E606" s="22"/>
      <c r="F606" s="22"/>
      <c r="G606" s="22"/>
      <c r="H606" s="22"/>
      <c r="I606" s="22"/>
      <c r="J606" s="22"/>
      <c r="K606" s="22"/>
    </row>
    <row r="607" spans="1:11" s="21" customFormat="1" ht="12.75">
      <c r="A607" s="23"/>
      <c r="B607" s="23"/>
      <c r="C607" s="23"/>
      <c r="D607" s="23"/>
      <c r="E607" s="22"/>
      <c r="F607" s="22"/>
      <c r="G607" s="22"/>
      <c r="H607" s="22"/>
      <c r="I607" s="22"/>
      <c r="J607" s="22"/>
      <c r="K607" s="22"/>
    </row>
    <row r="608" spans="1:11" s="21" customFormat="1" ht="12.75">
      <c r="A608" s="23"/>
      <c r="B608" s="23"/>
      <c r="C608" s="23"/>
      <c r="D608" s="23"/>
      <c r="E608" s="22"/>
      <c r="F608" s="22"/>
      <c r="G608" s="22"/>
      <c r="H608" s="22"/>
      <c r="I608" s="22"/>
      <c r="J608" s="22"/>
      <c r="K608" s="22"/>
    </row>
    <row r="609" spans="1:11" s="21" customFormat="1" ht="12.75">
      <c r="A609" s="23"/>
      <c r="B609" s="23"/>
      <c r="C609" s="23"/>
      <c r="D609" s="23"/>
      <c r="E609" s="22"/>
      <c r="F609" s="22"/>
      <c r="G609" s="22"/>
      <c r="H609" s="22"/>
      <c r="I609" s="22"/>
      <c r="J609" s="22"/>
      <c r="K609" s="22"/>
    </row>
    <row r="610" spans="1:11" s="21" customFormat="1" ht="12.75">
      <c r="A610" s="23"/>
      <c r="B610" s="23"/>
      <c r="C610" s="23"/>
      <c r="D610" s="23"/>
      <c r="E610" s="22"/>
      <c r="F610" s="22"/>
      <c r="G610" s="22"/>
      <c r="H610" s="22"/>
      <c r="I610" s="22"/>
      <c r="J610" s="22"/>
      <c r="K610" s="22"/>
    </row>
    <row r="611" spans="1:11" s="21" customFormat="1" ht="12.75">
      <c r="A611" s="23"/>
      <c r="B611" s="23"/>
      <c r="C611" s="23"/>
      <c r="D611" s="23"/>
      <c r="E611" s="22"/>
      <c r="F611" s="22"/>
      <c r="G611" s="22"/>
      <c r="H611" s="22"/>
      <c r="I611" s="22"/>
      <c r="J611" s="22"/>
      <c r="K611" s="22"/>
    </row>
    <row r="612" spans="1:11" s="21" customFormat="1" ht="12.75">
      <c r="A612" s="23"/>
      <c r="B612" s="23"/>
      <c r="C612" s="23"/>
      <c r="D612" s="23"/>
      <c r="E612" s="22"/>
      <c r="F612" s="22"/>
      <c r="G612" s="22"/>
      <c r="H612" s="22"/>
      <c r="I612" s="22"/>
      <c r="J612" s="22"/>
      <c r="K612" s="22"/>
    </row>
    <row r="613" spans="1:11" s="21" customFormat="1" ht="12.75">
      <c r="A613" s="23"/>
      <c r="B613" s="23"/>
      <c r="C613" s="23"/>
      <c r="D613" s="23"/>
      <c r="E613" s="22"/>
      <c r="F613" s="22"/>
      <c r="G613" s="22"/>
      <c r="H613" s="22"/>
      <c r="I613" s="22"/>
      <c r="J613" s="22"/>
      <c r="K613" s="22"/>
    </row>
    <row r="614" spans="1:11" s="21" customFormat="1" ht="12.75">
      <c r="A614" s="23"/>
      <c r="B614" s="23"/>
      <c r="C614" s="23"/>
      <c r="D614" s="23"/>
      <c r="E614" s="22"/>
      <c r="F614" s="22"/>
      <c r="G614" s="22"/>
      <c r="H614" s="22"/>
      <c r="I614" s="22"/>
      <c r="J614" s="22"/>
      <c r="K614" s="22"/>
    </row>
    <row r="615" spans="1:11" s="21" customFormat="1" ht="12.75">
      <c r="A615" s="23"/>
      <c r="B615" s="23"/>
      <c r="C615" s="23"/>
      <c r="D615" s="23"/>
      <c r="E615" s="22"/>
      <c r="F615" s="22"/>
      <c r="G615" s="22"/>
      <c r="H615" s="22"/>
      <c r="I615" s="22"/>
      <c r="J615" s="22"/>
      <c r="K615" s="22"/>
    </row>
    <row r="616" spans="1:11" s="21" customFormat="1" ht="12.75">
      <c r="A616" s="23"/>
      <c r="B616" s="23"/>
      <c r="C616" s="23"/>
      <c r="D616" s="23"/>
      <c r="E616" s="22"/>
      <c r="F616" s="22"/>
      <c r="G616" s="22"/>
      <c r="H616" s="22"/>
      <c r="I616" s="22"/>
      <c r="J616" s="22"/>
      <c r="K616" s="22"/>
    </row>
    <row r="617" spans="1:11" s="21" customFormat="1" ht="12.75">
      <c r="A617" s="23"/>
      <c r="B617" s="23"/>
      <c r="C617" s="23"/>
      <c r="D617" s="23"/>
      <c r="E617" s="22"/>
      <c r="F617" s="22"/>
      <c r="G617" s="22"/>
      <c r="H617" s="22"/>
      <c r="I617" s="22"/>
      <c r="J617" s="22"/>
      <c r="K617" s="22"/>
    </row>
    <row r="618" spans="1:11" s="21" customFormat="1" ht="12.75">
      <c r="A618" s="23"/>
      <c r="B618" s="23"/>
      <c r="C618" s="23"/>
      <c r="D618" s="23"/>
      <c r="E618" s="22"/>
      <c r="F618" s="22"/>
      <c r="G618" s="22"/>
      <c r="H618" s="22"/>
      <c r="I618" s="22"/>
      <c r="J618" s="22"/>
      <c r="K618" s="22"/>
    </row>
    <row r="619" spans="1:11" s="21" customFormat="1" ht="12.75">
      <c r="A619" s="23"/>
      <c r="B619" s="23"/>
      <c r="C619" s="23"/>
      <c r="D619" s="23"/>
      <c r="E619" s="22"/>
      <c r="F619" s="22"/>
      <c r="G619" s="22"/>
      <c r="H619" s="22"/>
      <c r="I619" s="22"/>
      <c r="J619" s="22"/>
      <c r="K619" s="22"/>
    </row>
    <row r="620" spans="1:11" s="21" customFormat="1" ht="12.75">
      <c r="A620" s="23"/>
      <c r="B620" s="23"/>
      <c r="C620" s="23"/>
      <c r="D620" s="23"/>
      <c r="E620" s="22"/>
      <c r="F620" s="22"/>
      <c r="G620" s="22"/>
      <c r="H620" s="22"/>
      <c r="I620" s="22"/>
      <c r="J620" s="22"/>
      <c r="K620" s="22"/>
    </row>
    <row r="621" spans="1:11" s="21" customFormat="1" ht="12.75">
      <c r="A621" s="23"/>
      <c r="B621" s="23"/>
      <c r="C621" s="23"/>
      <c r="D621" s="23"/>
      <c r="E621" s="22"/>
      <c r="F621" s="22"/>
      <c r="G621" s="22"/>
      <c r="H621" s="22"/>
      <c r="I621" s="22"/>
      <c r="J621" s="22"/>
      <c r="K621" s="22"/>
    </row>
    <row r="622" spans="1:11" s="21" customFormat="1" ht="12.75">
      <c r="A622" s="23"/>
      <c r="B622" s="23"/>
      <c r="C622" s="23"/>
      <c r="D622" s="23"/>
      <c r="E622" s="22"/>
      <c r="F622" s="22"/>
      <c r="G622" s="22"/>
      <c r="H622" s="22"/>
      <c r="I622" s="22"/>
      <c r="J622" s="22"/>
      <c r="K622" s="22"/>
    </row>
    <row r="623" spans="1:11" s="21" customFormat="1" ht="12.75">
      <c r="A623" s="23"/>
      <c r="B623" s="23"/>
      <c r="C623" s="23"/>
      <c r="D623" s="23"/>
      <c r="E623" s="22"/>
      <c r="F623" s="22"/>
      <c r="G623" s="22"/>
      <c r="H623" s="22"/>
      <c r="I623" s="22"/>
      <c r="J623" s="22"/>
      <c r="K623" s="22"/>
    </row>
    <row r="624" spans="1:11" s="21" customFormat="1" ht="12.75">
      <c r="A624" s="23"/>
      <c r="B624" s="23"/>
      <c r="C624" s="23"/>
      <c r="D624" s="23"/>
      <c r="E624" s="22"/>
      <c r="F624" s="22"/>
      <c r="G624" s="22"/>
      <c r="H624" s="22"/>
      <c r="I624" s="22"/>
      <c r="J624" s="22"/>
      <c r="K624" s="22"/>
    </row>
    <row r="625" spans="1:11" s="21" customFormat="1" ht="12.75">
      <c r="A625" s="23"/>
      <c r="B625" s="23"/>
      <c r="C625" s="23"/>
      <c r="D625" s="23"/>
      <c r="E625" s="22"/>
      <c r="F625" s="22"/>
      <c r="G625" s="22"/>
      <c r="H625" s="22"/>
      <c r="I625" s="22"/>
      <c r="J625" s="22"/>
      <c r="K625" s="22"/>
    </row>
    <row r="626" spans="1:11" s="21" customFormat="1" ht="12.75">
      <c r="A626" s="23"/>
      <c r="B626" s="23"/>
      <c r="C626" s="23"/>
      <c r="D626" s="23"/>
      <c r="E626" s="22"/>
      <c r="F626" s="22"/>
      <c r="G626" s="22"/>
      <c r="H626" s="22"/>
      <c r="I626" s="22"/>
      <c r="J626" s="22"/>
      <c r="K626" s="22"/>
    </row>
    <row r="627" spans="1:11" s="21" customFormat="1" ht="12.75">
      <c r="A627" s="23"/>
      <c r="B627" s="23"/>
      <c r="C627" s="23"/>
      <c r="D627" s="23"/>
      <c r="E627" s="22"/>
      <c r="F627" s="22"/>
      <c r="G627" s="22"/>
      <c r="H627" s="22"/>
      <c r="I627" s="22"/>
      <c r="J627" s="22"/>
      <c r="K627" s="22"/>
    </row>
    <row r="628" spans="1:11" s="21" customFormat="1" ht="12.75">
      <c r="A628" s="23"/>
      <c r="B628" s="23"/>
      <c r="C628" s="23"/>
      <c r="D628" s="23"/>
      <c r="E628" s="22"/>
      <c r="F628" s="22"/>
      <c r="G628" s="22"/>
      <c r="H628" s="22"/>
      <c r="I628" s="22"/>
      <c r="J628" s="22"/>
      <c r="K628" s="22"/>
    </row>
    <row r="629" spans="1:11" s="21" customFormat="1" ht="12.75">
      <c r="A629" s="23"/>
      <c r="B629" s="23"/>
      <c r="C629" s="23"/>
      <c r="D629" s="23"/>
      <c r="E629" s="22"/>
      <c r="F629" s="22"/>
      <c r="G629" s="22"/>
      <c r="H629" s="22"/>
      <c r="I629" s="22"/>
      <c r="J629" s="22"/>
      <c r="K629" s="22"/>
    </row>
    <row r="630" spans="1:11" s="21" customFormat="1" ht="12.75">
      <c r="A630" s="23"/>
      <c r="B630" s="23"/>
      <c r="C630" s="23"/>
      <c r="D630" s="23"/>
      <c r="E630" s="22"/>
      <c r="F630" s="22"/>
      <c r="G630" s="22"/>
      <c r="H630" s="22"/>
      <c r="I630" s="22"/>
      <c r="J630" s="22"/>
      <c r="K630" s="22"/>
    </row>
    <row r="631" spans="1:11" s="21" customFormat="1" ht="12.75">
      <c r="A631" s="23"/>
      <c r="B631" s="23"/>
      <c r="C631" s="23"/>
      <c r="D631" s="23"/>
      <c r="E631" s="22"/>
      <c r="F631" s="22"/>
      <c r="G631" s="22"/>
      <c r="H631" s="22"/>
      <c r="I631" s="22"/>
      <c r="J631" s="22"/>
      <c r="K631" s="22"/>
    </row>
    <row r="632" spans="1:11" s="21" customFormat="1" ht="12.75">
      <c r="A632" s="23"/>
      <c r="B632" s="23"/>
      <c r="C632" s="23"/>
      <c r="D632" s="23"/>
      <c r="E632" s="22"/>
      <c r="F632" s="22"/>
      <c r="G632" s="22"/>
      <c r="H632" s="22"/>
      <c r="I632" s="22"/>
      <c r="J632" s="22"/>
      <c r="K632" s="22"/>
    </row>
    <row r="633" spans="1:11" s="21" customFormat="1" ht="12.75">
      <c r="A633" s="23"/>
      <c r="B633" s="23"/>
      <c r="C633" s="23"/>
      <c r="D633" s="23"/>
      <c r="E633" s="22"/>
      <c r="F633" s="22"/>
      <c r="G633" s="22"/>
      <c r="H633" s="22"/>
      <c r="I633" s="22"/>
      <c r="J633" s="22"/>
      <c r="K633" s="22"/>
    </row>
    <row r="634" spans="1:11" s="21" customFormat="1" ht="12.75">
      <c r="A634" s="23"/>
      <c r="B634" s="23"/>
      <c r="C634" s="23"/>
      <c r="D634" s="23"/>
      <c r="E634" s="22"/>
      <c r="F634" s="22"/>
      <c r="G634" s="22"/>
      <c r="H634" s="22"/>
      <c r="I634" s="22"/>
      <c r="J634" s="22"/>
      <c r="K634" s="22"/>
    </row>
    <row r="635" spans="1:11" s="21" customFormat="1" ht="12.75">
      <c r="A635" s="23"/>
      <c r="B635" s="23"/>
      <c r="C635" s="23"/>
      <c r="D635" s="23"/>
      <c r="E635" s="22"/>
      <c r="F635" s="22"/>
      <c r="G635" s="22"/>
      <c r="H635" s="22"/>
      <c r="I635" s="22"/>
      <c r="J635" s="22"/>
      <c r="K635" s="22"/>
    </row>
    <row r="636" spans="1:11" s="21" customFormat="1" ht="12.75">
      <c r="A636" s="23"/>
      <c r="B636" s="23"/>
      <c r="C636" s="23"/>
      <c r="D636" s="23"/>
      <c r="E636" s="22"/>
      <c r="F636" s="22"/>
      <c r="G636" s="22"/>
      <c r="H636" s="22"/>
      <c r="I636" s="22"/>
      <c r="J636" s="22"/>
      <c r="K636" s="22"/>
    </row>
    <row r="637" spans="1:11" s="21" customFormat="1" ht="12.75">
      <c r="A637" s="23"/>
      <c r="B637" s="23"/>
      <c r="C637" s="23"/>
      <c r="D637" s="23"/>
      <c r="E637" s="22"/>
      <c r="F637" s="22"/>
      <c r="G637" s="22"/>
      <c r="H637" s="22"/>
      <c r="I637" s="22"/>
      <c r="J637" s="22"/>
      <c r="K637" s="22"/>
    </row>
    <row r="638" spans="1:11" s="21" customFormat="1" ht="12.75">
      <c r="A638" s="23"/>
      <c r="B638" s="23"/>
      <c r="C638" s="23"/>
      <c r="D638" s="23"/>
      <c r="E638" s="22"/>
      <c r="F638" s="22"/>
      <c r="G638" s="22"/>
      <c r="H638" s="22"/>
      <c r="I638" s="22"/>
      <c r="J638" s="22"/>
      <c r="K638" s="22"/>
    </row>
    <row r="639" spans="1:11" s="21" customFormat="1" ht="12.75">
      <c r="A639" s="23"/>
      <c r="B639" s="23"/>
      <c r="C639" s="23"/>
      <c r="D639" s="23"/>
      <c r="E639" s="22"/>
      <c r="F639" s="22"/>
      <c r="G639" s="22"/>
      <c r="H639" s="22"/>
      <c r="I639" s="22"/>
      <c r="J639" s="22"/>
      <c r="K639" s="22"/>
    </row>
    <row r="640" spans="1:11" s="21" customFormat="1" ht="12.75">
      <c r="A640" s="23"/>
      <c r="B640" s="23"/>
      <c r="C640" s="23"/>
      <c r="D640" s="23"/>
      <c r="E640" s="22"/>
      <c r="F640" s="22"/>
      <c r="G640" s="22"/>
      <c r="H640" s="22"/>
      <c r="I640" s="22"/>
      <c r="J640" s="22"/>
      <c r="K640" s="22"/>
    </row>
    <row r="641" spans="1:11" s="21" customFormat="1" ht="12.75">
      <c r="A641" s="23"/>
      <c r="B641" s="23"/>
      <c r="C641" s="23"/>
      <c r="D641" s="23"/>
      <c r="E641" s="22"/>
      <c r="F641" s="22"/>
      <c r="G641" s="22"/>
      <c r="H641" s="22"/>
      <c r="I641" s="22"/>
      <c r="J641" s="22"/>
      <c r="K641" s="22"/>
    </row>
    <row r="642" spans="1:11" s="21" customFormat="1" ht="12.75">
      <c r="A642" s="23"/>
      <c r="B642" s="23"/>
      <c r="C642" s="23"/>
      <c r="D642" s="23"/>
      <c r="E642" s="22"/>
      <c r="F642" s="22"/>
      <c r="G642" s="22"/>
      <c r="H642" s="22"/>
      <c r="I642" s="22"/>
      <c r="J642" s="22"/>
      <c r="K642" s="22"/>
    </row>
    <row r="643" spans="1:11" s="21" customFormat="1" ht="12.75">
      <c r="A643" s="23"/>
      <c r="B643" s="23"/>
      <c r="C643" s="23"/>
      <c r="D643" s="23"/>
      <c r="E643" s="22"/>
      <c r="F643" s="22"/>
      <c r="G643" s="22"/>
      <c r="H643" s="22"/>
      <c r="I643" s="22"/>
      <c r="J643" s="22"/>
      <c r="K643" s="22"/>
    </row>
    <row r="644" spans="1:11" s="21" customFormat="1" ht="12.75">
      <c r="A644" s="23"/>
      <c r="B644" s="23"/>
      <c r="C644" s="23"/>
      <c r="D644" s="23"/>
      <c r="E644" s="22"/>
      <c r="F644" s="22"/>
      <c r="G644" s="22"/>
      <c r="H644" s="22"/>
      <c r="I644" s="22"/>
      <c r="J644" s="22"/>
      <c r="K644" s="22"/>
    </row>
    <row r="645" spans="1:11" s="21" customFormat="1" ht="12.75">
      <c r="A645" s="23"/>
      <c r="B645" s="23"/>
      <c r="C645" s="23"/>
      <c r="D645" s="23"/>
      <c r="E645" s="22"/>
      <c r="F645" s="22"/>
      <c r="G645" s="22"/>
      <c r="H645" s="22"/>
      <c r="I645" s="22"/>
      <c r="J645" s="22"/>
      <c r="K645" s="22"/>
    </row>
    <row r="646" spans="1:11" s="21" customFormat="1" ht="12.75">
      <c r="A646" s="23"/>
      <c r="B646" s="23"/>
      <c r="C646" s="23"/>
      <c r="D646" s="23"/>
      <c r="E646" s="22"/>
      <c r="F646" s="22"/>
      <c r="G646" s="22"/>
      <c r="H646" s="22"/>
      <c r="I646" s="22"/>
      <c r="J646" s="22"/>
      <c r="K646" s="22"/>
    </row>
  </sheetData>
  <sheetProtection/>
  <mergeCells count="1">
    <mergeCell ref="A5:I5"/>
  </mergeCells>
  <printOptions horizontalCentered="1"/>
  <pageMargins left="0.5118110236220472" right="0.5118110236220472" top="0.7874015748031497" bottom="0.5905511811023623" header="0.5118110236220472" footer="0.31496062992125984"/>
  <pageSetup firstPageNumber="1" useFirstPageNumber="1" horizontalDpi="600" verticalDpi="600" orientation="portrait" paperSize="9" r:id="rId3"/>
  <headerFooter alignWithMargins="0">
    <oddFooter>&amp;C&amp;8Wydatki - str. 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7"/>
  <sheetViews>
    <sheetView zoomScalePageLayoutView="0" workbookViewId="0" topLeftCell="A19">
      <selection activeCell="I33" sqref="A1:I33"/>
    </sheetView>
  </sheetViews>
  <sheetFormatPr defaultColWidth="9.00390625" defaultRowHeight="12.75"/>
  <cols>
    <col min="1" max="1" width="5.625" style="8" customWidth="1"/>
    <col min="2" max="2" width="6.625" style="8" customWidth="1"/>
    <col min="3" max="3" width="5.75390625" style="8" customWidth="1"/>
    <col min="4" max="4" width="33.25390625" style="8" customWidth="1"/>
    <col min="5" max="5" width="13.75390625" style="8" hidden="1" customWidth="1"/>
    <col min="6" max="6" width="14.875" style="8" hidden="1" customWidth="1"/>
    <col min="7" max="7" width="14.125" style="8" customWidth="1"/>
    <col min="8" max="8" width="14.875" style="8" customWidth="1"/>
    <col min="9" max="9" width="14.125" style="8" customWidth="1"/>
  </cols>
  <sheetData>
    <row r="1" spans="1:9" ht="12.75">
      <c r="A1" s="49"/>
      <c r="B1" s="49"/>
      <c r="C1" s="49"/>
      <c r="D1" s="49"/>
      <c r="E1" s="50" t="s">
        <v>315</v>
      </c>
      <c r="F1" s="50"/>
      <c r="G1" s="50" t="s">
        <v>332</v>
      </c>
      <c r="H1" s="50"/>
      <c r="I1" s="50"/>
    </row>
    <row r="2" spans="1:9" ht="12.75">
      <c r="A2" s="49"/>
      <c r="B2" s="49"/>
      <c r="C2" s="49"/>
      <c r="D2" s="49"/>
      <c r="E2" s="50" t="s">
        <v>310</v>
      </c>
      <c r="F2" s="50"/>
      <c r="G2" s="50" t="s">
        <v>329</v>
      </c>
      <c r="H2" s="50"/>
      <c r="I2" s="50"/>
    </row>
    <row r="3" spans="1:9" ht="12.75">
      <c r="A3" s="49"/>
      <c r="B3" s="49"/>
      <c r="C3" s="49"/>
      <c r="D3" s="49"/>
      <c r="E3" s="50" t="s">
        <v>316</v>
      </c>
      <c r="F3" s="50"/>
      <c r="G3" s="50" t="s">
        <v>315</v>
      </c>
      <c r="H3" s="50"/>
      <c r="I3" s="50"/>
    </row>
    <row r="4" spans="1:9" ht="12.75">
      <c r="A4" s="49"/>
      <c r="B4" s="49"/>
      <c r="C4" s="49"/>
      <c r="D4" s="49"/>
      <c r="E4" s="50" t="s">
        <v>312</v>
      </c>
      <c r="F4" s="50"/>
      <c r="G4" s="50" t="s">
        <v>318</v>
      </c>
      <c r="H4" s="50"/>
      <c r="I4" s="50"/>
    </row>
    <row r="5" spans="1:9" ht="20.25" customHeight="1">
      <c r="A5" s="198" t="s">
        <v>297</v>
      </c>
      <c r="B5" s="198"/>
      <c r="C5" s="198"/>
      <c r="D5" s="198"/>
      <c r="E5" s="198"/>
      <c r="F5" s="198"/>
      <c r="G5" s="198"/>
      <c r="H5" s="198"/>
      <c r="I5" s="198"/>
    </row>
    <row r="6" spans="1:9" s="8" customFormat="1" ht="28.5" customHeight="1">
      <c r="A6" s="54" t="s">
        <v>0</v>
      </c>
      <c r="B6" s="54" t="s">
        <v>1</v>
      </c>
      <c r="C6" s="88" t="s">
        <v>2</v>
      </c>
      <c r="D6" s="54" t="s">
        <v>3</v>
      </c>
      <c r="E6" s="97" t="s">
        <v>144</v>
      </c>
      <c r="F6" s="97" t="s">
        <v>308</v>
      </c>
      <c r="G6" s="97" t="s">
        <v>333</v>
      </c>
      <c r="H6" s="97" t="s">
        <v>308</v>
      </c>
      <c r="I6" s="97" t="s">
        <v>306</v>
      </c>
    </row>
    <row r="7" spans="1:9" s="8" customFormat="1" ht="18" customHeight="1">
      <c r="A7" s="33" t="s">
        <v>15</v>
      </c>
      <c r="B7" s="26"/>
      <c r="C7" s="48"/>
      <c r="D7" s="36" t="s">
        <v>16</v>
      </c>
      <c r="E7" s="56">
        <f>SUM(E8)</f>
        <v>156600</v>
      </c>
      <c r="F7" s="56">
        <f>SUM(F8)</f>
        <v>0</v>
      </c>
      <c r="G7" s="56">
        <f>SUM(G8)</f>
        <v>156600</v>
      </c>
      <c r="H7" s="56">
        <f>SUM(H8)</f>
        <v>0</v>
      </c>
      <c r="I7" s="56">
        <f>SUM(I8)</f>
        <v>156600</v>
      </c>
    </row>
    <row r="8" spans="1:9" s="24" customFormat="1" ht="17.25" customHeight="1">
      <c r="A8" s="60"/>
      <c r="B8" s="60">
        <v>75011</v>
      </c>
      <c r="C8" s="61"/>
      <c r="D8" s="38" t="s">
        <v>17</v>
      </c>
      <c r="E8" s="86">
        <f>E9</f>
        <v>156600</v>
      </c>
      <c r="F8" s="86">
        <f>F9</f>
        <v>0</v>
      </c>
      <c r="G8" s="86">
        <f>G9</f>
        <v>156600</v>
      </c>
      <c r="H8" s="86">
        <f>H9</f>
        <v>0</v>
      </c>
      <c r="I8" s="86">
        <f>I9</f>
        <v>156600</v>
      </c>
    </row>
    <row r="9" spans="1:9" s="24" customFormat="1" ht="61.5" customHeight="1">
      <c r="A9" s="60"/>
      <c r="B9" s="79"/>
      <c r="C9" s="62" t="s">
        <v>181</v>
      </c>
      <c r="D9" s="38" t="s">
        <v>212</v>
      </c>
      <c r="E9" s="86">
        <v>156600</v>
      </c>
      <c r="F9" s="86"/>
      <c r="G9" s="86">
        <f>SUM(E9:F9)</f>
        <v>156600</v>
      </c>
      <c r="H9" s="86"/>
      <c r="I9" s="86">
        <f>SUM(G9:H9)</f>
        <v>156600</v>
      </c>
    </row>
    <row r="10" spans="1:9" s="8" customFormat="1" ht="40.5" customHeight="1">
      <c r="A10" s="33">
        <v>751</v>
      </c>
      <c r="B10" s="35"/>
      <c r="C10" s="57"/>
      <c r="D10" s="36" t="s">
        <v>20</v>
      </c>
      <c r="E10" s="58">
        <f>SUM(E11)</f>
        <v>3952</v>
      </c>
      <c r="F10" s="58">
        <f>SUM(F11)</f>
        <v>0</v>
      </c>
      <c r="G10" s="58">
        <f>SUM(G11)</f>
        <v>3952</v>
      </c>
      <c r="H10" s="58">
        <f>SUM(H11)</f>
        <v>0</v>
      </c>
      <c r="I10" s="58">
        <f>SUM(I11)</f>
        <v>3952</v>
      </c>
    </row>
    <row r="11" spans="1:9" s="24" customFormat="1" ht="27" customHeight="1">
      <c r="A11" s="79"/>
      <c r="B11" s="60">
        <v>75101</v>
      </c>
      <c r="C11" s="61"/>
      <c r="D11" s="38" t="s">
        <v>21</v>
      </c>
      <c r="E11" s="87">
        <f>E12</f>
        <v>3952</v>
      </c>
      <c r="F11" s="87">
        <f>F12</f>
        <v>0</v>
      </c>
      <c r="G11" s="87">
        <f>G12</f>
        <v>3952</v>
      </c>
      <c r="H11" s="87">
        <f>H12</f>
        <v>0</v>
      </c>
      <c r="I11" s="87">
        <f>I12</f>
        <v>3952</v>
      </c>
    </row>
    <row r="12" spans="1:9" s="24" customFormat="1" ht="56.25">
      <c r="A12" s="79"/>
      <c r="B12" s="60"/>
      <c r="C12" s="62" t="s">
        <v>181</v>
      </c>
      <c r="D12" s="38" t="s">
        <v>217</v>
      </c>
      <c r="E12" s="87">
        <v>3952</v>
      </c>
      <c r="F12" s="87"/>
      <c r="G12" s="87">
        <f>SUM(E12:F12)</f>
        <v>3952</v>
      </c>
      <c r="H12" s="87"/>
      <c r="I12" s="87">
        <f>SUM(G12:H12)</f>
        <v>3952</v>
      </c>
    </row>
    <row r="13" spans="1:9" s="11" customFormat="1" ht="23.25" customHeight="1">
      <c r="A13" s="118" t="s">
        <v>111</v>
      </c>
      <c r="B13" s="119"/>
      <c r="C13" s="120"/>
      <c r="D13" s="121" t="s">
        <v>112</v>
      </c>
      <c r="E13" s="122">
        <f>SUM(E14,)</f>
        <v>4782</v>
      </c>
      <c r="F13" s="122">
        <f>SUM(F14,)</f>
        <v>0</v>
      </c>
      <c r="G13" s="122">
        <f>SUM(G14,)</f>
        <v>4782</v>
      </c>
      <c r="H13" s="122">
        <f>SUM(H14,)</f>
        <v>0</v>
      </c>
      <c r="I13" s="122">
        <f>SUM(I14,)</f>
        <v>4782</v>
      </c>
    </row>
    <row r="14" spans="1:9" s="24" customFormat="1" ht="23.25" customHeight="1">
      <c r="A14" s="60"/>
      <c r="B14" s="75" t="s">
        <v>113</v>
      </c>
      <c r="C14" s="79"/>
      <c r="D14" s="38" t="s">
        <v>53</v>
      </c>
      <c r="E14" s="86">
        <f>SUM(E15)</f>
        <v>4782</v>
      </c>
      <c r="F14" s="86">
        <f>SUM(F15)</f>
        <v>0</v>
      </c>
      <c r="G14" s="86">
        <f>SUM(G15)</f>
        <v>4782</v>
      </c>
      <c r="H14" s="86">
        <f>SUM(H15)</f>
        <v>0</v>
      </c>
      <c r="I14" s="86">
        <f>SUM(I15)</f>
        <v>4782</v>
      </c>
    </row>
    <row r="15" spans="1:9" s="24" customFormat="1" ht="45">
      <c r="A15" s="79"/>
      <c r="B15" s="60"/>
      <c r="C15" s="117">
        <v>2310</v>
      </c>
      <c r="D15" s="38" t="s">
        <v>231</v>
      </c>
      <c r="E15" s="64">
        <v>4782</v>
      </c>
      <c r="F15" s="64"/>
      <c r="G15" s="64">
        <f>SUM(E15:F15)</f>
        <v>4782</v>
      </c>
      <c r="H15" s="64"/>
      <c r="I15" s="64">
        <f>SUM(G15:H15)</f>
        <v>4782</v>
      </c>
    </row>
    <row r="16" spans="1:9" s="39" customFormat="1" ht="20.25" customHeight="1">
      <c r="A16" s="33" t="s">
        <v>156</v>
      </c>
      <c r="B16" s="35"/>
      <c r="C16" s="57"/>
      <c r="D16" s="36" t="s">
        <v>188</v>
      </c>
      <c r="E16" s="56">
        <f>SUM(E17,E19,E22,E26,E24,E28)</f>
        <v>7964296</v>
      </c>
      <c r="F16" s="56">
        <f>SUM(F17,F19,F22,F26,F24,F28)</f>
        <v>530000</v>
      </c>
      <c r="G16" s="56">
        <f>SUM(G17,G19,G22,G26,G24,G28)</f>
        <v>8494296</v>
      </c>
      <c r="H16" s="56">
        <f>SUM(H17,H19,H22,H26,H24,H28)</f>
        <v>-73</v>
      </c>
      <c r="I16" s="56">
        <f>SUM(I17,I19,I22,I26,I24,I28)</f>
        <v>8494223</v>
      </c>
    </row>
    <row r="17" spans="1:9" s="24" customFormat="1" ht="51.75" customHeight="1">
      <c r="A17" s="60"/>
      <c r="B17" s="44">
        <v>85212</v>
      </c>
      <c r="C17" s="72"/>
      <c r="D17" s="70" t="s">
        <v>275</v>
      </c>
      <c r="E17" s="84">
        <f>SUM(E18)</f>
        <v>6551300</v>
      </c>
      <c r="F17" s="84">
        <f>SUM(F18)</f>
        <v>0</v>
      </c>
      <c r="G17" s="84">
        <f>SUM(G18)</f>
        <v>6551300</v>
      </c>
      <c r="H17" s="84">
        <f>SUM(H18)</f>
        <v>0</v>
      </c>
      <c r="I17" s="84">
        <f>SUM(I18)</f>
        <v>6551300</v>
      </c>
    </row>
    <row r="18" spans="1:9" s="24" customFormat="1" ht="60" customHeight="1">
      <c r="A18" s="60"/>
      <c r="B18" s="44"/>
      <c r="C18" s="72">
        <v>2010</v>
      </c>
      <c r="D18" s="38" t="s">
        <v>212</v>
      </c>
      <c r="E18" s="84">
        <v>6551300</v>
      </c>
      <c r="F18" s="84"/>
      <c r="G18" s="84">
        <f>SUM(E18:F18)</f>
        <v>6551300</v>
      </c>
      <c r="H18" s="84"/>
      <c r="I18" s="84">
        <f>SUM(G18:H18)</f>
        <v>6551300</v>
      </c>
    </row>
    <row r="19" spans="1:9" s="24" customFormat="1" ht="72" customHeight="1">
      <c r="A19" s="60"/>
      <c r="B19" s="79">
        <v>85213</v>
      </c>
      <c r="C19" s="61"/>
      <c r="D19" s="70" t="s">
        <v>273</v>
      </c>
      <c r="E19" s="84">
        <f>SUM(E20:E21)</f>
        <v>49134</v>
      </c>
      <c r="F19" s="84">
        <f>SUM(F20:F21)</f>
        <v>0</v>
      </c>
      <c r="G19" s="84">
        <f>SUM(G20:G21)</f>
        <v>49134</v>
      </c>
      <c r="H19" s="84">
        <f>SUM(H20:H21)</f>
        <v>-73</v>
      </c>
      <c r="I19" s="84">
        <f>SUM(I20:I21)</f>
        <v>49061</v>
      </c>
    </row>
    <row r="20" spans="1:9" s="24" customFormat="1" ht="60.75" customHeight="1">
      <c r="A20" s="60"/>
      <c r="B20" s="79"/>
      <c r="C20" s="61">
        <v>2010</v>
      </c>
      <c r="D20" s="38" t="s">
        <v>212</v>
      </c>
      <c r="E20" s="84">
        <v>12000</v>
      </c>
      <c r="F20" s="84"/>
      <c r="G20" s="84">
        <f>SUM(E20:F20)</f>
        <v>12000</v>
      </c>
      <c r="H20" s="84">
        <v>-73</v>
      </c>
      <c r="I20" s="84">
        <f>SUM(G20:H20)</f>
        <v>11927</v>
      </c>
    </row>
    <row r="21" spans="1:9" s="24" customFormat="1" ht="39.75" customHeight="1">
      <c r="A21" s="60"/>
      <c r="B21" s="79"/>
      <c r="C21" s="61">
        <v>2030</v>
      </c>
      <c r="D21" s="70" t="s">
        <v>213</v>
      </c>
      <c r="E21" s="84">
        <v>37134</v>
      </c>
      <c r="F21" s="84"/>
      <c r="G21" s="84">
        <f>SUM(E21:F21)</f>
        <v>37134</v>
      </c>
      <c r="H21" s="84"/>
      <c r="I21" s="84">
        <f>SUM(G21:H21)</f>
        <v>37134</v>
      </c>
    </row>
    <row r="22" spans="1:9" s="24" customFormat="1" ht="28.5" customHeight="1">
      <c r="A22" s="60"/>
      <c r="B22" s="60" t="s">
        <v>157</v>
      </c>
      <c r="C22" s="61"/>
      <c r="D22" s="38" t="s">
        <v>221</v>
      </c>
      <c r="E22" s="86">
        <f>SUM(E23:E23)</f>
        <v>539695</v>
      </c>
      <c r="F22" s="86">
        <f>SUM(F23:F23)</f>
        <v>0</v>
      </c>
      <c r="G22" s="86">
        <f>SUM(G23:G23)</f>
        <v>539695</v>
      </c>
      <c r="H22" s="86">
        <f>SUM(H23:H23)</f>
        <v>0</v>
      </c>
      <c r="I22" s="86">
        <f>SUM(I23:I23)</f>
        <v>539695</v>
      </c>
    </row>
    <row r="23" spans="1:9" s="24" customFormat="1" ht="39" customHeight="1">
      <c r="A23" s="60"/>
      <c r="B23" s="60"/>
      <c r="C23" s="62">
        <v>2030</v>
      </c>
      <c r="D23" s="70" t="s">
        <v>213</v>
      </c>
      <c r="E23" s="86">
        <v>539695</v>
      </c>
      <c r="F23" s="86"/>
      <c r="G23" s="86">
        <f>SUM(E23:F23)</f>
        <v>539695</v>
      </c>
      <c r="H23" s="86"/>
      <c r="I23" s="86">
        <f>SUM(G23:H23)</f>
        <v>539695</v>
      </c>
    </row>
    <row r="24" spans="1:9" s="24" customFormat="1" ht="20.25" customHeight="1">
      <c r="A24" s="60"/>
      <c r="B24" s="60">
        <v>85216</v>
      </c>
      <c r="C24" s="62"/>
      <c r="D24" s="70" t="s">
        <v>283</v>
      </c>
      <c r="E24" s="86">
        <f>SUM(E25)</f>
        <v>449868</v>
      </c>
      <c r="F24" s="86">
        <f>SUM(F25)</f>
        <v>0</v>
      </c>
      <c r="G24" s="86">
        <f>SUM(G25)</f>
        <v>449868</v>
      </c>
      <c r="H24" s="86">
        <f>SUM(H25)</f>
        <v>0</v>
      </c>
      <c r="I24" s="86">
        <f>SUM(I25)</f>
        <v>449868</v>
      </c>
    </row>
    <row r="25" spans="1:9" s="24" customFormat="1" ht="37.5" customHeight="1">
      <c r="A25" s="60"/>
      <c r="B25" s="60"/>
      <c r="C25" s="62">
        <v>2030</v>
      </c>
      <c r="D25" s="70" t="s">
        <v>213</v>
      </c>
      <c r="E25" s="86">
        <v>449868</v>
      </c>
      <c r="F25" s="86"/>
      <c r="G25" s="86">
        <f>SUM(E25:F25)</f>
        <v>449868</v>
      </c>
      <c r="H25" s="86"/>
      <c r="I25" s="86">
        <f>SUM(G25:H25)</f>
        <v>449868</v>
      </c>
    </row>
    <row r="26" spans="1:9" s="24" customFormat="1" ht="19.5" customHeight="1">
      <c r="A26" s="60"/>
      <c r="B26" s="60" t="s">
        <v>158</v>
      </c>
      <c r="C26" s="61"/>
      <c r="D26" s="38" t="s">
        <v>60</v>
      </c>
      <c r="E26" s="86">
        <f>E27</f>
        <v>374299</v>
      </c>
      <c r="F26" s="86">
        <f>F27</f>
        <v>0</v>
      </c>
      <c r="G26" s="86">
        <f>G27</f>
        <v>374299</v>
      </c>
      <c r="H26" s="86">
        <f>H27</f>
        <v>0</v>
      </c>
      <c r="I26" s="86">
        <f>I27</f>
        <v>374299</v>
      </c>
    </row>
    <row r="27" spans="1:9" s="24" customFormat="1" ht="33.75">
      <c r="A27" s="60"/>
      <c r="B27" s="60"/>
      <c r="C27" s="62">
        <v>2030</v>
      </c>
      <c r="D27" s="70" t="s">
        <v>213</v>
      </c>
      <c r="E27" s="86">
        <v>374299</v>
      </c>
      <c r="F27" s="86"/>
      <c r="G27" s="86">
        <f>SUM(E27:F27)</f>
        <v>374299</v>
      </c>
      <c r="H27" s="86"/>
      <c r="I27" s="86">
        <f>SUM(G27:H27)</f>
        <v>374299</v>
      </c>
    </row>
    <row r="28" spans="1:9" s="24" customFormat="1" ht="21.75" customHeight="1">
      <c r="A28" s="60"/>
      <c r="B28" s="60">
        <v>85295</v>
      </c>
      <c r="C28" s="62"/>
      <c r="D28" s="70" t="s">
        <v>6</v>
      </c>
      <c r="E28" s="86">
        <f>SUM(E29)</f>
        <v>0</v>
      </c>
      <c r="F28" s="86">
        <f>SUM(F29)</f>
        <v>530000</v>
      </c>
      <c r="G28" s="86">
        <f>SUM(G29)</f>
        <v>530000</v>
      </c>
      <c r="H28" s="86">
        <f>SUM(H29)</f>
        <v>0</v>
      </c>
      <c r="I28" s="86">
        <f>SUM(I29)</f>
        <v>530000</v>
      </c>
    </row>
    <row r="29" spans="1:9" s="24" customFormat="1" ht="33.75">
      <c r="A29" s="60"/>
      <c r="B29" s="60"/>
      <c r="C29" s="62">
        <v>2030</v>
      </c>
      <c r="D29" s="70" t="s">
        <v>213</v>
      </c>
      <c r="E29" s="86">
        <v>0</v>
      </c>
      <c r="F29" s="86">
        <v>530000</v>
      </c>
      <c r="G29" s="86">
        <f>SUM(E29:F29)</f>
        <v>530000</v>
      </c>
      <c r="H29" s="86"/>
      <c r="I29" s="86">
        <f>SUM(G29:H29)</f>
        <v>530000</v>
      </c>
    </row>
    <row r="30" spans="1:9" s="8" customFormat="1" ht="24">
      <c r="A30" s="33" t="s">
        <v>65</v>
      </c>
      <c r="B30" s="26"/>
      <c r="C30" s="48"/>
      <c r="D30" s="36" t="s">
        <v>71</v>
      </c>
      <c r="E30" s="56">
        <f>SUM(E31)</f>
        <v>60000</v>
      </c>
      <c r="F30" s="56">
        <f>SUM(F31)</f>
        <v>0</v>
      </c>
      <c r="G30" s="56">
        <f>SUM(G31)</f>
        <v>60000</v>
      </c>
      <c r="H30" s="56">
        <f>SUM(H31)</f>
        <v>0</v>
      </c>
      <c r="I30" s="56">
        <f>SUM(I31)</f>
        <v>60000</v>
      </c>
    </row>
    <row r="31" spans="1:9" s="24" customFormat="1" ht="18" customHeight="1">
      <c r="A31" s="60"/>
      <c r="B31" s="60" t="s">
        <v>66</v>
      </c>
      <c r="C31" s="61"/>
      <c r="D31" s="38" t="s">
        <v>67</v>
      </c>
      <c r="E31" s="86">
        <f>E32</f>
        <v>60000</v>
      </c>
      <c r="F31" s="86">
        <f>F32</f>
        <v>0</v>
      </c>
      <c r="G31" s="86">
        <f>G32</f>
        <v>60000</v>
      </c>
      <c r="H31" s="86">
        <f>H32</f>
        <v>0</v>
      </c>
      <c r="I31" s="86">
        <f>I32</f>
        <v>60000</v>
      </c>
    </row>
    <row r="32" spans="1:9" s="24" customFormat="1" ht="48.75" customHeight="1">
      <c r="A32" s="60"/>
      <c r="B32" s="60"/>
      <c r="C32" s="62">
        <v>2320</v>
      </c>
      <c r="D32" s="38" t="s">
        <v>214</v>
      </c>
      <c r="E32" s="86">
        <v>60000</v>
      </c>
      <c r="F32" s="86"/>
      <c r="G32" s="86">
        <f>SUM(E32:F32)</f>
        <v>60000</v>
      </c>
      <c r="H32" s="86"/>
      <c r="I32" s="86">
        <f>SUM(G32:H32)</f>
        <v>60000</v>
      </c>
    </row>
    <row r="33" spans="1:9" s="24" customFormat="1" ht="19.5" customHeight="1">
      <c r="A33" s="101"/>
      <c r="B33" s="102"/>
      <c r="C33" s="103"/>
      <c r="D33" s="90" t="s">
        <v>70</v>
      </c>
      <c r="E33" s="91">
        <f>SUM(E30,E16,E10,E7,E13,)</f>
        <v>8189630</v>
      </c>
      <c r="F33" s="91">
        <f>SUM(F30,F16,F10,F7,F13,)</f>
        <v>530000</v>
      </c>
      <c r="G33" s="91">
        <f>SUM(G30,G16,G10,G7,G13,)</f>
        <v>8719630</v>
      </c>
      <c r="H33" s="91">
        <f>SUM(H30,H16,H10,H7,H13,)</f>
        <v>-73</v>
      </c>
      <c r="I33" s="91">
        <f>SUM(I30,I16,I10,I7,I13,)</f>
        <v>8719557</v>
      </c>
    </row>
    <row r="34" spans="1:3" ht="12.75">
      <c r="A34" s="49"/>
      <c r="B34" s="49"/>
      <c r="C34" s="49"/>
    </row>
    <row r="37" spans="5:9" ht="12.75">
      <c r="E37" s="93"/>
      <c r="F37" s="93"/>
      <c r="G37" s="93"/>
      <c r="H37" s="93"/>
      <c r="I37" s="93"/>
    </row>
  </sheetData>
  <sheetProtection/>
  <mergeCells count="1">
    <mergeCell ref="A5:I5"/>
  </mergeCells>
  <printOptions horizontalCentered="1"/>
  <pageMargins left="0.5118110236220472" right="0.5118110236220472" top="0.7874015748031497" bottom="0.5905511811023623" header="0.5118110236220472" footer="0.31496062992125984"/>
  <pageSetup firstPageNumber="1" useFirstPageNumber="1" horizontalDpi="600" verticalDpi="600" orientation="portrait" paperSize="9" r:id="rId1"/>
  <headerFooter alignWithMargins="0">
    <oddFooter>&amp;C&amp;8Dotacje - str.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26"/>
  <sheetViews>
    <sheetView zoomScalePageLayoutView="0" workbookViewId="0" topLeftCell="A10">
      <selection activeCell="I26" sqref="A1:I26"/>
    </sheetView>
  </sheetViews>
  <sheetFormatPr defaultColWidth="9.00390625" defaultRowHeight="12.75"/>
  <cols>
    <col min="1" max="1" width="6.00390625" style="8" customWidth="1"/>
    <col min="2" max="2" width="7.25390625" style="8" bestFit="1" customWidth="1"/>
    <col min="3" max="3" width="5.00390625" style="8" bestFit="1" customWidth="1"/>
    <col min="4" max="4" width="27.125" style="8" customWidth="1"/>
    <col min="5" max="5" width="46.375" style="8" customWidth="1"/>
    <col min="6" max="6" width="14.00390625" style="8" customWidth="1"/>
    <col min="7" max="7" width="13.125" style="8" customWidth="1"/>
    <col min="8" max="8" width="13.125" style="0" customWidth="1"/>
    <col min="9" max="9" width="11.75390625" style="0" bestFit="1" customWidth="1"/>
  </cols>
  <sheetData>
    <row r="1" spans="7:8" ht="12.75">
      <c r="G1" s="50" t="s">
        <v>335</v>
      </c>
      <c r="H1" s="50"/>
    </row>
    <row r="2" spans="7:8" ht="12.75">
      <c r="G2" s="50" t="s">
        <v>329</v>
      </c>
      <c r="H2" s="50"/>
    </row>
    <row r="3" spans="7:8" ht="12.75">
      <c r="G3" s="50" t="s">
        <v>322</v>
      </c>
      <c r="H3" s="50"/>
    </row>
    <row r="4" spans="7:8" ht="12.75">
      <c r="G4" s="50" t="s">
        <v>323</v>
      </c>
      <c r="H4" s="50"/>
    </row>
    <row r="5" spans="1:7" ht="32.25" customHeight="1">
      <c r="A5" s="199" t="s">
        <v>324</v>
      </c>
      <c r="B5" s="199"/>
      <c r="C5" s="199"/>
      <c r="D5" s="199"/>
      <c r="E5" s="199"/>
      <c r="F5" s="199"/>
      <c r="G5" s="199"/>
    </row>
    <row r="6" spans="1:7" ht="31.5" customHeight="1">
      <c r="A6" s="203" t="s">
        <v>276</v>
      </c>
      <c r="B6" s="203"/>
      <c r="C6" s="203"/>
      <c r="D6" s="203"/>
      <c r="E6" s="203"/>
      <c r="F6" s="203"/>
      <c r="G6" s="203"/>
    </row>
    <row r="7" spans="1:9" s="110" customFormat="1" ht="29.25" customHeight="1">
      <c r="A7" s="5" t="s">
        <v>0</v>
      </c>
      <c r="B7" s="5" t="s">
        <v>1</v>
      </c>
      <c r="C7" s="5" t="s">
        <v>2</v>
      </c>
      <c r="D7" s="5" t="s">
        <v>232</v>
      </c>
      <c r="E7" s="5" t="s">
        <v>233</v>
      </c>
      <c r="F7" s="5" t="s">
        <v>280</v>
      </c>
      <c r="G7" s="9" t="s">
        <v>144</v>
      </c>
      <c r="H7" s="9" t="s">
        <v>302</v>
      </c>
      <c r="I7" s="124" t="s">
        <v>321</v>
      </c>
    </row>
    <row r="8" spans="1:9" s="126" customFormat="1" ht="25.5" customHeight="1">
      <c r="A8" s="125">
        <v>801</v>
      </c>
      <c r="B8" s="3">
        <v>80104</v>
      </c>
      <c r="C8" s="4">
        <v>2510</v>
      </c>
      <c r="D8" s="150" t="s">
        <v>234</v>
      </c>
      <c r="E8" s="153" t="s">
        <v>235</v>
      </c>
      <c r="F8" s="150" t="s">
        <v>281</v>
      </c>
      <c r="G8" s="123">
        <v>3632917</v>
      </c>
      <c r="H8" s="123"/>
      <c r="I8" s="123">
        <f>SUM(G8:H8)</f>
        <v>3632917</v>
      </c>
    </row>
    <row r="9" spans="1:9" s="126" customFormat="1" ht="24.75" customHeight="1">
      <c r="A9" s="125">
        <v>801</v>
      </c>
      <c r="B9" s="125">
        <v>80146</v>
      </c>
      <c r="C9" s="3">
        <v>2510</v>
      </c>
      <c r="D9" s="151" t="s">
        <v>234</v>
      </c>
      <c r="E9" s="168" t="s">
        <v>236</v>
      </c>
      <c r="F9" s="151" t="s">
        <v>281</v>
      </c>
      <c r="G9" s="166">
        <v>15642</v>
      </c>
      <c r="H9" s="166"/>
      <c r="I9" s="123">
        <f aca="true" t="shared" si="0" ref="I9:I17">SUM(G9:H9)</f>
        <v>15642</v>
      </c>
    </row>
    <row r="10" spans="1:9" s="126" customFormat="1" ht="24">
      <c r="A10" s="3">
        <v>853</v>
      </c>
      <c r="B10" s="3">
        <v>85311</v>
      </c>
      <c r="C10" s="3">
        <v>2710</v>
      </c>
      <c r="D10" s="150" t="s">
        <v>244</v>
      </c>
      <c r="E10" s="179" t="s">
        <v>270</v>
      </c>
      <c r="F10" s="183" t="s">
        <v>282</v>
      </c>
      <c r="G10" s="178">
        <v>10704</v>
      </c>
      <c r="H10" s="178"/>
      <c r="I10" s="123">
        <f t="shared" si="0"/>
        <v>10704</v>
      </c>
    </row>
    <row r="11" spans="1:9" s="126" customFormat="1" ht="24">
      <c r="A11" s="3">
        <v>854</v>
      </c>
      <c r="B11" s="3">
        <v>85495</v>
      </c>
      <c r="C11" s="3">
        <v>2320</v>
      </c>
      <c r="D11" s="150" t="s">
        <v>243</v>
      </c>
      <c r="E11" s="180" t="s">
        <v>301</v>
      </c>
      <c r="F11" s="181" t="s">
        <v>282</v>
      </c>
      <c r="G11" s="182">
        <v>199150</v>
      </c>
      <c r="H11" s="182"/>
      <c r="I11" s="123">
        <f t="shared" si="0"/>
        <v>199150</v>
      </c>
    </row>
    <row r="12" spans="1:9" s="126" customFormat="1" ht="24.75" customHeight="1">
      <c r="A12" s="3">
        <v>854</v>
      </c>
      <c r="B12" s="3">
        <v>85495</v>
      </c>
      <c r="C12" s="3">
        <v>2320</v>
      </c>
      <c r="D12" s="150" t="s">
        <v>244</v>
      </c>
      <c r="E12" s="153" t="s">
        <v>245</v>
      </c>
      <c r="F12" s="150" t="s">
        <v>282</v>
      </c>
      <c r="G12" s="178">
        <v>37095</v>
      </c>
      <c r="H12" s="178"/>
      <c r="I12" s="123">
        <f t="shared" si="0"/>
        <v>37095</v>
      </c>
    </row>
    <row r="13" spans="1:9" s="126" customFormat="1" ht="29.25" customHeight="1">
      <c r="A13" s="125" t="s">
        <v>65</v>
      </c>
      <c r="B13" s="3">
        <v>92109</v>
      </c>
      <c r="C13" s="4">
        <v>2480</v>
      </c>
      <c r="D13" s="150" t="s">
        <v>239</v>
      </c>
      <c r="E13" s="153" t="s">
        <v>240</v>
      </c>
      <c r="F13" s="150" t="s">
        <v>281</v>
      </c>
      <c r="G13" s="123">
        <v>753300</v>
      </c>
      <c r="H13" s="123"/>
      <c r="I13" s="123">
        <f t="shared" si="0"/>
        <v>753300</v>
      </c>
    </row>
    <row r="14" spans="1:9" s="126" customFormat="1" ht="36">
      <c r="A14" s="125">
        <v>921</v>
      </c>
      <c r="B14" s="125" t="s">
        <v>66</v>
      </c>
      <c r="C14" s="4">
        <v>2480</v>
      </c>
      <c r="D14" s="153" t="s">
        <v>241</v>
      </c>
      <c r="E14" s="153" t="s">
        <v>291</v>
      </c>
      <c r="F14" s="150" t="s">
        <v>281</v>
      </c>
      <c r="G14" s="123">
        <f>60000</f>
        <v>60000</v>
      </c>
      <c r="H14" s="123"/>
      <c r="I14" s="123">
        <f t="shared" si="0"/>
        <v>60000</v>
      </c>
    </row>
    <row r="15" spans="1:9" s="126" customFormat="1" ht="24" customHeight="1">
      <c r="A15" s="125">
        <v>921</v>
      </c>
      <c r="B15" s="125">
        <v>92116</v>
      </c>
      <c r="C15" s="4">
        <v>2480</v>
      </c>
      <c r="D15" s="153" t="s">
        <v>241</v>
      </c>
      <c r="E15" s="153" t="s">
        <v>240</v>
      </c>
      <c r="F15" s="150" t="s">
        <v>281</v>
      </c>
      <c r="G15" s="123">
        <v>1120352</v>
      </c>
      <c r="H15" s="123"/>
      <c r="I15" s="123">
        <f t="shared" si="0"/>
        <v>1120352</v>
      </c>
    </row>
    <row r="16" spans="1:9" s="126" customFormat="1" ht="24">
      <c r="A16" s="125">
        <v>921</v>
      </c>
      <c r="B16" s="125" t="s">
        <v>141</v>
      </c>
      <c r="C16" s="3">
        <v>2480</v>
      </c>
      <c r="D16" s="196" t="s">
        <v>242</v>
      </c>
      <c r="E16" s="153" t="s">
        <v>240</v>
      </c>
      <c r="F16" s="150" t="s">
        <v>281</v>
      </c>
      <c r="G16" s="123">
        <v>650000</v>
      </c>
      <c r="H16" s="123"/>
      <c r="I16" s="123">
        <f t="shared" si="0"/>
        <v>650000</v>
      </c>
    </row>
    <row r="17" spans="1:9" s="126" customFormat="1" ht="29.25" customHeight="1">
      <c r="A17" s="208"/>
      <c r="B17" s="209"/>
      <c r="C17" s="209"/>
      <c r="D17" s="209"/>
      <c r="E17" s="210"/>
      <c r="F17" s="170" t="s">
        <v>70</v>
      </c>
      <c r="G17" s="171">
        <f>SUM(G8:G16)</f>
        <v>6479160</v>
      </c>
      <c r="H17" s="171">
        <f>SUM(H8:H16)</f>
        <v>0</v>
      </c>
      <c r="I17" s="171">
        <f t="shared" si="0"/>
        <v>6479160</v>
      </c>
    </row>
    <row r="18" spans="1:7" s="126" customFormat="1" ht="33.75" customHeight="1">
      <c r="A18" s="200" t="s">
        <v>277</v>
      </c>
      <c r="B18" s="201"/>
      <c r="C18" s="201"/>
      <c r="D18" s="201"/>
      <c r="E18" s="201"/>
      <c r="F18" s="201"/>
      <c r="G18" s="202"/>
    </row>
    <row r="19" spans="1:9" s="149" customFormat="1" ht="27" customHeight="1">
      <c r="A19" s="174" t="s">
        <v>4</v>
      </c>
      <c r="B19" s="174" t="s">
        <v>284</v>
      </c>
      <c r="C19" s="175">
        <v>2830</v>
      </c>
      <c r="D19" s="176" t="s">
        <v>286</v>
      </c>
      <c r="E19" s="176" t="s">
        <v>287</v>
      </c>
      <c r="F19" s="177" t="s">
        <v>282</v>
      </c>
      <c r="G19" s="178">
        <v>45000</v>
      </c>
      <c r="H19" s="178"/>
      <c r="I19" s="178">
        <f aca="true" t="shared" si="1" ref="I19:I24">SUM(G19:H19)</f>
        <v>45000</v>
      </c>
    </row>
    <row r="20" spans="1:9" s="126" customFormat="1" ht="36">
      <c r="A20" s="125">
        <v>801</v>
      </c>
      <c r="B20" s="3">
        <v>80101</v>
      </c>
      <c r="C20" s="4">
        <v>2590</v>
      </c>
      <c r="D20" s="153" t="s">
        <v>237</v>
      </c>
      <c r="E20" s="153" t="s">
        <v>278</v>
      </c>
      <c r="F20" s="150" t="s">
        <v>281</v>
      </c>
      <c r="G20" s="178">
        <v>746055</v>
      </c>
      <c r="H20" s="178"/>
      <c r="I20" s="178">
        <f t="shared" si="1"/>
        <v>746055</v>
      </c>
    </row>
    <row r="21" spans="1:9" s="126" customFormat="1" ht="36">
      <c r="A21" s="125">
        <v>801</v>
      </c>
      <c r="B21" s="169">
        <v>80103</v>
      </c>
      <c r="C21" s="3">
        <v>2590</v>
      </c>
      <c r="D21" s="179" t="s">
        <v>238</v>
      </c>
      <c r="E21" s="153" t="s">
        <v>279</v>
      </c>
      <c r="F21" s="150" t="s">
        <v>281</v>
      </c>
      <c r="G21" s="178">
        <v>41492</v>
      </c>
      <c r="H21" s="178"/>
      <c r="I21" s="178">
        <f t="shared" si="1"/>
        <v>41492</v>
      </c>
    </row>
    <row r="22" spans="1:9" s="126" customFormat="1" ht="36">
      <c r="A22" s="125">
        <v>801</v>
      </c>
      <c r="B22" s="169">
        <v>80110</v>
      </c>
      <c r="C22" s="3">
        <v>2590</v>
      </c>
      <c r="D22" s="179" t="s">
        <v>299</v>
      </c>
      <c r="E22" s="153" t="s">
        <v>261</v>
      </c>
      <c r="F22" s="152" t="s">
        <v>281</v>
      </c>
      <c r="G22" s="178">
        <v>263533</v>
      </c>
      <c r="H22" s="178"/>
      <c r="I22" s="178">
        <f t="shared" si="1"/>
        <v>263533</v>
      </c>
    </row>
    <row r="23" spans="1:9" ht="28.5" customHeight="1">
      <c r="A23" s="184">
        <v>921</v>
      </c>
      <c r="B23" s="184">
        <v>92120</v>
      </c>
      <c r="C23" s="184">
        <v>2720</v>
      </c>
      <c r="D23" s="185" t="s">
        <v>288</v>
      </c>
      <c r="E23" s="185" t="s">
        <v>289</v>
      </c>
      <c r="F23" s="186" t="s">
        <v>282</v>
      </c>
      <c r="G23" s="187">
        <v>7500</v>
      </c>
      <c r="H23" s="187"/>
      <c r="I23" s="178">
        <f t="shared" si="1"/>
        <v>7500</v>
      </c>
    </row>
    <row r="24" spans="1:9" ht="28.5" customHeight="1">
      <c r="A24" s="184">
        <v>851</v>
      </c>
      <c r="B24" s="184">
        <v>85154</v>
      </c>
      <c r="C24" s="184">
        <v>2830</v>
      </c>
      <c r="D24" s="185" t="s">
        <v>319</v>
      </c>
      <c r="E24" s="185" t="s">
        <v>320</v>
      </c>
      <c r="F24" s="186" t="s">
        <v>282</v>
      </c>
      <c r="G24" s="187">
        <v>0</v>
      </c>
      <c r="H24" s="187">
        <v>47545</v>
      </c>
      <c r="I24" s="178">
        <f t="shared" si="1"/>
        <v>47545</v>
      </c>
    </row>
    <row r="25" spans="1:9" ht="28.5" customHeight="1">
      <c r="A25" s="205"/>
      <c r="B25" s="206"/>
      <c r="C25" s="206"/>
      <c r="D25" s="206"/>
      <c r="E25" s="207"/>
      <c r="F25" s="193" t="s">
        <v>70</v>
      </c>
      <c r="G25" s="188">
        <f>SUM(G19:G24)</f>
        <v>1103580</v>
      </c>
      <c r="H25" s="188">
        <f>SUM(H19:H24)</f>
        <v>47545</v>
      </c>
      <c r="I25" s="188">
        <f>SUM(I19:I24)</f>
        <v>1151125</v>
      </c>
    </row>
    <row r="26" spans="1:9" ht="31.5" customHeight="1">
      <c r="A26" s="126"/>
      <c r="B26" s="126"/>
      <c r="C26" s="126"/>
      <c r="D26" s="126"/>
      <c r="E26" s="204" t="s">
        <v>294</v>
      </c>
      <c r="F26" s="204"/>
      <c r="G26" s="189">
        <f>SUM(G17,G25)</f>
        <v>7582740</v>
      </c>
      <c r="H26" s="189">
        <f>SUM(H17,H25)</f>
        <v>47545</v>
      </c>
      <c r="I26" s="189">
        <f>SUM(I17,I25)</f>
        <v>7630285</v>
      </c>
    </row>
  </sheetData>
  <sheetProtection/>
  <mergeCells count="6">
    <mergeCell ref="A5:G5"/>
    <mergeCell ref="A18:G18"/>
    <mergeCell ref="A6:G6"/>
    <mergeCell ref="E26:F26"/>
    <mergeCell ref="A25:E25"/>
    <mergeCell ref="A17:E17"/>
  </mergeCells>
  <printOptions horizontalCentered="1"/>
  <pageMargins left="0.5118110236220472" right="0.5118110236220472" top="0.5905511811023623" bottom="0.5905511811023623" header="0.5118110236220472" footer="0.31496062992125984"/>
  <pageSetup firstPageNumber="1" useFirstPageNumber="1" horizontalDpi="600" verticalDpi="600" orientation="landscape" paperSize="9" scale="95" r:id="rId1"/>
  <headerFooter alignWithMargins="0">
    <oddFooter>&amp;C&amp;8Dotacje przekazywane - str.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E46"/>
  <sheetViews>
    <sheetView zoomScalePageLayoutView="0" workbookViewId="0" topLeftCell="A1">
      <selection activeCell="G29" sqref="A1:G29"/>
    </sheetView>
  </sheetViews>
  <sheetFormatPr defaultColWidth="9.00390625" defaultRowHeight="12.75"/>
  <cols>
    <col min="1" max="1" width="6.25390625" style="8" customWidth="1"/>
    <col min="2" max="2" width="7.25390625" style="8" bestFit="1" customWidth="1"/>
    <col min="3" max="3" width="5.75390625" style="8" customWidth="1"/>
    <col min="4" max="4" width="30.625" style="8" customWidth="1"/>
    <col min="5" max="5" width="15.25390625" style="0" customWidth="1"/>
    <col min="6" max="6" width="12.625" style="0" customWidth="1"/>
    <col min="7" max="7" width="13.125" style="0" customWidth="1"/>
  </cols>
  <sheetData>
    <row r="1" spans="5:7" ht="12.75">
      <c r="E1" s="50" t="s">
        <v>336</v>
      </c>
      <c r="F1" s="50"/>
      <c r="G1" s="50"/>
    </row>
    <row r="2" spans="4:7" ht="12.75">
      <c r="D2" s="8" t="s">
        <v>209</v>
      </c>
      <c r="E2" s="50" t="s">
        <v>329</v>
      </c>
      <c r="F2" s="50"/>
      <c r="G2" s="50"/>
    </row>
    <row r="3" spans="4:7" ht="12.75">
      <c r="D3" s="8" t="s">
        <v>208</v>
      </c>
      <c r="E3" s="50" t="s">
        <v>337</v>
      </c>
      <c r="F3" s="50"/>
      <c r="G3" s="50"/>
    </row>
    <row r="4" spans="5:7" ht="12.75">
      <c r="E4" s="50" t="s">
        <v>323</v>
      </c>
      <c r="F4" s="50"/>
      <c r="G4" s="50"/>
    </row>
    <row r="5" spans="1:7" ht="44.25" customHeight="1">
      <c r="A5" s="211" t="s">
        <v>298</v>
      </c>
      <c r="B5" s="211"/>
      <c r="C5" s="211"/>
      <c r="D5" s="211"/>
      <c r="E5" s="211"/>
      <c r="F5" s="211"/>
      <c r="G5" s="211"/>
    </row>
    <row r="6" spans="1:7" s="8" customFormat="1" ht="24.75" customHeight="1">
      <c r="A6" s="12" t="s">
        <v>0</v>
      </c>
      <c r="B6" s="12" t="s">
        <v>1</v>
      </c>
      <c r="C6" s="12" t="s">
        <v>2</v>
      </c>
      <c r="D6" s="17" t="s">
        <v>3</v>
      </c>
      <c r="E6" s="96" t="s">
        <v>338</v>
      </c>
      <c r="F6" s="96" t="s">
        <v>308</v>
      </c>
      <c r="G6" s="96" t="s">
        <v>321</v>
      </c>
    </row>
    <row r="7" spans="1:7" s="24" customFormat="1" ht="21" customHeight="1">
      <c r="A7" s="31" t="s">
        <v>15</v>
      </c>
      <c r="B7" s="5"/>
      <c r="C7" s="20"/>
      <c r="D7" s="29" t="s">
        <v>16</v>
      </c>
      <c r="E7" s="40">
        <f>SUM(E8)</f>
        <v>156600</v>
      </c>
      <c r="F7" s="40">
        <f>SUM(F8)</f>
        <v>0</v>
      </c>
      <c r="G7" s="40">
        <f>SUM(G8)</f>
        <v>156600</v>
      </c>
    </row>
    <row r="8" spans="1:7" s="24" customFormat="1" ht="21" customHeight="1">
      <c r="A8" s="66"/>
      <c r="B8" s="66">
        <v>75011</v>
      </c>
      <c r="C8" s="73"/>
      <c r="D8" s="70" t="s">
        <v>17</v>
      </c>
      <c r="E8" s="85">
        <f>SUM(E9:E13)</f>
        <v>156600</v>
      </c>
      <c r="F8" s="85">
        <f>SUM(F9:F13)</f>
        <v>0</v>
      </c>
      <c r="G8" s="85">
        <f>SUM(G9:G13)</f>
        <v>156600</v>
      </c>
    </row>
    <row r="9" spans="1:7" s="24" customFormat="1" ht="21" customHeight="1">
      <c r="A9" s="66"/>
      <c r="B9" s="44"/>
      <c r="C9" s="67">
        <v>4010</v>
      </c>
      <c r="D9" s="70" t="s">
        <v>86</v>
      </c>
      <c r="E9" s="85">
        <v>105300</v>
      </c>
      <c r="F9" s="85"/>
      <c r="G9" s="85">
        <f>SUM(E9:F9)</f>
        <v>105300</v>
      </c>
    </row>
    <row r="10" spans="1:7" s="24" customFormat="1" ht="21" customHeight="1">
      <c r="A10" s="66"/>
      <c r="B10" s="44"/>
      <c r="C10" s="67">
        <v>4040</v>
      </c>
      <c r="D10" s="70" t="s">
        <v>87</v>
      </c>
      <c r="E10" s="85">
        <v>22400</v>
      </c>
      <c r="F10" s="85"/>
      <c r="G10" s="85">
        <f>SUM(E10:F10)</f>
        <v>22400</v>
      </c>
    </row>
    <row r="11" spans="1:7" s="24" customFormat="1" ht="21" customHeight="1">
      <c r="A11" s="66"/>
      <c r="B11" s="44"/>
      <c r="C11" s="67">
        <v>4110</v>
      </c>
      <c r="D11" s="70" t="s">
        <v>88</v>
      </c>
      <c r="E11" s="85">
        <v>16500</v>
      </c>
      <c r="F11" s="85"/>
      <c r="G11" s="85">
        <f>SUM(E11:F11)</f>
        <v>16500</v>
      </c>
    </row>
    <row r="12" spans="1:7" s="24" customFormat="1" ht="21" customHeight="1">
      <c r="A12" s="66"/>
      <c r="B12" s="44"/>
      <c r="C12" s="67">
        <v>4120</v>
      </c>
      <c r="D12" s="70" t="s">
        <v>89</v>
      </c>
      <c r="E12" s="85">
        <v>3100</v>
      </c>
      <c r="F12" s="85"/>
      <c r="G12" s="85">
        <f>SUM(E12:F12)</f>
        <v>3100</v>
      </c>
    </row>
    <row r="13" spans="1:7" s="24" customFormat="1" ht="22.5">
      <c r="A13" s="66"/>
      <c r="B13" s="44"/>
      <c r="C13" s="68">
        <v>4440</v>
      </c>
      <c r="D13" s="70" t="s">
        <v>90</v>
      </c>
      <c r="E13" s="85">
        <v>9300</v>
      </c>
      <c r="F13" s="85"/>
      <c r="G13" s="85">
        <f>SUM(E13:F13)</f>
        <v>9300</v>
      </c>
    </row>
    <row r="14" spans="1:7" s="24" customFormat="1" ht="48">
      <c r="A14" s="31">
        <v>751</v>
      </c>
      <c r="B14" s="5"/>
      <c r="C14" s="20"/>
      <c r="D14" s="29" t="s">
        <v>20</v>
      </c>
      <c r="E14" s="40">
        <f>E15</f>
        <v>3952</v>
      </c>
      <c r="F14" s="40">
        <f>F15</f>
        <v>0</v>
      </c>
      <c r="G14" s="40">
        <f>G15</f>
        <v>3952</v>
      </c>
    </row>
    <row r="15" spans="1:7" s="24" customFormat="1" ht="22.5">
      <c r="A15" s="44"/>
      <c r="B15" s="66">
        <v>75101</v>
      </c>
      <c r="C15" s="73"/>
      <c r="D15" s="70" t="s">
        <v>21</v>
      </c>
      <c r="E15" s="85">
        <f>SUM(E16:E18)</f>
        <v>3952</v>
      </c>
      <c r="F15" s="85">
        <f>SUM(F16:F18)</f>
        <v>0</v>
      </c>
      <c r="G15" s="85">
        <f>SUM(G16:G18)</f>
        <v>3952</v>
      </c>
    </row>
    <row r="16" spans="1:7" s="24" customFormat="1" ht="21" customHeight="1">
      <c r="A16" s="44"/>
      <c r="B16" s="66"/>
      <c r="C16" s="67">
        <v>4010</v>
      </c>
      <c r="D16" s="13" t="s">
        <v>86</v>
      </c>
      <c r="E16" s="85">
        <v>3360</v>
      </c>
      <c r="F16" s="85"/>
      <c r="G16" s="85">
        <f>SUM(E16:F16)</f>
        <v>3360</v>
      </c>
    </row>
    <row r="17" spans="1:7" s="24" customFormat="1" ht="21.75" customHeight="1">
      <c r="A17" s="44"/>
      <c r="B17" s="66"/>
      <c r="C17" s="67">
        <v>4110</v>
      </c>
      <c r="D17" s="13" t="s">
        <v>88</v>
      </c>
      <c r="E17" s="85">
        <v>510</v>
      </c>
      <c r="F17" s="85"/>
      <c r="G17" s="85">
        <f>SUM(E17:F17)</f>
        <v>510</v>
      </c>
    </row>
    <row r="18" spans="1:7" s="24" customFormat="1" ht="24" customHeight="1">
      <c r="A18" s="44"/>
      <c r="B18" s="66"/>
      <c r="C18" s="67">
        <v>4120</v>
      </c>
      <c r="D18" s="13" t="s">
        <v>89</v>
      </c>
      <c r="E18" s="85">
        <v>82</v>
      </c>
      <c r="F18" s="85"/>
      <c r="G18" s="85">
        <f>SUM(E18:F18)</f>
        <v>82</v>
      </c>
    </row>
    <row r="19" spans="1:213" s="24" customFormat="1" ht="21" customHeight="1">
      <c r="A19" s="31">
        <v>852</v>
      </c>
      <c r="B19" s="5"/>
      <c r="C19" s="20"/>
      <c r="D19" s="29" t="s">
        <v>188</v>
      </c>
      <c r="E19" s="40">
        <f>SUM(E20,E27,)</f>
        <v>6563300</v>
      </c>
      <c r="F19" s="40">
        <f>SUM(F20,F27,)</f>
        <v>-73</v>
      </c>
      <c r="G19" s="40">
        <f>SUM(G20,G27,)</f>
        <v>6563227</v>
      </c>
      <c r="H19" s="104"/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04"/>
      <c r="Z19" s="104"/>
      <c r="AA19" s="104"/>
      <c r="AB19" s="104"/>
      <c r="AC19" s="104"/>
      <c r="AD19" s="104"/>
      <c r="AE19" s="104"/>
      <c r="AF19" s="104"/>
      <c r="AG19" s="104"/>
      <c r="AH19" s="104"/>
      <c r="AI19" s="104"/>
      <c r="AJ19" s="104"/>
      <c r="AK19" s="104"/>
      <c r="AL19" s="104"/>
      <c r="AM19" s="104"/>
      <c r="AN19" s="104"/>
      <c r="AO19" s="104"/>
      <c r="AP19" s="104"/>
      <c r="AQ19" s="104"/>
      <c r="AR19" s="104"/>
      <c r="AS19" s="104"/>
      <c r="AT19" s="104"/>
      <c r="AU19" s="104"/>
      <c r="AV19" s="104"/>
      <c r="AW19" s="104"/>
      <c r="AX19" s="104"/>
      <c r="AY19" s="104"/>
      <c r="AZ19" s="104"/>
      <c r="BA19" s="104"/>
      <c r="BB19" s="104"/>
      <c r="BC19" s="104"/>
      <c r="BD19" s="104"/>
      <c r="BE19" s="104"/>
      <c r="BF19" s="104"/>
      <c r="BG19" s="104"/>
      <c r="BH19" s="104"/>
      <c r="BI19" s="104"/>
      <c r="BJ19" s="104"/>
      <c r="BK19" s="104"/>
      <c r="BL19" s="104"/>
      <c r="BM19" s="104"/>
      <c r="BN19" s="104"/>
      <c r="BO19" s="104"/>
      <c r="BP19" s="104"/>
      <c r="BQ19" s="104"/>
      <c r="BR19" s="104"/>
      <c r="BS19" s="104"/>
      <c r="BT19" s="104"/>
      <c r="BU19" s="104"/>
      <c r="BV19" s="104"/>
      <c r="BW19" s="104"/>
      <c r="BX19" s="104"/>
      <c r="BY19" s="104"/>
      <c r="BZ19" s="104"/>
      <c r="CA19" s="104"/>
      <c r="CB19" s="104"/>
      <c r="CC19" s="104"/>
      <c r="CD19" s="104"/>
      <c r="CE19" s="104"/>
      <c r="CF19" s="104"/>
      <c r="CG19" s="104"/>
      <c r="CH19" s="104"/>
      <c r="CI19" s="104"/>
      <c r="CJ19" s="104"/>
      <c r="CK19" s="104"/>
      <c r="CL19" s="104"/>
      <c r="CM19" s="104"/>
      <c r="CN19" s="104"/>
      <c r="CO19" s="104"/>
      <c r="CP19" s="104"/>
      <c r="CQ19" s="104"/>
      <c r="CR19" s="104"/>
      <c r="CS19" s="104"/>
      <c r="CT19" s="104"/>
      <c r="CU19" s="104"/>
      <c r="CV19" s="104"/>
      <c r="CW19" s="104"/>
      <c r="CX19" s="104"/>
      <c r="CY19" s="104"/>
      <c r="CZ19" s="104"/>
      <c r="DA19" s="104"/>
      <c r="DB19" s="104"/>
      <c r="DC19" s="104"/>
      <c r="DD19" s="104"/>
      <c r="DE19" s="104"/>
      <c r="DF19" s="104"/>
      <c r="DG19" s="104"/>
      <c r="DH19" s="104"/>
      <c r="DI19" s="104"/>
      <c r="DJ19" s="104"/>
      <c r="DK19" s="104"/>
      <c r="DL19" s="104"/>
      <c r="DM19" s="104"/>
      <c r="DN19" s="104"/>
      <c r="DO19" s="104"/>
      <c r="DP19" s="104"/>
      <c r="DQ19" s="104"/>
      <c r="DR19" s="104"/>
      <c r="DS19" s="104"/>
      <c r="DT19" s="104"/>
      <c r="DU19" s="104"/>
      <c r="DV19" s="104"/>
      <c r="DW19" s="104"/>
      <c r="DX19" s="104"/>
      <c r="DY19" s="104"/>
      <c r="DZ19" s="104"/>
      <c r="EA19" s="104"/>
      <c r="EB19" s="104"/>
      <c r="EC19" s="104"/>
      <c r="ED19" s="104"/>
      <c r="EE19" s="104"/>
      <c r="EF19" s="104"/>
      <c r="EG19" s="104"/>
      <c r="EH19" s="104"/>
      <c r="EI19" s="104"/>
      <c r="EJ19" s="104"/>
      <c r="EK19" s="104"/>
      <c r="EL19" s="104"/>
      <c r="EM19" s="104"/>
      <c r="EN19" s="104"/>
      <c r="EO19" s="104"/>
      <c r="EP19" s="104"/>
      <c r="EQ19" s="104"/>
      <c r="ER19" s="104"/>
      <c r="ES19" s="104"/>
      <c r="ET19" s="104"/>
      <c r="EU19" s="104"/>
      <c r="EV19" s="104"/>
      <c r="EW19" s="104"/>
      <c r="EX19" s="104"/>
      <c r="EY19" s="104"/>
      <c r="EZ19" s="104"/>
      <c r="FA19" s="104"/>
      <c r="FB19" s="104"/>
      <c r="FC19" s="104"/>
      <c r="FD19" s="104"/>
      <c r="FE19" s="104"/>
      <c r="FF19" s="104"/>
      <c r="FG19" s="104"/>
      <c r="FH19" s="104"/>
      <c r="FI19" s="104"/>
      <c r="FJ19" s="104"/>
      <c r="FK19" s="104"/>
      <c r="FL19" s="104"/>
      <c r="FM19" s="104"/>
      <c r="FN19" s="104"/>
      <c r="FO19" s="104"/>
      <c r="FP19" s="104"/>
      <c r="FQ19" s="104"/>
      <c r="FR19" s="104"/>
      <c r="FS19" s="104"/>
      <c r="FT19" s="104"/>
      <c r="FU19" s="104"/>
      <c r="FV19" s="104"/>
      <c r="FW19" s="104"/>
      <c r="FX19" s="104"/>
      <c r="FY19" s="104"/>
      <c r="FZ19" s="104"/>
      <c r="GA19" s="104"/>
      <c r="GB19" s="104"/>
      <c r="GC19" s="104"/>
      <c r="GD19" s="104"/>
      <c r="GE19" s="104"/>
      <c r="GF19" s="104"/>
      <c r="GG19" s="104"/>
      <c r="GH19" s="104"/>
      <c r="GI19" s="104"/>
      <c r="GJ19" s="104"/>
      <c r="GK19" s="104"/>
      <c r="GL19" s="104"/>
      <c r="GM19" s="104"/>
      <c r="GN19" s="104"/>
      <c r="GO19" s="104"/>
      <c r="GP19" s="104"/>
      <c r="GQ19" s="104"/>
      <c r="GR19" s="104"/>
      <c r="GS19" s="104"/>
      <c r="GT19" s="104"/>
      <c r="GU19" s="104"/>
      <c r="GV19" s="104"/>
      <c r="GW19" s="104"/>
      <c r="GX19" s="104"/>
      <c r="GY19" s="104"/>
      <c r="GZ19" s="104"/>
      <c r="HA19" s="104"/>
      <c r="HB19" s="104"/>
      <c r="HC19" s="104"/>
      <c r="HD19" s="104"/>
      <c r="HE19" s="104"/>
    </row>
    <row r="20" spans="1:213" s="24" customFormat="1" ht="45">
      <c r="A20" s="89"/>
      <c r="B20" s="44">
        <v>85212</v>
      </c>
      <c r="C20" s="72"/>
      <c r="D20" s="70" t="s">
        <v>275</v>
      </c>
      <c r="E20" s="85">
        <f>SUM(E21:E26)</f>
        <v>6551300</v>
      </c>
      <c r="F20" s="85">
        <f>SUM(F21:F26)</f>
        <v>0</v>
      </c>
      <c r="G20" s="85">
        <f>SUM(G21:G26)</f>
        <v>6551300</v>
      </c>
      <c r="H20" s="104"/>
      <c r="I20" s="104"/>
      <c r="J20" s="104"/>
      <c r="K20" s="104"/>
      <c r="L20" s="104"/>
      <c r="M20" s="104"/>
      <c r="N20" s="104"/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104"/>
      <c r="AA20" s="104"/>
      <c r="AB20" s="104"/>
      <c r="AC20" s="104"/>
      <c r="AD20" s="104"/>
      <c r="AE20" s="104"/>
      <c r="AF20" s="104"/>
      <c r="AG20" s="104"/>
      <c r="AH20" s="104"/>
      <c r="AI20" s="104"/>
      <c r="AJ20" s="104"/>
      <c r="AK20" s="104"/>
      <c r="AL20" s="104"/>
      <c r="AM20" s="104"/>
      <c r="AN20" s="104"/>
      <c r="AO20" s="104"/>
      <c r="AP20" s="104"/>
      <c r="AQ20" s="104"/>
      <c r="AR20" s="104"/>
      <c r="AS20" s="104"/>
      <c r="AT20" s="104"/>
      <c r="AU20" s="104"/>
      <c r="AV20" s="104"/>
      <c r="AW20" s="104"/>
      <c r="AX20" s="104"/>
      <c r="AY20" s="104"/>
      <c r="AZ20" s="104"/>
      <c r="BA20" s="104"/>
      <c r="BB20" s="104"/>
      <c r="BC20" s="104"/>
      <c r="BD20" s="104"/>
      <c r="BE20" s="104"/>
      <c r="BF20" s="104"/>
      <c r="BG20" s="104"/>
      <c r="BH20" s="104"/>
      <c r="BI20" s="104"/>
      <c r="BJ20" s="104"/>
      <c r="BK20" s="104"/>
      <c r="BL20" s="104"/>
      <c r="BM20" s="104"/>
      <c r="BN20" s="104"/>
      <c r="BO20" s="104"/>
      <c r="BP20" s="104"/>
      <c r="BQ20" s="104"/>
      <c r="BR20" s="104"/>
      <c r="BS20" s="104"/>
      <c r="BT20" s="104"/>
      <c r="BU20" s="104"/>
      <c r="BV20" s="104"/>
      <c r="BW20" s="104"/>
      <c r="BX20" s="104"/>
      <c r="BY20" s="104"/>
      <c r="BZ20" s="104"/>
      <c r="CA20" s="104"/>
      <c r="CB20" s="104"/>
      <c r="CC20" s="104"/>
      <c r="CD20" s="104"/>
      <c r="CE20" s="104"/>
      <c r="CF20" s="104"/>
      <c r="CG20" s="104"/>
      <c r="CH20" s="104"/>
      <c r="CI20" s="104"/>
      <c r="CJ20" s="104"/>
      <c r="CK20" s="104"/>
      <c r="CL20" s="104"/>
      <c r="CM20" s="104"/>
      <c r="CN20" s="104"/>
      <c r="CO20" s="104"/>
      <c r="CP20" s="104"/>
      <c r="CQ20" s="104"/>
      <c r="CR20" s="104"/>
      <c r="CS20" s="104"/>
      <c r="CT20" s="104"/>
      <c r="CU20" s="104"/>
      <c r="CV20" s="104"/>
      <c r="CW20" s="104"/>
      <c r="CX20" s="104"/>
      <c r="CY20" s="104"/>
      <c r="CZ20" s="104"/>
      <c r="DA20" s="104"/>
      <c r="DB20" s="104"/>
      <c r="DC20" s="104"/>
      <c r="DD20" s="104"/>
      <c r="DE20" s="104"/>
      <c r="DF20" s="104"/>
      <c r="DG20" s="104"/>
      <c r="DH20" s="104"/>
      <c r="DI20" s="104"/>
      <c r="DJ20" s="104"/>
      <c r="DK20" s="104"/>
      <c r="DL20" s="104"/>
      <c r="DM20" s="104"/>
      <c r="DN20" s="104"/>
      <c r="DO20" s="104"/>
      <c r="DP20" s="104"/>
      <c r="DQ20" s="104"/>
      <c r="DR20" s="104"/>
      <c r="DS20" s="104"/>
      <c r="DT20" s="104"/>
      <c r="DU20" s="104"/>
      <c r="DV20" s="104"/>
      <c r="DW20" s="104"/>
      <c r="DX20" s="104"/>
      <c r="DY20" s="104"/>
      <c r="DZ20" s="104"/>
      <c r="EA20" s="104"/>
      <c r="EB20" s="104"/>
      <c r="EC20" s="104"/>
      <c r="ED20" s="104"/>
      <c r="EE20" s="104"/>
      <c r="EF20" s="104"/>
      <c r="EG20" s="104"/>
      <c r="EH20" s="104"/>
      <c r="EI20" s="104"/>
      <c r="EJ20" s="104"/>
      <c r="EK20" s="104"/>
      <c r="EL20" s="104"/>
      <c r="EM20" s="104"/>
      <c r="EN20" s="104"/>
      <c r="EO20" s="104"/>
      <c r="EP20" s="104"/>
      <c r="EQ20" s="104"/>
      <c r="ER20" s="104"/>
      <c r="ES20" s="104"/>
      <c r="ET20" s="104"/>
      <c r="EU20" s="104"/>
      <c r="EV20" s="104"/>
      <c r="EW20" s="104"/>
      <c r="EX20" s="104"/>
      <c r="EY20" s="104"/>
      <c r="EZ20" s="104"/>
      <c r="FA20" s="104"/>
      <c r="FB20" s="104"/>
      <c r="FC20" s="104"/>
      <c r="FD20" s="104"/>
      <c r="FE20" s="104"/>
      <c r="FF20" s="104"/>
      <c r="FG20" s="104"/>
      <c r="FH20" s="104"/>
      <c r="FI20" s="104"/>
      <c r="FJ20" s="104"/>
      <c r="FK20" s="104"/>
      <c r="FL20" s="104"/>
      <c r="FM20" s="104"/>
      <c r="FN20" s="104"/>
      <c r="FO20" s="104"/>
      <c r="FP20" s="104"/>
      <c r="FQ20" s="104"/>
      <c r="FR20" s="104"/>
      <c r="FS20" s="104"/>
      <c r="FT20" s="104"/>
      <c r="FU20" s="104"/>
      <c r="FV20" s="104"/>
      <c r="FW20" s="104"/>
      <c r="FX20" s="104"/>
      <c r="FY20" s="104"/>
      <c r="FZ20" s="104"/>
      <c r="GA20" s="104"/>
      <c r="GB20" s="104"/>
      <c r="GC20" s="104"/>
      <c r="GD20" s="104"/>
      <c r="GE20" s="104"/>
      <c r="GF20" s="104"/>
      <c r="GG20" s="104"/>
      <c r="GH20" s="104"/>
      <c r="GI20" s="104"/>
      <c r="GJ20" s="104"/>
      <c r="GK20" s="104"/>
      <c r="GL20" s="104"/>
      <c r="GM20" s="104"/>
      <c r="GN20" s="104"/>
      <c r="GO20" s="104"/>
      <c r="GP20" s="104"/>
      <c r="GQ20" s="104"/>
      <c r="GR20" s="104"/>
      <c r="GS20" s="104"/>
      <c r="GT20" s="104"/>
      <c r="GU20" s="104"/>
      <c r="GV20" s="104"/>
      <c r="GW20" s="104"/>
      <c r="GX20" s="104"/>
      <c r="GY20" s="104"/>
      <c r="GZ20" s="104"/>
      <c r="HA20" s="104"/>
      <c r="HB20" s="104"/>
      <c r="HC20" s="104"/>
      <c r="HD20" s="104"/>
      <c r="HE20" s="104"/>
    </row>
    <row r="21" spans="1:213" s="24" customFormat="1" ht="21" customHeight="1">
      <c r="A21" s="89"/>
      <c r="B21" s="44"/>
      <c r="C21" s="72">
        <v>3110</v>
      </c>
      <c r="D21" s="70" t="s">
        <v>114</v>
      </c>
      <c r="E21" s="64">
        <f>6354761-50000</f>
        <v>6304761</v>
      </c>
      <c r="F21" s="64"/>
      <c r="G21" s="64">
        <f aca="true" t="shared" si="0" ref="G21:G26">SUM(E21:F21)</f>
        <v>6304761</v>
      </c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104"/>
      <c r="S21" s="104"/>
      <c r="T21" s="104"/>
      <c r="U21" s="104"/>
      <c r="V21" s="104"/>
      <c r="W21" s="104"/>
      <c r="X21" s="104"/>
      <c r="Y21" s="104"/>
      <c r="Z21" s="104"/>
      <c r="AA21" s="104"/>
      <c r="AB21" s="104"/>
      <c r="AC21" s="104"/>
      <c r="AD21" s="104"/>
      <c r="AE21" s="104"/>
      <c r="AF21" s="104"/>
      <c r="AG21" s="104"/>
      <c r="AH21" s="104"/>
      <c r="AI21" s="104"/>
      <c r="AJ21" s="104"/>
      <c r="AK21" s="104"/>
      <c r="AL21" s="104"/>
      <c r="AM21" s="104"/>
      <c r="AN21" s="104"/>
      <c r="AO21" s="104"/>
      <c r="AP21" s="104"/>
      <c r="AQ21" s="104"/>
      <c r="AR21" s="104"/>
      <c r="AS21" s="104"/>
      <c r="AT21" s="104"/>
      <c r="AU21" s="104"/>
      <c r="AV21" s="104"/>
      <c r="AW21" s="104"/>
      <c r="AX21" s="104"/>
      <c r="AY21" s="104"/>
      <c r="AZ21" s="104"/>
      <c r="BA21" s="104"/>
      <c r="BB21" s="104"/>
      <c r="BC21" s="104"/>
      <c r="BD21" s="104"/>
      <c r="BE21" s="104"/>
      <c r="BF21" s="104"/>
      <c r="BG21" s="104"/>
      <c r="BH21" s="104"/>
      <c r="BI21" s="104"/>
      <c r="BJ21" s="104"/>
      <c r="BK21" s="104"/>
      <c r="BL21" s="104"/>
      <c r="BM21" s="104"/>
      <c r="BN21" s="104"/>
      <c r="BO21" s="104"/>
      <c r="BP21" s="104"/>
      <c r="BQ21" s="104"/>
      <c r="BR21" s="104"/>
      <c r="BS21" s="104"/>
      <c r="BT21" s="104"/>
      <c r="BU21" s="104"/>
      <c r="BV21" s="104"/>
      <c r="BW21" s="104"/>
      <c r="BX21" s="104"/>
      <c r="BY21" s="104"/>
      <c r="BZ21" s="104"/>
      <c r="CA21" s="104"/>
      <c r="CB21" s="104"/>
      <c r="CC21" s="104"/>
      <c r="CD21" s="104"/>
      <c r="CE21" s="104"/>
      <c r="CF21" s="104"/>
      <c r="CG21" s="104"/>
      <c r="CH21" s="104"/>
      <c r="CI21" s="104"/>
      <c r="CJ21" s="104"/>
      <c r="CK21" s="104"/>
      <c r="CL21" s="104"/>
      <c r="CM21" s="104"/>
      <c r="CN21" s="104"/>
      <c r="CO21" s="104"/>
      <c r="CP21" s="104"/>
      <c r="CQ21" s="104"/>
      <c r="CR21" s="104"/>
      <c r="CS21" s="104"/>
      <c r="CT21" s="104"/>
      <c r="CU21" s="104"/>
      <c r="CV21" s="104"/>
      <c r="CW21" s="104"/>
      <c r="CX21" s="104"/>
      <c r="CY21" s="104"/>
      <c r="CZ21" s="104"/>
      <c r="DA21" s="104"/>
      <c r="DB21" s="104"/>
      <c r="DC21" s="104"/>
      <c r="DD21" s="104"/>
      <c r="DE21" s="104"/>
      <c r="DF21" s="104"/>
      <c r="DG21" s="104"/>
      <c r="DH21" s="104"/>
      <c r="DI21" s="104"/>
      <c r="DJ21" s="104"/>
      <c r="DK21" s="104"/>
      <c r="DL21" s="104"/>
      <c r="DM21" s="104"/>
      <c r="DN21" s="104"/>
      <c r="DO21" s="104"/>
      <c r="DP21" s="104"/>
      <c r="DQ21" s="104"/>
      <c r="DR21" s="104"/>
      <c r="DS21" s="104"/>
      <c r="DT21" s="104"/>
      <c r="DU21" s="104"/>
      <c r="DV21" s="104"/>
      <c r="DW21" s="104"/>
      <c r="DX21" s="104"/>
      <c r="DY21" s="104"/>
      <c r="DZ21" s="104"/>
      <c r="EA21" s="104"/>
      <c r="EB21" s="104"/>
      <c r="EC21" s="104"/>
      <c r="ED21" s="104"/>
      <c r="EE21" s="104"/>
      <c r="EF21" s="104"/>
      <c r="EG21" s="104"/>
      <c r="EH21" s="104"/>
      <c r="EI21" s="104"/>
      <c r="EJ21" s="104"/>
      <c r="EK21" s="104"/>
      <c r="EL21" s="104"/>
      <c r="EM21" s="104"/>
      <c r="EN21" s="104"/>
      <c r="EO21" s="104"/>
      <c r="EP21" s="104"/>
      <c r="EQ21" s="104"/>
      <c r="ER21" s="104"/>
      <c r="ES21" s="104"/>
      <c r="ET21" s="104"/>
      <c r="EU21" s="104"/>
      <c r="EV21" s="104"/>
      <c r="EW21" s="104"/>
      <c r="EX21" s="104"/>
      <c r="EY21" s="104"/>
      <c r="EZ21" s="104"/>
      <c r="FA21" s="104"/>
      <c r="FB21" s="104"/>
      <c r="FC21" s="104"/>
      <c r="FD21" s="104"/>
      <c r="FE21" s="104"/>
      <c r="FF21" s="104"/>
      <c r="FG21" s="104"/>
      <c r="FH21" s="104"/>
      <c r="FI21" s="104"/>
      <c r="FJ21" s="104"/>
      <c r="FK21" s="104"/>
      <c r="FL21" s="104"/>
      <c r="FM21" s="104"/>
      <c r="FN21" s="104"/>
      <c r="FO21" s="104"/>
      <c r="FP21" s="104"/>
      <c r="FQ21" s="104"/>
      <c r="FR21" s="104"/>
      <c r="FS21" s="104"/>
      <c r="FT21" s="104"/>
      <c r="FU21" s="104"/>
      <c r="FV21" s="104"/>
      <c r="FW21" s="104"/>
      <c r="FX21" s="104"/>
      <c r="FY21" s="104"/>
      <c r="FZ21" s="104"/>
      <c r="GA21" s="104"/>
      <c r="GB21" s="104"/>
      <c r="GC21" s="104"/>
      <c r="GD21" s="104"/>
      <c r="GE21" s="104"/>
      <c r="GF21" s="104"/>
      <c r="GG21" s="104"/>
      <c r="GH21" s="104"/>
      <c r="GI21" s="104"/>
      <c r="GJ21" s="104"/>
      <c r="GK21" s="104"/>
      <c r="GL21" s="104"/>
      <c r="GM21" s="104"/>
      <c r="GN21" s="104"/>
      <c r="GO21" s="104"/>
      <c r="GP21" s="104"/>
      <c r="GQ21" s="104"/>
      <c r="GR21" s="104"/>
      <c r="GS21" s="104"/>
      <c r="GT21" s="104"/>
      <c r="GU21" s="104"/>
      <c r="GV21" s="104"/>
      <c r="GW21" s="104"/>
      <c r="GX21" s="104"/>
      <c r="GY21" s="104"/>
      <c r="GZ21" s="104"/>
      <c r="HA21" s="104"/>
      <c r="HB21" s="104"/>
      <c r="HC21" s="104"/>
      <c r="HD21" s="104"/>
      <c r="HE21" s="104"/>
    </row>
    <row r="22" spans="1:213" s="24" customFormat="1" ht="21" customHeight="1">
      <c r="A22" s="89"/>
      <c r="B22" s="44"/>
      <c r="C22" s="44">
        <v>4010</v>
      </c>
      <c r="D22" s="13" t="s">
        <v>86</v>
      </c>
      <c r="E22" s="64">
        <v>147564</v>
      </c>
      <c r="F22" s="64"/>
      <c r="G22" s="64">
        <f t="shared" si="0"/>
        <v>147564</v>
      </c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04"/>
      <c r="V22" s="104"/>
      <c r="W22" s="104"/>
      <c r="X22" s="104"/>
      <c r="Y22" s="104"/>
      <c r="Z22" s="104"/>
      <c r="AA22" s="104"/>
      <c r="AB22" s="104"/>
      <c r="AC22" s="104"/>
      <c r="AD22" s="104"/>
      <c r="AE22" s="104"/>
      <c r="AF22" s="104"/>
      <c r="AG22" s="104"/>
      <c r="AH22" s="104"/>
      <c r="AI22" s="104"/>
      <c r="AJ22" s="104"/>
      <c r="AK22" s="104"/>
      <c r="AL22" s="104"/>
      <c r="AM22" s="104"/>
      <c r="AN22" s="104"/>
      <c r="AO22" s="104"/>
      <c r="AP22" s="104"/>
      <c r="AQ22" s="104"/>
      <c r="AR22" s="104"/>
      <c r="AS22" s="104"/>
      <c r="AT22" s="104"/>
      <c r="AU22" s="104"/>
      <c r="AV22" s="104"/>
      <c r="AW22" s="104"/>
      <c r="AX22" s="104"/>
      <c r="AY22" s="104"/>
      <c r="AZ22" s="104"/>
      <c r="BA22" s="104"/>
      <c r="BB22" s="104"/>
      <c r="BC22" s="104"/>
      <c r="BD22" s="104"/>
      <c r="BE22" s="104"/>
      <c r="BF22" s="104"/>
      <c r="BG22" s="104"/>
      <c r="BH22" s="104"/>
      <c r="BI22" s="104"/>
      <c r="BJ22" s="104"/>
      <c r="BK22" s="104"/>
      <c r="BL22" s="104"/>
      <c r="BM22" s="104"/>
      <c r="BN22" s="104"/>
      <c r="BO22" s="104"/>
      <c r="BP22" s="104"/>
      <c r="BQ22" s="104"/>
      <c r="BR22" s="104"/>
      <c r="BS22" s="104"/>
      <c r="BT22" s="104"/>
      <c r="BU22" s="104"/>
      <c r="BV22" s="104"/>
      <c r="BW22" s="104"/>
      <c r="BX22" s="104"/>
      <c r="BY22" s="104"/>
      <c r="BZ22" s="104"/>
      <c r="CA22" s="104"/>
      <c r="CB22" s="104"/>
      <c r="CC22" s="104"/>
      <c r="CD22" s="104"/>
      <c r="CE22" s="104"/>
      <c r="CF22" s="104"/>
      <c r="CG22" s="104"/>
      <c r="CH22" s="104"/>
      <c r="CI22" s="104"/>
      <c r="CJ22" s="104"/>
      <c r="CK22" s="104"/>
      <c r="CL22" s="104"/>
      <c r="CM22" s="104"/>
      <c r="CN22" s="104"/>
      <c r="CO22" s="104"/>
      <c r="CP22" s="104"/>
      <c r="CQ22" s="104"/>
      <c r="CR22" s="104"/>
      <c r="CS22" s="104"/>
      <c r="CT22" s="104"/>
      <c r="CU22" s="104"/>
      <c r="CV22" s="104"/>
      <c r="CW22" s="104"/>
      <c r="CX22" s="104"/>
      <c r="CY22" s="104"/>
      <c r="CZ22" s="104"/>
      <c r="DA22" s="104"/>
      <c r="DB22" s="104"/>
      <c r="DC22" s="104"/>
      <c r="DD22" s="104"/>
      <c r="DE22" s="104"/>
      <c r="DF22" s="104"/>
      <c r="DG22" s="104"/>
      <c r="DH22" s="104"/>
      <c r="DI22" s="104"/>
      <c r="DJ22" s="104"/>
      <c r="DK22" s="104"/>
      <c r="DL22" s="104"/>
      <c r="DM22" s="104"/>
      <c r="DN22" s="104"/>
      <c r="DO22" s="104"/>
      <c r="DP22" s="104"/>
      <c r="DQ22" s="104"/>
      <c r="DR22" s="104"/>
      <c r="DS22" s="104"/>
      <c r="DT22" s="104"/>
      <c r="DU22" s="104"/>
      <c r="DV22" s="104"/>
      <c r="DW22" s="104"/>
      <c r="DX22" s="104"/>
      <c r="DY22" s="104"/>
      <c r="DZ22" s="104"/>
      <c r="EA22" s="104"/>
      <c r="EB22" s="104"/>
      <c r="EC22" s="104"/>
      <c r="ED22" s="104"/>
      <c r="EE22" s="104"/>
      <c r="EF22" s="104"/>
      <c r="EG22" s="104"/>
      <c r="EH22" s="104"/>
      <c r="EI22" s="104"/>
      <c r="EJ22" s="104"/>
      <c r="EK22" s="104"/>
      <c r="EL22" s="104"/>
      <c r="EM22" s="104"/>
      <c r="EN22" s="104"/>
      <c r="EO22" s="104"/>
      <c r="EP22" s="104"/>
      <c r="EQ22" s="104"/>
      <c r="ER22" s="104"/>
      <c r="ES22" s="104"/>
      <c r="ET22" s="104"/>
      <c r="EU22" s="104"/>
      <c r="EV22" s="104"/>
      <c r="EW22" s="104"/>
      <c r="EX22" s="104"/>
      <c r="EY22" s="104"/>
      <c r="EZ22" s="104"/>
      <c r="FA22" s="104"/>
      <c r="FB22" s="104"/>
      <c r="FC22" s="104"/>
      <c r="FD22" s="104"/>
      <c r="FE22" s="104"/>
      <c r="FF22" s="104"/>
      <c r="FG22" s="104"/>
      <c r="FH22" s="104"/>
      <c r="FI22" s="104"/>
      <c r="FJ22" s="104"/>
      <c r="FK22" s="104"/>
      <c r="FL22" s="104"/>
      <c r="FM22" s="104"/>
      <c r="FN22" s="104"/>
      <c r="FO22" s="104"/>
      <c r="FP22" s="104"/>
      <c r="FQ22" s="104"/>
      <c r="FR22" s="104"/>
      <c r="FS22" s="104"/>
      <c r="FT22" s="104"/>
      <c r="FU22" s="104"/>
      <c r="FV22" s="104"/>
      <c r="FW22" s="104"/>
      <c r="FX22" s="104"/>
      <c r="FY22" s="104"/>
      <c r="FZ22" s="104"/>
      <c r="GA22" s="104"/>
      <c r="GB22" s="104"/>
      <c r="GC22" s="104"/>
      <c r="GD22" s="104"/>
      <c r="GE22" s="104"/>
      <c r="GF22" s="104"/>
      <c r="GG22" s="104"/>
      <c r="GH22" s="104"/>
      <c r="GI22" s="104"/>
      <c r="GJ22" s="104"/>
      <c r="GK22" s="104"/>
      <c r="GL22" s="104"/>
      <c r="GM22" s="104"/>
      <c r="GN22" s="104"/>
      <c r="GO22" s="104"/>
      <c r="GP22" s="104"/>
      <c r="GQ22" s="104"/>
      <c r="GR22" s="104"/>
      <c r="GS22" s="104"/>
      <c r="GT22" s="104"/>
      <c r="GU22" s="104"/>
      <c r="GV22" s="104"/>
      <c r="GW22" s="104"/>
      <c r="GX22" s="104"/>
      <c r="GY22" s="104"/>
      <c r="GZ22" s="104"/>
      <c r="HA22" s="104"/>
      <c r="HB22" s="104"/>
      <c r="HC22" s="104"/>
      <c r="HD22" s="104"/>
      <c r="HE22" s="104"/>
    </row>
    <row r="23" spans="1:213" s="24" customFormat="1" ht="21" customHeight="1">
      <c r="A23" s="89"/>
      <c r="B23" s="44"/>
      <c r="C23" s="44">
        <v>4040</v>
      </c>
      <c r="D23" s="13" t="s">
        <v>87</v>
      </c>
      <c r="E23" s="64">
        <v>15400</v>
      </c>
      <c r="F23" s="64"/>
      <c r="G23" s="64">
        <f t="shared" si="0"/>
        <v>15400</v>
      </c>
      <c r="H23" s="104"/>
      <c r="I23" s="104"/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104"/>
      <c r="U23" s="104"/>
      <c r="V23" s="104"/>
      <c r="W23" s="104"/>
      <c r="X23" s="104"/>
      <c r="Y23" s="104"/>
      <c r="Z23" s="104"/>
      <c r="AA23" s="104"/>
      <c r="AB23" s="104"/>
      <c r="AC23" s="104"/>
      <c r="AD23" s="104"/>
      <c r="AE23" s="104"/>
      <c r="AF23" s="104"/>
      <c r="AG23" s="104"/>
      <c r="AH23" s="104"/>
      <c r="AI23" s="104"/>
      <c r="AJ23" s="104"/>
      <c r="AK23" s="104"/>
      <c r="AL23" s="104"/>
      <c r="AM23" s="104"/>
      <c r="AN23" s="104"/>
      <c r="AO23" s="104"/>
      <c r="AP23" s="104"/>
      <c r="AQ23" s="104"/>
      <c r="AR23" s="104"/>
      <c r="AS23" s="104"/>
      <c r="AT23" s="104"/>
      <c r="AU23" s="104"/>
      <c r="AV23" s="104"/>
      <c r="AW23" s="104"/>
      <c r="AX23" s="104"/>
      <c r="AY23" s="104"/>
      <c r="AZ23" s="104"/>
      <c r="BA23" s="104"/>
      <c r="BB23" s="104"/>
      <c r="BC23" s="104"/>
      <c r="BD23" s="104"/>
      <c r="BE23" s="104"/>
      <c r="BF23" s="104"/>
      <c r="BG23" s="104"/>
      <c r="BH23" s="104"/>
      <c r="BI23" s="104"/>
      <c r="BJ23" s="104"/>
      <c r="BK23" s="104"/>
      <c r="BL23" s="104"/>
      <c r="BM23" s="104"/>
      <c r="BN23" s="104"/>
      <c r="BO23" s="104"/>
      <c r="BP23" s="104"/>
      <c r="BQ23" s="104"/>
      <c r="BR23" s="104"/>
      <c r="BS23" s="104"/>
      <c r="BT23" s="104"/>
      <c r="BU23" s="104"/>
      <c r="BV23" s="104"/>
      <c r="BW23" s="104"/>
      <c r="BX23" s="104"/>
      <c r="BY23" s="104"/>
      <c r="BZ23" s="104"/>
      <c r="CA23" s="104"/>
      <c r="CB23" s="104"/>
      <c r="CC23" s="104"/>
      <c r="CD23" s="104"/>
      <c r="CE23" s="104"/>
      <c r="CF23" s="104"/>
      <c r="CG23" s="104"/>
      <c r="CH23" s="104"/>
      <c r="CI23" s="104"/>
      <c r="CJ23" s="104"/>
      <c r="CK23" s="104"/>
      <c r="CL23" s="104"/>
      <c r="CM23" s="104"/>
      <c r="CN23" s="104"/>
      <c r="CO23" s="104"/>
      <c r="CP23" s="104"/>
      <c r="CQ23" s="104"/>
      <c r="CR23" s="104"/>
      <c r="CS23" s="104"/>
      <c r="CT23" s="104"/>
      <c r="CU23" s="104"/>
      <c r="CV23" s="104"/>
      <c r="CW23" s="104"/>
      <c r="CX23" s="104"/>
      <c r="CY23" s="104"/>
      <c r="CZ23" s="104"/>
      <c r="DA23" s="104"/>
      <c r="DB23" s="104"/>
      <c r="DC23" s="104"/>
      <c r="DD23" s="104"/>
      <c r="DE23" s="104"/>
      <c r="DF23" s="104"/>
      <c r="DG23" s="104"/>
      <c r="DH23" s="104"/>
      <c r="DI23" s="104"/>
      <c r="DJ23" s="104"/>
      <c r="DK23" s="104"/>
      <c r="DL23" s="104"/>
      <c r="DM23" s="104"/>
      <c r="DN23" s="104"/>
      <c r="DO23" s="104"/>
      <c r="DP23" s="104"/>
      <c r="DQ23" s="104"/>
      <c r="DR23" s="104"/>
      <c r="DS23" s="104"/>
      <c r="DT23" s="104"/>
      <c r="DU23" s="104"/>
      <c r="DV23" s="104"/>
      <c r="DW23" s="104"/>
      <c r="DX23" s="104"/>
      <c r="DY23" s="104"/>
      <c r="DZ23" s="104"/>
      <c r="EA23" s="104"/>
      <c r="EB23" s="104"/>
      <c r="EC23" s="104"/>
      <c r="ED23" s="104"/>
      <c r="EE23" s="104"/>
      <c r="EF23" s="104"/>
      <c r="EG23" s="104"/>
      <c r="EH23" s="104"/>
      <c r="EI23" s="104"/>
      <c r="EJ23" s="104"/>
      <c r="EK23" s="104"/>
      <c r="EL23" s="104"/>
      <c r="EM23" s="104"/>
      <c r="EN23" s="104"/>
      <c r="EO23" s="104"/>
      <c r="EP23" s="104"/>
      <c r="EQ23" s="104"/>
      <c r="ER23" s="104"/>
      <c r="ES23" s="104"/>
      <c r="ET23" s="104"/>
      <c r="EU23" s="104"/>
      <c r="EV23" s="104"/>
      <c r="EW23" s="104"/>
      <c r="EX23" s="104"/>
      <c r="EY23" s="104"/>
      <c r="EZ23" s="104"/>
      <c r="FA23" s="104"/>
      <c r="FB23" s="104"/>
      <c r="FC23" s="104"/>
      <c r="FD23" s="104"/>
      <c r="FE23" s="104"/>
      <c r="FF23" s="104"/>
      <c r="FG23" s="104"/>
      <c r="FH23" s="104"/>
      <c r="FI23" s="104"/>
      <c r="FJ23" s="104"/>
      <c r="FK23" s="104"/>
      <c r="FL23" s="104"/>
      <c r="FM23" s="104"/>
      <c r="FN23" s="104"/>
      <c r="FO23" s="104"/>
      <c r="FP23" s="104"/>
      <c r="FQ23" s="104"/>
      <c r="FR23" s="104"/>
      <c r="FS23" s="104"/>
      <c r="FT23" s="104"/>
      <c r="FU23" s="104"/>
      <c r="FV23" s="104"/>
      <c r="FW23" s="104"/>
      <c r="FX23" s="104"/>
      <c r="FY23" s="104"/>
      <c r="FZ23" s="104"/>
      <c r="GA23" s="104"/>
      <c r="GB23" s="104"/>
      <c r="GC23" s="104"/>
      <c r="GD23" s="104"/>
      <c r="GE23" s="104"/>
      <c r="GF23" s="104"/>
      <c r="GG23" s="104"/>
      <c r="GH23" s="104"/>
      <c r="GI23" s="104"/>
      <c r="GJ23" s="104"/>
      <c r="GK23" s="104"/>
      <c r="GL23" s="104"/>
      <c r="GM23" s="104"/>
      <c r="GN23" s="104"/>
      <c r="GO23" s="104"/>
      <c r="GP23" s="104"/>
      <c r="GQ23" s="104"/>
      <c r="GR23" s="104"/>
      <c r="GS23" s="104"/>
      <c r="GT23" s="104"/>
      <c r="GU23" s="104"/>
      <c r="GV23" s="104"/>
      <c r="GW23" s="104"/>
      <c r="GX23" s="104"/>
      <c r="GY23" s="104"/>
      <c r="GZ23" s="104"/>
      <c r="HA23" s="104"/>
      <c r="HB23" s="104"/>
      <c r="HC23" s="104"/>
      <c r="HD23" s="104"/>
      <c r="HE23" s="104"/>
    </row>
    <row r="24" spans="1:213" s="24" customFormat="1" ht="21" customHeight="1">
      <c r="A24" s="89"/>
      <c r="B24" s="44"/>
      <c r="C24" s="44">
        <v>4110</v>
      </c>
      <c r="D24" s="13" t="s">
        <v>88</v>
      </c>
      <c r="E24" s="64">
        <f>24700+50000</f>
        <v>74700</v>
      </c>
      <c r="F24" s="64"/>
      <c r="G24" s="64">
        <f t="shared" si="0"/>
        <v>74700</v>
      </c>
      <c r="H24" s="104"/>
      <c r="I24" s="104"/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04"/>
      <c r="X24" s="104"/>
      <c r="Y24" s="104"/>
      <c r="Z24" s="104"/>
      <c r="AA24" s="104"/>
      <c r="AB24" s="104"/>
      <c r="AC24" s="104"/>
      <c r="AD24" s="104"/>
      <c r="AE24" s="104"/>
      <c r="AF24" s="104"/>
      <c r="AG24" s="104"/>
      <c r="AH24" s="104"/>
      <c r="AI24" s="104"/>
      <c r="AJ24" s="104"/>
      <c r="AK24" s="104"/>
      <c r="AL24" s="104"/>
      <c r="AM24" s="104"/>
      <c r="AN24" s="104"/>
      <c r="AO24" s="104"/>
      <c r="AP24" s="104"/>
      <c r="AQ24" s="104"/>
      <c r="AR24" s="104"/>
      <c r="AS24" s="104"/>
      <c r="AT24" s="104"/>
      <c r="AU24" s="104"/>
      <c r="AV24" s="104"/>
      <c r="AW24" s="104"/>
      <c r="AX24" s="104"/>
      <c r="AY24" s="104"/>
      <c r="AZ24" s="104"/>
      <c r="BA24" s="104"/>
      <c r="BB24" s="104"/>
      <c r="BC24" s="104"/>
      <c r="BD24" s="104"/>
      <c r="BE24" s="104"/>
      <c r="BF24" s="104"/>
      <c r="BG24" s="104"/>
      <c r="BH24" s="104"/>
      <c r="BI24" s="104"/>
      <c r="BJ24" s="104"/>
      <c r="BK24" s="104"/>
      <c r="BL24" s="104"/>
      <c r="BM24" s="104"/>
      <c r="BN24" s="104"/>
      <c r="BO24" s="104"/>
      <c r="BP24" s="104"/>
      <c r="BQ24" s="104"/>
      <c r="BR24" s="104"/>
      <c r="BS24" s="104"/>
      <c r="BT24" s="104"/>
      <c r="BU24" s="104"/>
      <c r="BV24" s="104"/>
      <c r="BW24" s="104"/>
      <c r="BX24" s="104"/>
      <c r="BY24" s="104"/>
      <c r="BZ24" s="104"/>
      <c r="CA24" s="104"/>
      <c r="CB24" s="104"/>
      <c r="CC24" s="104"/>
      <c r="CD24" s="104"/>
      <c r="CE24" s="104"/>
      <c r="CF24" s="104"/>
      <c r="CG24" s="104"/>
      <c r="CH24" s="104"/>
      <c r="CI24" s="104"/>
      <c r="CJ24" s="104"/>
      <c r="CK24" s="104"/>
      <c r="CL24" s="104"/>
      <c r="CM24" s="104"/>
      <c r="CN24" s="104"/>
      <c r="CO24" s="104"/>
      <c r="CP24" s="104"/>
      <c r="CQ24" s="104"/>
      <c r="CR24" s="104"/>
      <c r="CS24" s="104"/>
      <c r="CT24" s="104"/>
      <c r="CU24" s="104"/>
      <c r="CV24" s="104"/>
      <c r="CW24" s="104"/>
      <c r="CX24" s="104"/>
      <c r="CY24" s="104"/>
      <c r="CZ24" s="104"/>
      <c r="DA24" s="104"/>
      <c r="DB24" s="104"/>
      <c r="DC24" s="104"/>
      <c r="DD24" s="104"/>
      <c r="DE24" s="104"/>
      <c r="DF24" s="104"/>
      <c r="DG24" s="104"/>
      <c r="DH24" s="104"/>
      <c r="DI24" s="104"/>
      <c r="DJ24" s="104"/>
      <c r="DK24" s="104"/>
      <c r="DL24" s="104"/>
      <c r="DM24" s="104"/>
      <c r="DN24" s="104"/>
      <c r="DO24" s="104"/>
      <c r="DP24" s="104"/>
      <c r="DQ24" s="104"/>
      <c r="DR24" s="104"/>
      <c r="DS24" s="104"/>
      <c r="DT24" s="104"/>
      <c r="DU24" s="104"/>
      <c r="DV24" s="104"/>
      <c r="DW24" s="104"/>
      <c r="DX24" s="104"/>
      <c r="DY24" s="104"/>
      <c r="DZ24" s="104"/>
      <c r="EA24" s="104"/>
      <c r="EB24" s="104"/>
      <c r="EC24" s="104"/>
      <c r="ED24" s="104"/>
      <c r="EE24" s="104"/>
      <c r="EF24" s="104"/>
      <c r="EG24" s="104"/>
      <c r="EH24" s="104"/>
      <c r="EI24" s="104"/>
      <c r="EJ24" s="104"/>
      <c r="EK24" s="104"/>
      <c r="EL24" s="104"/>
      <c r="EM24" s="104"/>
      <c r="EN24" s="104"/>
      <c r="EO24" s="104"/>
      <c r="EP24" s="104"/>
      <c r="EQ24" s="104"/>
      <c r="ER24" s="104"/>
      <c r="ES24" s="104"/>
      <c r="ET24" s="104"/>
      <c r="EU24" s="104"/>
      <c r="EV24" s="104"/>
      <c r="EW24" s="104"/>
      <c r="EX24" s="104"/>
      <c r="EY24" s="104"/>
      <c r="EZ24" s="104"/>
      <c r="FA24" s="104"/>
      <c r="FB24" s="104"/>
      <c r="FC24" s="104"/>
      <c r="FD24" s="104"/>
      <c r="FE24" s="104"/>
      <c r="FF24" s="104"/>
      <c r="FG24" s="104"/>
      <c r="FH24" s="104"/>
      <c r="FI24" s="104"/>
      <c r="FJ24" s="104"/>
      <c r="FK24" s="104"/>
      <c r="FL24" s="104"/>
      <c r="FM24" s="104"/>
      <c r="FN24" s="104"/>
      <c r="FO24" s="104"/>
      <c r="FP24" s="104"/>
      <c r="FQ24" s="104"/>
      <c r="FR24" s="104"/>
      <c r="FS24" s="104"/>
      <c r="FT24" s="104"/>
      <c r="FU24" s="104"/>
      <c r="FV24" s="104"/>
      <c r="FW24" s="104"/>
      <c r="FX24" s="104"/>
      <c r="FY24" s="104"/>
      <c r="FZ24" s="104"/>
      <c r="GA24" s="104"/>
      <c r="GB24" s="104"/>
      <c r="GC24" s="104"/>
      <c r="GD24" s="104"/>
      <c r="GE24" s="104"/>
      <c r="GF24" s="104"/>
      <c r="GG24" s="104"/>
      <c r="GH24" s="104"/>
      <c r="GI24" s="104"/>
      <c r="GJ24" s="104"/>
      <c r="GK24" s="104"/>
      <c r="GL24" s="104"/>
      <c r="GM24" s="104"/>
      <c r="GN24" s="104"/>
      <c r="GO24" s="104"/>
      <c r="GP24" s="104"/>
      <c r="GQ24" s="104"/>
      <c r="GR24" s="104"/>
      <c r="GS24" s="104"/>
      <c r="GT24" s="104"/>
      <c r="GU24" s="104"/>
      <c r="GV24" s="104"/>
      <c r="GW24" s="104"/>
      <c r="GX24" s="104"/>
      <c r="GY24" s="104"/>
      <c r="GZ24" s="104"/>
      <c r="HA24" s="104"/>
      <c r="HB24" s="104"/>
      <c r="HC24" s="104"/>
      <c r="HD24" s="104"/>
      <c r="HE24" s="104"/>
    </row>
    <row r="25" spans="1:213" s="24" customFormat="1" ht="21" customHeight="1">
      <c r="A25" s="89"/>
      <c r="B25" s="44"/>
      <c r="C25" s="44">
        <v>4120</v>
      </c>
      <c r="D25" s="13" t="s">
        <v>89</v>
      </c>
      <c r="E25" s="64">
        <v>4000</v>
      </c>
      <c r="F25" s="64"/>
      <c r="G25" s="64">
        <f t="shared" si="0"/>
        <v>4000</v>
      </c>
      <c r="H25" s="104"/>
      <c r="I25" s="104"/>
      <c r="J25" s="104"/>
      <c r="K25" s="104"/>
      <c r="L25" s="104"/>
      <c r="M25" s="104"/>
      <c r="N25" s="104"/>
      <c r="O25" s="104"/>
      <c r="P25" s="104"/>
      <c r="Q25" s="104"/>
      <c r="R25" s="104"/>
      <c r="S25" s="104"/>
      <c r="T25" s="104"/>
      <c r="U25" s="104"/>
      <c r="V25" s="104"/>
      <c r="W25" s="104"/>
      <c r="X25" s="104"/>
      <c r="Y25" s="104"/>
      <c r="Z25" s="104"/>
      <c r="AA25" s="104"/>
      <c r="AB25" s="104"/>
      <c r="AC25" s="104"/>
      <c r="AD25" s="104"/>
      <c r="AE25" s="104"/>
      <c r="AF25" s="104"/>
      <c r="AG25" s="104"/>
      <c r="AH25" s="104"/>
      <c r="AI25" s="104"/>
      <c r="AJ25" s="104"/>
      <c r="AK25" s="104"/>
      <c r="AL25" s="104"/>
      <c r="AM25" s="104"/>
      <c r="AN25" s="104"/>
      <c r="AO25" s="104"/>
      <c r="AP25" s="104"/>
      <c r="AQ25" s="104"/>
      <c r="AR25" s="104"/>
      <c r="AS25" s="104"/>
      <c r="AT25" s="104"/>
      <c r="AU25" s="104"/>
      <c r="AV25" s="104"/>
      <c r="AW25" s="104"/>
      <c r="AX25" s="104"/>
      <c r="AY25" s="104"/>
      <c r="AZ25" s="104"/>
      <c r="BA25" s="104"/>
      <c r="BB25" s="104"/>
      <c r="BC25" s="104"/>
      <c r="BD25" s="104"/>
      <c r="BE25" s="104"/>
      <c r="BF25" s="104"/>
      <c r="BG25" s="104"/>
      <c r="BH25" s="104"/>
      <c r="BI25" s="104"/>
      <c r="BJ25" s="104"/>
      <c r="BK25" s="104"/>
      <c r="BL25" s="104"/>
      <c r="BM25" s="104"/>
      <c r="BN25" s="104"/>
      <c r="BO25" s="104"/>
      <c r="BP25" s="104"/>
      <c r="BQ25" s="104"/>
      <c r="BR25" s="104"/>
      <c r="BS25" s="104"/>
      <c r="BT25" s="104"/>
      <c r="BU25" s="104"/>
      <c r="BV25" s="104"/>
      <c r="BW25" s="104"/>
      <c r="BX25" s="104"/>
      <c r="BY25" s="104"/>
      <c r="BZ25" s="104"/>
      <c r="CA25" s="104"/>
      <c r="CB25" s="104"/>
      <c r="CC25" s="104"/>
      <c r="CD25" s="104"/>
      <c r="CE25" s="104"/>
      <c r="CF25" s="104"/>
      <c r="CG25" s="104"/>
      <c r="CH25" s="104"/>
      <c r="CI25" s="104"/>
      <c r="CJ25" s="104"/>
      <c r="CK25" s="104"/>
      <c r="CL25" s="104"/>
      <c r="CM25" s="104"/>
      <c r="CN25" s="104"/>
      <c r="CO25" s="104"/>
      <c r="CP25" s="104"/>
      <c r="CQ25" s="104"/>
      <c r="CR25" s="104"/>
      <c r="CS25" s="104"/>
      <c r="CT25" s="104"/>
      <c r="CU25" s="104"/>
      <c r="CV25" s="104"/>
      <c r="CW25" s="104"/>
      <c r="CX25" s="104"/>
      <c r="CY25" s="104"/>
      <c r="CZ25" s="104"/>
      <c r="DA25" s="104"/>
      <c r="DB25" s="104"/>
      <c r="DC25" s="104"/>
      <c r="DD25" s="104"/>
      <c r="DE25" s="104"/>
      <c r="DF25" s="104"/>
      <c r="DG25" s="104"/>
      <c r="DH25" s="104"/>
      <c r="DI25" s="104"/>
      <c r="DJ25" s="104"/>
      <c r="DK25" s="104"/>
      <c r="DL25" s="104"/>
      <c r="DM25" s="104"/>
      <c r="DN25" s="104"/>
      <c r="DO25" s="104"/>
      <c r="DP25" s="104"/>
      <c r="DQ25" s="104"/>
      <c r="DR25" s="104"/>
      <c r="DS25" s="104"/>
      <c r="DT25" s="104"/>
      <c r="DU25" s="104"/>
      <c r="DV25" s="104"/>
      <c r="DW25" s="104"/>
      <c r="DX25" s="104"/>
      <c r="DY25" s="104"/>
      <c r="DZ25" s="104"/>
      <c r="EA25" s="104"/>
      <c r="EB25" s="104"/>
      <c r="EC25" s="104"/>
      <c r="ED25" s="104"/>
      <c r="EE25" s="104"/>
      <c r="EF25" s="104"/>
      <c r="EG25" s="104"/>
      <c r="EH25" s="104"/>
      <c r="EI25" s="104"/>
      <c r="EJ25" s="104"/>
      <c r="EK25" s="104"/>
      <c r="EL25" s="104"/>
      <c r="EM25" s="104"/>
      <c r="EN25" s="104"/>
      <c r="EO25" s="104"/>
      <c r="EP25" s="104"/>
      <c r="EQ25" s="104"/>
      <c r="ER25" s="104"/>
      <c r="ES25" s="104"/>
      <c r="ET25" s="104"/>
      <c r="EU25" s="104"/>
      <c r="EV25" s="104"/>
      <c r="EW25" s="104"/>
      <c r="EX25" s="104"/>
      <c r="EY25" s="104"/>
      <c r="EZ25" s="104"/>
      <c r="FA25" s="104"/>
      <c r="FB25" s="104"/>
      <c r="FC25" s="104"/>
      <c r="FD25" s="104"/>
      <c r="FE25" s="104"/>
      <c r="FF25" s="104"/>
      <c r="FG25" s="104"/>
      <c r="FH25" s="104"/>
      <c r="FI25" s="104"/>
      <c r="FJ25" s="104"/>
      <c r="FK25" s="104"/>
      <c r="FL25" s="104"/>
      <c r="FM25" s="104"/>
      <c r="FN25" s="104"/>
      <c r="FO25" s="104"/>
      <c r="FP25" s="104"/>
      <c r="FQ25" s="104"/>
      <c r="FR25" s="104"/>
      <c r="FS25" s="104"/>
      <c r="FT25" s="104"/>
      <c r="FU25" s="104"/>
      <c r="FV25" s="104"/>
      <c r="FW25" s="104"/>
      <c r="FX25" s="104"/>
      <c r="FY25" s="104"/>
      <c r="FZ25" s="104"/>
      <c r="GA25" s="104"/>
      <c r="GB25" s="104"/>
      <c r="GC25" s="104"/>
      <c r="GD25" s="104"/>
      <c r="GE25" s="104"/>
      <c r="GF25" s="104"/>
      <c r="GG25" s="104"/>
      <c r="GH25" s="104"/>
      <c r="GI25" s="104"/>
      <c r="GJ25" s="104"/>
      <c r="GK25" s="104"/>
      <c r="GL25" s="104"/>
      <c r="GM25" s="104"/>
      <c r="GN25" s="104"/>
      <c r="GO25" s="104"/>
      <c r="GP25" s="104"/>
      <c r="GQ25" s="104"/>
      <c r="GR25" s="104"/>
      <c r="GS25" s="104"/>
      <c r="GT25" s="104"/>
      <c r="GU25" s="104"/>
      <c r="GV25" s="104"/>
      <c r="GW25" s="104"/>
      <c r="GX25" s="104"/>
      <c r="GY25" s="104"/>
      <c r="GZ25" s="104"/>
      <c r="HA25" s="104"/>
      <c r="HB25" s="104"/>
      <c r="HC25" s="104"/>
      <c r="HD25" s="104"/>
      <c r="HE25" s="104"/>
    </row>
    <row r="26" spans="1:213" s="24" customFormat="1" ht="22.5">
      <c r="A26" s="89"/>
      <c r="B26" s="44"/>
      <c r="C26" s="44">
        <v>4440</v>
      </c>
      <c r="D26" s="13" t="s">
        <v>90</v>
      </c>
      <c r="E26" s="64">
        <v>4875</v>
      </c>
      <c r="F26" s="64"/>
      <c r="G26" s="64">
        <f t="shared" si="0"/>
        <v>4875</v>
      </c>
      <c r="H26" s="104"/>
      <c r="I26" s="104"/>
      <c r="J26" s="104"/>
      <c r="K26" s="104"/>
      <c r="L26" s="104"/>
      <c r="M26" s="104"/>
      <c r="N26" s="104"/>
      <c r="O26" s="104"/>
      <c r="P26" s="104"/>
      <c r="Q26" s="104"/>
      <c r="R26" s="104"/>
      <c r="S26" s="104"/>
      <c r="T26" s="104"/>
      <c r="U26" s="104"/>
      <c r="V26" s="104"/>
      <c r="W26" s="104"/>
      <c r="X26" s="104"/>
      <c r="Y26" s="104"/>
      <c r="Z26" s="104"/>
      <c r="AA26" s="104"/>
      <c r="AB26" s="104"/>
      <c r="AC26" s="104"/>
      <c r="AD26" s="104"/>
      <c r="AE26" s="104"/>
      <c r="AF26" s="104"/>
      <c r="AG26" s="104"/>
      <c r="AH26" s="104"/>
      <c r="AI26" s="104"/>
      <c r="AJ26" s="104"/>
      <c r="AK26" s="104"/>
      <c r="AL26" s="104"/>
      <c r="AM26" s="104"/>
      <c r="AN26" s="104"/>
      <c r="AO26" s="104"/>
      <c r="AP26" s="104"/>
      <c r="AQ26" s="104"/>
      <c r="AR26" s="104"/>
      <c r="AS26" s="104"/>
      <c r="AT26" s="104"/>
      <c r="AU26" s="104"/>
      <c r="AV26" s="104"/>
      <c r="AW26" s="104"/>
      <c r="AX26" s="104"/>
      <c r="AY26" s="104"/>
      <c r="AZ26" s="104"/>
      <c r="BA26" s="104"/>
      <c r="BB26" s="104"/>
      <c r="BC26" s="104"/>
      <c r="BD26" s="104"/>
      <c r="BE26" s="104"/>
      <c r="BF26" s="104"/>
      <c r="BG26" s="104"/>
      <c r="BH26" s="104"/>
      <c r="BI26" s="104"/>
      <c r="BJ26" s="104"/>
      <c r="BK26" s="104"/>
      <c r="BL26" s="104"/>
      <c r="BM26" s="104"/>
      <c r="BN26" s="104"/>
      <c r="BO26" s="104"/>
      <c r="BP26" s="104"/>
      <c r="BQ26" s="104"/>
      <c r="BR26" s="104"/>
      <c r="BS26" s="104"/>
      <c r="BT26" s="104"/>
      <c r="BU26" s="104"/>
      <c r="BV26" s="104"/>
      <c r="BW26" s="104"/>
      <c r="BX26" s="104"/>
      <c r="BY26" s="104"/>
      <c r="BZ26" s="104"/>
      <c r="CA26" s="104"/>
      <c r="CB26" s="104"/>
      <c r="CC26" s="104"/>
      <c r="CD26" s="104"/>
      <c r="CE26" s="104"/>
      <c r="CF26" s="104"/>
      <c r="CG26" s="104"/>
      <c r="CH26" s="104"/>
      <c r="CI26" s="104"/>
      <c r="CJ26" s="104"/>
      <c r="CK26" s="104"/>
      <c r="CL26" s="104"/>
      <c r="CM26" s="104"/>
      <c r="CN26" s="104"/>
      <c r="CO26" s="104"/>
      <c r="CP26" s="104"/>
      <c r="CQ26" s="104"/>
      <c r="CR26" s="104"/>
      <c r="CS26" s="104"/>
      <c r="CT26" s="104"/>
      <c r="CU26" s="104"/>
      <c r="CV26" s="104"/>
      <c r="CW26" s="104"/>
      <c r="CX26" s="104"/>
      <c r="CY26" s="104"/>
      <c r="CZ26" s="104"/>
      <c r="DA26" s="104"/>
      <c r="DB26" s="104"/>
      <c r="DC26" s="104"/>
      <c r="DD26" s="104"/>
      <c r="DE26" s="104"/>
      <c r="DF26" s="104"/>
      <c r="DG26" s="104"/>
      <c r="DH26" s="104"/>
      <c r="DI26" s="104"/>
      <c r="DJ26" s="104"/>
      <c r="DK26" s="104"/>
      <c r="DL26" s="104"/>
      <c r="DM26" s="104"/>
      <c r="DN26" s="104"/>
      <c r="DO26" s="104"/>
      <c r="DP26" s="104"/>
      <c r="DQ26" s="104"/>
      <c r="DR26" s="104"/>
      <c r="DS26" s="104"/>
      <c r="DT26" s="104"/>
      <c r="DU26" s="104"/>
      <c r="DV26" s="104"/>
      <c r="DW26" s="104"/>
      <c r="DX26" s="104"/>
      <c r="DY26" s="104"/>
      <c r="DZ26" s="104"/>
      <c r="EA26" s="104"/>
      <c r="EB26" s="104"/>
      <c r="EC26" s="104"/>
      <c r="ED26" s="104"/>
      <c r="EE26" s="104"/>
      <c r="EF26" s="104"/>
      <c r="EG26" s="104"/>
      <c r="EH26" s="104"/>
      <c r="EI26" s="104"/>
      <c r="EJ26" s="104"/>
      <c r="EK26" s="104"/>
      <c r="EL26" s="104"/>
      <c r="EM26" s="104"/>
      <c r="EN26" s="104"/>
      <c r="EO26" s="104"/>
      <c r="EP26" s="104"/>
      <c r="EQ26" s="104"/>
      <c r="ER26" s="104"/>
      <c r="ES26" s="104"/>
      <c r="ET26" s="104"/>
      <c r="EU26" s="104"/>
      <c r="EV26" s="104"/>
      <c r="EW26" s="104"/>
      <c r="EX26" s="104"/>
      <c r="EY26" s="104"/>
      <c r="EZ26" s="104"/>
      <c r="FA26" s="104"/>
      <c r="FB26" s="104"/>
      <c r="FC26" s="104"/>
      <c r="FD26" s="104"/>
      <c r="FE26" s="104"/>
      <c r="FF26" s="104"/>
      <c r="FG26" s="104"/>
      <c r="FH26" s="104"/>
      <c r="FI26" s="104"/>
      <c r="FJ26" s="104"/>
      <c r="FK26" s="104"/>
      <c r="FL26" s="104"/>
      <c r="FM26" s="104"/>
      <c r="FN26" s="104"/>
      <c r="FO26" s="104"/>
      <c r="FP26" s="104"/>
      <c r="FQ26" s="104"/>
      <c r="FR26" s="104"/>
      <c r="FS26" s="104"/>
      <c r="FT26" s="104"/>
      <c r="FU26" s="104"/>
      <c r="FV26" s="104"/>
      <c r="FW26" s="104"/>
      <c r="FX26" s="104"/>
      <c r="FY26" s="104"/>
      <c r="FZ26" s="104"/>
      <c r="GA26" s="104"/>
      <c r="GB26" s="104"/>
      <c r="GC26" s="104"/>
      <c r="GD26" s="104"/>
      <c r="GE26" s="104"/>
      <c r="GF26" s="104"/>
      <c r="GG26" s="104"/>
      <c r="GH26" s="104"/>
      <c r="GI26" s="104"/>
      <c r="GJ26" s="104"/>
      <c r="GK26" s="104"/>
      <c r="GL26" s="104"/>
      <c r="GM26" s="104"/>
      <c r="GN26" s="104"/>
      <c r="GO26" s="104"/>
      <c r="GP26" s="104"/>
      <c r="GQ26" s="104"/>
      <c r="GR26" s="104"/>
      <c r="GS26" s="104"/>
      <c r="GT26" s="104"/>
      <c r="GU26" s="104"/>
      <c r="GV26" s="104"/>
      <c r="GW26" s="104"/>
      <c r="GX26" s="104"/>
      <c r="GY26" s="104"/>
      <c r="GZ26" s="104"/>
      <c r="HA26" s="104"/>
      <c r="HB26" s="104"/>
      <c r="HC26" s="104"/>
      <c r="HD26" s="104"/>
      <c r="HE26" s="104"/>
    </row>
    <row r="27" spans="1:213" s="24" customFormat="1" ht="78.75">
      <c r="A27" s="66"/>
      <c r="B27" s="44">
        <v>85213</v>
      </c>
      <c r="C27" s="73"/>
      <c r="D27" s="70" t="s">
        <v>339</v>
      </c>
      <c r="E27" s="85">
        <f>SUM(E28)</f>
        <v>12000</v>
      </c>
      <c r="F27" s="85">
        <f>SUM(F28)</f>
        <v>-73</v>
      </c>
      <c r="G27" s="85">
        <f>SUM(G28)</f>
        <v>11927</v>
      </c>
      <c r="H27" s="104"/>
      <c r="I27" s="104"/>
      <c r="J27" s="104"/>
      <c r="K27" s="104"/>
      <c r="L27" s="104"/>
      <c r="M27" s="104"/>
      <c r="N27" s="104"/>
      <c r="O27" s="104"/>
      <c r="P27" s="104"/>
      <c r="Q27" s="104"/>
      <c r="R27" s="104"/>
      <c r="S27" s="104"/>
      <c r="T27" s="104"/>
      <c r="U27" s="104"/>
      <c r="V27" s="104"/>
      <c r="W27" s="104"/>
      <c r="X27" s="104"/>
      <c r="Y27" s="104"/>
      <c r="Z27" s="104"/>
      <c r="AA27" s="104"/>
      <c r="AB27" s="104"/>
      <c r="AC27" s="104"/>
      <c r="AD27" s="104"/>
      <c r="AE27" s="104"/>
      <c r="AF27" s="104"/>
      <c r="AG27" s="104"/>
      <c r="AH27" s="104"/>
      <c r="AI27" s="104"/>
      <c r="AJ27" s="104"/>
      <c r="AK27" s="104"/>
      <c r="AL27" s="104"/>
      <c r="AM27" s="104"/>
      <c r="AN27" s="104"/>
      <c r="AO27" s="104"/>
      <c r="AP27" s="104"/>
      <c r="AQ27" s="104"/>
      <c r="AR27" s="104"/>
      <c r="AS27" s="104"/>
      <c r="AT27" s="104"/>
      <c r="AU27" s="104"/>
      <c r="AV27" s="104"/>
      <c r="AW27" s="104"/>
      <c r="AX27" s="104"/>
      <c r="AY27" s="104"/>
      <c r="AZ27" s="104"/>
      <c r="BA27" s="104"/>
      <c r="BB27" s="104"/>
      <c r="BC27" s="104"/>
      <c r="BD27" s="104"/>
      <c r="BE27" s="104"/>
      <c r="BF27" s="104"/>
      <c r="BG27" s="104"/>
      <c r="BH27" s="104"/>
      <c r="BI27" s="104"/>
      <c r="BJ27" s="104"/>
      <c r="BK27" s="104"/>
      <c r="BL27" s="104"/>
      <c r="BM27" s="104"/>
      <c r="BN27" s="104"/>
      <c r="BO27" s="104"/>
      <c r="BP27" s="104"/>
      <c r="BQ27" s="104"/>
      <c r="BR27" s="104"/>
      <c r="BS27" s="104"/>
      <c r="BT27" s="104"/>
      <c r="BU27" s="104"/>
      <c r="BV27" s="104"/>
      <c r="BW27" s="104"/>
      <c r="BX27" s="104"/>
      <c r="BY27" s="104"/>
      <c r="BZ27" s="104"/>
      <c r="CA27" s="104"/>
      <c r="CB27" s="104"/>
      <c r="CC27" s="104"/>
      <c r="CD27" s="104"/>
      <c r="CE27" s="104"/>
      <c r="CF27" s="104"/>
      <c r="CG27" s="104"/>
      <c r="CH27" s="104"/>
      <c r="CI27" s="104"/>
      <c r="CJ27" s="104"/>
      <c r="CK27" s="104"/>
      <c r="CL27" s="104"/>
      <c r="CM27" s="104"/>
      <c r="CN27" s="104"/>
      <c r="CO27" s="104"/>
      <c r="CP27" s="104"/>
      <c r="CQ27" s="104"/>
      <c r="CR27" s="104"/>
      <c r="CS27" s="104"/>
      <c r="CT27" s="104"/>
      <c r="CU27" s="104"/>
      <c r="CV27" s="104"/>
      <c r="CW27" s="104"/>
      <c r="CX27" s="104"/>
      <c r="CY27" s="104"/>
      <c r="CZ27" s="104"/>
      <c r="DA27" s="104"/>
      <c r="DB27" s="104"/>
      <c r="DC27" s="104"/>
      <c r="DD27" s="104"/>
      <c r="DE27" s="104"/>
      <c r="DF27" s="104"/>
      <c r="DG27" s="104"/>
      <c r="DH27" s="104"/>
      <c r="DI27" s="104"/>
      <c r="DJ27" s="104"/>
      <c r="DK27" s="104"/>
      <c r="DL27" s="104"/>
      <c r="DM27" s="104"/>
      <c r="DN27" s="104"/>
      <c r="DO27" s="104"/>
      <c r="DP27" s="104"/>
      <c r="DQ27" s="104"/>
      <c r="DR27" s="104"/>
      <c r="DS27" s="104"/>
      <c r="DT27" s="104"/>
      <c r="DU27" s="104"/>
      <c r="DV27" s="104"/>
      <c r="DW27" s="104"/>
      <c r="DX27" s="104"/>
      <c r="DY27" s="104"/>
      <c r="DZ27" s="104"/>
      <c r="EA27" s="104"/>
      <c r="EB27" s="104"/>
      <c r="EC27" s="104"/>
      <c r="ED27" s="104"/>
      <c r="EE27" s="104"/>
      <c r="EF27" s="104"/>
      <c r="EG27" s="104"/>
      <c r="EH27" s="104"/>
      <c r="EI27" s="104"/>
      <c r="EJ27" s="104"/>
      <c r="EK27" s="104"/>
      <c r="EL27" s="104"/>
      <c r="EM27" s="104"/>
      <c r="EN27" s="104"/>
      <c r="EO27" s="104"/>
      <c r="EP27" s="104"/>
      <c r="EQ27" s="104"/>
      <c r="ER27" s="104"/>
      <c r="ES27" s="104"/>
      <c r="ET27" s="104"/>
      <c r="EU27" s="104"/>
      <c r="EV27" s="104"/>
      <c r="EW27" s="104"/>
      <c r="EX27" s="104"/>
      <c r="EY27" s="104"/>
      <c r="EZ27" s="104"/>
      <c r="FA27" s="104"/>
      <c r="FB27" s="104"/>
      <c r="FC27" s="104"/>
      <c r="FD27" s="104"/>
      <c r="FE27" s="104"/>
      <c r="FF27" s="104"/>
      <c r="FG27" s="104"/>
      <c r="FH27" s="104"/>
      <c r="FI27" s="104"/>
      <c r="FJ27" s="104"/>
      <c r="FK27" s="104"/>
      <c r="FL27" s="104"/>
      <c r="FM27" s="104"/>
      <c r="FN27" s="104"/>
      <c r="FO27" s="104"/>
      <c r="FP27" s="104"/>
      <c r="FQ27" s="104"/>
      <c r="FR27" s="104"/>
      <c r="FS27" s="104"/>
      <c r="FT27" s="104"/>
      <c r="FU27" s="104"/>
      <c r="FV27" s="104"/>
      <c r="FW27" s="104"/>
      <c r="FX27" s="104"/>
      <c r="FY27" s="104"/>
      <c r="FZ27" s="104"/>
      <c r="GA27" s="104"/>
      <c r="GB27" s="104"/>
      <c r="GC27" s="104"/>
      <c r="GD27" s="104"/>
      <c r="GE27" s="104"/>
      <c r="GF27" s="104"/>
      <c r="GG27" s="104"/>
      <c r="GH27" s="104"/>
      <c r="GI27" s="104"/>
      <c r="GJ27" s="104"/>
      <c r="GK27" s="104"/>
      <c r="GL27" s="104"/>
      <c r="GM27" s="104"/>
      <c r="GN27" s="104"/>
      <c r="GO27" s="104"/>
      <c r="GP27" s="104"/>
      <c r="GQ27" s="104"/>
      <c r="GR27" s="104"/>
      <c r="GS27" s="104"/>
      <c r="GT27" s="104"/>
      <c r="GU27" s="104"/>
      <c r="GV27" s="104"/>
      <c r="GW27" s="104"/>
      <c r="GX27" s="104"/>
      <c r="GY27" s="104"/>
      <c r="GZ27" s="104"/>
      <c r="HA27" s="104"/>
      <c r="HB27" s="104"/>
      <c r="HC27" s="104"/>
      <c r="HD27" s="104"/>
      <c r="HE27" s="104"/>
    </row>
    <row r="28" spans="1:213" s="24" customFormat="1" ht="21" customHeight="1">
      <c r="A28" s="66"/>
      <c r="B28" s="44"/>
      <c r="C28" s="73">
        <v>4130</v>
      </c>
      <c r="D28" s="70" t="s">
        <v>122</v>
      </c>
      <c r="E28" s="85">
        <v>12000</v>
      </c>
      <c r="F28" s="85">
        <v>-73</v>
      </c>
      <c r="G28" s="85">
        <f>SUM(E28:F28)</f>
        <v>11927</v>
      </c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04"/>
      <c r="X28" s="104"/>
      <c r="Y28" s="104"/>
      <c r="Z28" s="104"/>
      <c r="AA28" s="104"/>
      <c r="AB28" s="104"/>
      <c r="AC28" s="104"/>
      <c r="AD28" s="104"/>
      <c r="AE28" s="104"/>
      <c r="AF28" s="104"/>
      <c r="AG28" s="104"/>
      <c r="AH28" s="104"/>
      <c r="AI28" s="104"/>
      <c r="AJ28" s="104"/>
      <c r="AK28" s="104"/>
      <c r="AL28" s="104"/>
      <c r="AM28" s="104"/>
      <c r="AN28" s="104"/>
      <c r="AO28" s="104"/>
      <c r="AP28" s="104"/>
      <c r="AQ28" s="104"/>
      <c r="AR28" s="104"/>
      <c r="AS28" s="104"/>
      <c r="AT28" s="104"/>
      <c r="AU28" s="104"/>
      <c r="AV28" s="104"/>
      <c r="AW28" s="104"/>
      <c r="AX28" s="104"/>
      <c r="AY28" s="104"/>
      <c r="AZ28" s="104"/>
      <c r="BA28" s="104"/>
      <c r="BB28" s="104"/>
      <c r="BC28" s="104"/>
      <c r="BD28" s="104"/>
      <c r="BE28" s="104"/>
      <c r="BF28" s="104"/>
      <c r="BG28" s="104"/>
      <c r="BH28" s="104"/>
      <c r="BI28" s="104"/>
      <c r="BJ28" s="104"/>
      <c r="BK28" s="104"/>
      <c r="BL28" s="104"/>
      <c r="BM28" s="104"/>
      <c r="BN28" s="104"/>
      <c r="BO28" s="104"/>
      <c r="BP28" s="104"/>
      <c r="BQ28" s="104"/>
      <c r="BR28" s="104"/>
      <c r="BS28" s="104"/>
      <c r="BT28" s="104"/>
      <c r="BU28" s="104"/>
      <c r="BV28" s="104"/>
      <c r="BW28" s="104"/>
      <c r="BX28" s="104"/>
      <c r="BY28" s="104"/>
      <c r="BZ28" s="104"/>
      <c r="CA28" s="104"/>
      <c r="CB28" s="104"/>
      <c r="CC28" s="104"/>
      <c r="CD28" s="104"/>
      <c r="CE28" s="104"/>
      <c r="CF28" s="104"/>
      <c r="CG28" s="104"/>
      <c r="CH28" s="104"/>
      <c r="CI28" s="104"/>
      <c r="CJ28" s="104"/>
      <c r="CK28" s="104"/>
      <c r="CL28" s="104"/>
      <c r="CM28" s="104"/>
      <c r="CN28" s="104"/>
      <c r="CO28" s="104"/>
      <c r="CP28" s="104"/>
      <c r="CQ28" s="104"/>
      <c r="CR28" s="104"/>
      <c r="CS28" s="104"/>
      <c r="CT28" s="104"/>
      <c r="CU28" s="104"/>
      <c r="CV28" s="104"/>
      <c r="CW28" s="104"/>
      <c r="CX28" s="104"/>
      <c r="CY28" s="104"/>
      <c r="CZ28" s="104"/>
      <c r="DA28" s="104"/>
      <c r="DB28" s="104"/>
      <c r="DC28" s="104"/>
      <c r="DD28" s="104"/>
      <c r="DE28" s="104"/>
      <c r="DF28" s="104"/>
      <c r="DG28" s="104"/>
      <c r="DH28" s="104"/>
      <c r="DI28" s="104"/>
      <c r="DJ28" s="104"/>
      <c r="DK28" s="104"/>
      <c r="DL28" s="104"/>
      <c r="DM28" s="104"/>
      <c r="DN28" s="104"/>
      <c r="DO28" s="104"/>
      <c r="DP28" s="104"/>
      <c r="DQ28" s="104"/>
      <c r="DR28" s="104"/>
      <c r="DS28" s="104"/>
      <c r="DT28" s="104"/>
      <c r="DU28" s="104"/>
      <c r="DV28" s="104"/>
      <c r="DW28" s="104"/>
      <c r="DX28" s="104"/>
      <c r="DY28" s="104"/>
      <c r="DZ28" s="104"/>
      <c r="EA28" s="104"/>
      <c r="EB28" s="104"/>
      <c r="EC28" s="104"/>
      <c r="ED28" s="104"/>
      <c r="EE28" s="104"/>
      <c r="EF28" s="104"/>
      <c r="EG28" s="104"/>
      <c r="EH28" s="104"/>
      <c r="EI28" s="104"/>
      <c r="EJ28" s="104"/>
      <c r="EK28" s="104"/>
      <c r="EL28" s="104"/>
      <c r="EM28" s="104"/>
      <c r="EN28" s="104"/>
      <c r="EO28" s="104"/>
      <c r="EP28" s="104"/>
      <c r="EQ28" s="104"/>
      <c r="ER28" s="104"/>
      <c r="ES28" s="104"/>
      <c r="ET28" s="104"/>
      <c r="EU28" s="104"/>
      <c r="EV28" s="104"/>
      <c r="EW28" s="104"/>
      <c r="EX28" s="104"/>
      <c r="EY28" s="104"/>
      <c r="EZ28" s="104"/>
      <c r="FA28" s="104"/>
      <c r="FB28" s="104"/>
      <c r="FC28" s="104"/>
      <c r="FD28" s="104"/>
      <c r="FE28" s="104"/>
      <c r="FF28" s="104"/>
      <c r="FG28" s="104"/>
      <c r="FH28" s="104"/>
      <c r="FI28" s="104"/>
      <c r="FJ28" s="104"/>
      <c r="FK28" s="104"/>
      <c r="FL28" s="104"/>
      <c r="FM28" s="104"/>
      <c r="FN28" s="104"/>
      <c r="FO28" s="104"/>
      <c r="FP28" s="104"/>
      <c r="FQ28" s="104"/>
      <c r="FR28" s="104"/>
      <c r="FS28" s="104"/>
      <c r="FT28" s="104"/>
      <c r="FU28" s="104"/>
      <c r="FV28" s="104"/>
      <c r="FW28" s="104"/>
      <c r="FX28" s="104"/>
      <c r="FY28" s="104"/>
      <c r="FZ28" s="104"/>
      <c r="GA28" s="104"/>
      <c r="GB28" s="104"/>
      <c r="GC28" s="104"/>
      <c r="GD28" s="104"/>
      <c r="GE28" s="104"/>
      <c r="GF28" s="104"/>
      <c r="GG28" s="104"/>
      <c r="GH28" s="104"/>
      <c r="GI28" s="104"/>
      <c r="GJ28" s="104"/>
      <c r="GK28" s="104"/>
      <c r="GL28" s="104"/>
      <c r="GM28" s="104"/>
      <c r="GN28" s="104"/>
      <c r="GO28" s="104"/>
      <c r="GP28" s="104"/>
      <c r="GQ28" s="104"/>
      <c r="GR28" s="104"/>
      <c r="GS28" s="104"/>
      <c r="GT28" s="104"/>
      <c r="GU28" s="104"/>
      <c r="GV28" s="104"/>
      <c r="GW28" s="104"/>
      <c r="GX28" s="104"/>
      <c r="GY28" s="104"/>
      <c r="GZ28" s="104"/>
      <c r="HA28" s="104"/>
      <c r="HB28" s="104"/>
      <c r="HC28" s="104"/>
      <c r="HD28" s="104"/>
      <c r="HE28" s="104"/>
    </row>
    <row r="29" spans="1:213" ht="21" customHeight="1">
      <c r="A29" s="10"/>
      <c r="B29" s="10"/>
      <c r="C29" s="10"/>
      <c r="D29" s="17" t="s">
        <v>70</v>
      </c>
      <c r="E29" s="40">
        <f>SUM(E19,E14,E7,)</f>
        <v>6723852</v>
      </c>
      <c r="F29" s="40">
        <f>SUM(F19,F14,F7,)</f>
        <v>-73</v>
      </c>
      <c r="G29" s="40">
        <f>SUM(G19,G14,G7,)</f>
        <v>6723779</v>
      </c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  <c r="AF29" s="100"/>
      <c r="AG29" s="100"/>
      <c r="AH29" s="100"/>
      <c r="AI29" s="100"/>
      <c r="AJ29" s="100"/>
      <c r="AK29" s="100"/>
      <c r="AL29" s="100"/>
      <c r="AM29" s="100"/>
      <c r="AN29" s="100"/>
      <c r="AO29" s="100"/>
      <c r="AP29" s="100"/>
      <c r="AQ29" s="100"/>
      <c r="AR29" s="100"/>
      <c r="AS29" s="100"/>
      <c r="AT29" s="100"/>
      <c r="AU29" s="100"/>
      <c r="AV29" s="100"/>
      <c r="AW29" s="100"/>
      <c r="AX29" s="100"/>
      <c r="AY29" s="100"/>
      <c r="AZ29" s="100"/>
      <c r="BA29" s="100"/>
      <c r="BB29" s="100"/>
      <c r="BC29" s="100"/>
      <c r="BD29" s="100"/>
      <c r="BE29" s="100"/>
      <c r="BF29" s="100"/>
      <c r="BG29" s="100"/>
      <c r="BH29" s="100"/>
      <c r="BI29" s="100"/>
      <c r="BJ29" s="100"/>
      <c r="BK29" s="100"/>
      <c r="BL29" s="100"/>
      <c r="BM29" s="100"/>
      <c r="BN29" s="100"/>
      <c r="BO29" s="100"/>
      <c r="BP29" s="100"/>
      <c r="BQ29" s="100"/>
      <c r="BR29" s="100"/>
      <c r="BS29" s="100"/>
      <c r="BT29" s="100"/>
      <c r="BU29" s="100"/>
      <c r="BV29" s="100"/>
      <c r="BW29" s="100"/>
      <c r="BX29" s="100"/>
      <c r="BY29" s="100"/>
      <c r="BZ29" s="100"/>
      <c r="CA29" s="100"/>
      <c r="CB29" s="100"/>
      <c r="CC29" s="100"/>
      <c r="CD29" s="100"/>
      <c r="CE29" s="100"/>
      <c r="CF29" s="100"/>
      <c r="CG29" s="100"/>
      <c r="CH29" s="100"/>
      <c r="CI29" s="100"/>
      <c r="CJ29" s="100"/>
      <c r="CK29" s="100"/>
      <c r="CL29" s="100"/>
      <c r="CM29" s="100"/>
      <c r="CN29" s="100"/>
      <c r="CO29" s="100"/>
      <c r="CP29" s="100"/>
      <c r="CQ29" s="100"/>
      <c r="CR29" s="100"/>
      <c r="CS29" s="100"/>
      <c r="CT29" s="100"/>
      <c r="CU29" s="100"/>
      <c r="CV29" s="100"/>
      <c r="CW29" s="100"/>
      <c r="CX29" s="100"/>
      <c r="CY29" s="100"/>
      <c r="CZ29" s="100"/>
      <c r="DA29" s="100"/>
      <c r="DB29" s="100"/>
      <c r="DC29" s="100"/>
      <c r="DD29" s="100"/>
      <c r="DE29" s="100"/>
      <c r="DF29" s="100"/>
      <c r="DG29" s="100"/>
      <c r="DH29" s="100"/>
      <c r="DI29" s="100"/>
      <c r="DJ29" s="100"/>
      <c r="DK29" s="100"/>
      <c r="DL29" s="100"/>
      <c r="DM29" s="100"/>
      <c r="DN29" s="100"/>
      <c r="DO29" s="100"/>
      <c r="DP29" s="100"/>
      <c r="DQ29" s="100"/>
      <c r="DR29" s="100"/>
      <c r="DS29" s="100"/>
      <c r="DT29" s="100"/>
      <c r="DU29" s="100"/>
      <c r="DV29" s="100"/>
      <c r="DW29" s="100"/>
      <c r="DX29" s="100"/>
      <c r="DY29" s="100"/>
      <c r="DZ29" s="100"/>
      <c r="EA29" s="100"/>
      <c r="EB29" s="100"/>
      <c r="EC29" s="100"/>
      <c r="ED29" s="100"/>
      <c r="EE29" s="100"/>
      <c r="EF29" s="100"/>
      <c r="EG29" s="100"/>
      <c r="EH29" s="100"/>
      <c r="EI29" s="100"/>
      <c r="EJ29" s="100"/>
      <c r="EK29" s="100"/>
      <c r="EL29" s="100"/>
      <c r="EM29" s="100"/>
      <c r="EN29" s="100"/>
      <c r="EO29" s="100"/>
      <c r="EP29" s="100"/>
      <c r="EQ29" s="100"/>
      <c r="ER29" s="100"/>
      <c r="ES29" s="100"/>
      <c r="ET29" s="100"/>
      <c r="EU29" s="100"/>
      <c r="EV29" s="100"/>
      <c r="EW29" s="100"/>
      <c r="EX29" s="100"/>
      <c r="EY29" s="100"/>
      <c r="EZ29" s="100"/>
      <c r="FA29" s="100"/>
      <c r="FB29" s="100"/>
      <c r="FC29" s="100"/>
      <c r="FD29" s="100"/>
      <c r="FE29" s="100"/>
      <c r="FF29" s="100"/>
      <c r="FG29" s="100"/>
      <c r="FH29" s="100"/>
      <c r="FI29" s="100"/>
      <c r="FJ29" s="100"/>
      <c r="FK29" s="100"/>
      <c r="FL29" s="100"/>
      <c r="FM29" s="100"/>
      <c r="FN29" s="100"/>
      <c r="FO29" s="100"/>
      <c r="FP29" s="100"/>
      <c r="FQ29" s="100"/>
      <c r="FR29" s="100"/>
      <c r="FS29" s="100"/>
      <c r="FT29" s="100"/>
      <c r="FU29" s="100"/>
      <c r="FV29" s="100"/>
      <c r="FW29" s="100"/>
      <c r="FX29" s="100"/>
      <c r="FY29" s="100"/>
      <c r="FZ29" s="100"/>
      <c r="GA29" s="100"/>
      <c r="GB29" s="100"/>
      <c r="GC29" s="100"/>
      <c r="GD29" s="100"/>
      <c r="GE29" s="100"/>
      <c r="GF29" s="100"/>
      <c r="GG29" s="100"/>
      <c r="GH29" s="100"/>
      <c r="GI29" s="100"/>
      <c r="GJ29" s="100"/>
      <c r="GK29" s="100"/>
      <c r="GL29" s="100"/>
      <c r="GM29" s="100"/>
      <c r="GN29" s="100"/>
      <c r="GO29" s="100"/>
      <c r="GP29" s="100"/>
      <c r="GQ29" s="100"/>
      <c r="GR29" s="100"/>
      <c r="GS29" s="100"/>
      <c r="GT29" s="100"/>
      <c r="GU29" s="100"/>
      <c r="GV29" s="100"/>
      <c r="GW29" s="100"/>
      <c r="GX29" s="100"/>
      <c r="GY29" s="100"/>
      <c r="GZ29" s="100"/>
      <c r="HA29" s="100"/>
      <c r="HB29" s="100"/>
      <c r="HC29" s="100"/>
      <c r="HD29" s="100"/>
      <c r="HE29" s="100"/>
    </row>
    <row r="31" spans="5:7" ht="12.75">
      <c r="E31" s="24"/>
      <c r="F31" s="24"/>
      <c r="G31" s="24"/>
    </row>
    <row r="32" spans="5:7" ht="12.75">
      <c r="E32" s="112"/>
      <c r="F32" s="112"/>
      <c r="G32" s="112"/>
    </row>
    <row r="33" spans="5:7" ht="12.75">
      <c r="E33" s="24"/>
      <c r="F33" s="24"/>
      <c r="G33" s="24"/>
    </row>
    <row r="34" spans="5:7" ht="12.75">
      <c r="E34" s="112"/>
      <c r="F34" s="112"/>
      <c r="G34" s="112"/>
    </row>
    <row r="35" spans="5:7" ht="12.75">
      <c r="E35" s="24"/>
      <c r="F35" s="24"/>
      <c r="G35" s="24"/>
    </row>
    <row r="36" spans="5:7" ht="12.75">
      <c r="E36" s="24"/>
      <c r="F36" s="24"/>
      <c r="G36" s="24"/>
    </row>
    <row r="37" spans="5:7" ht="12.75">
      <c r="E37" s="112"/>
      <c r="F37" s="112"/>
      <c r="G37" s="112"/>
    </row>
    <row r="38" spans="5:7" ht="12.75">
      <c r="E38" s="112"/>
      <c r="F38" s="112"/>
      <c r="G38" s="112"/>
    </row>
    <row r="39" spans="5:7" ht="12.75">
      <c r="E39" s="24"/>
      <c r="F39" s="24"/>
      <c r="G39" s="24"/>
    </row>
    <row r="40" spans="5:7" ht="12.75">
      <c r="E40" s="24"/>
      <c r="F40" s="24"/>
      <c r="G40" s="24"/>
    </row>
    <row r="41" spans="5:7" ht="12.75">
      <c r="E41" s="112"/>
      <c r="F41" s="112"/>
      <c r="G41" s="112"/>
    </row>
    <row r="42" spans="5:7" ht="12.75">
      <c r="E42" s="24"/>
      <c r="F42" s="24"/>
      <c r="G42" s="24"/>
    </row>
    <row r="43" spans="5:7" ht="12.75">
      <c r="E43" s="24"/>
      <c r="F43" s="24"/>
      <c r="G43" s="24"/>
    </row>
    <row r="44" spans="5:7" ht="12.75">
      <c r="E44" s="24"/>
      <c r="F44" s="24"/>
      <c r="G44" s="24"/>
    </row>
    <row r="45" spans="5:7" ht="12.75">
      <c r="E45" s="24"/>
      <c r="F45" s="24"/>
      <c r="G45" s="24"/>
    </row>
    <row r="46" spans="5:7" ht="12.75">
      <c r="E46" s="24"/>
      <c r="F46" s="24"/>
      <c r="G46" s="24"/>
    </row>
  </sheetData>
  <sheetProtection/>
  <mergeCells count="1">
    <mergeCell ref="A5:G5"/>
  </mergeCells>
  <printOptions horizontalCentered="1"/>
  <pageMargins left="0.5511811023622047" right="0.5118110236220472" top="0.7874015748031497" bottom="0.7874015748031497" header="0.5118110236220472" footer="0.31496062992125984"/>
  <pageSetup horizontalDpi="600" verticalDpi="600" orientation="portrait" paperSize="9" r:id="rId1"/>
  <headerFooter alignWithMargins="0">
    <oddFooter>&amp;C&amp;8Administracja rządowa - str.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47"/>
  <sheetViews>
    <sheetView zoomScalePageLayoutView="0" workbookViewId="0" topLeftCell="A1">
      <selection activeCell="M43" sqref="M43"/>
    </sheetView>
  </sheetViews>
  <sheetFormatPr defaultColWidth="9.00390625" defaultRowHeight="12.75"/>
  <cols>
    <col min="1" max="1" width="5.375" style="8" customWidth="1"/>
    <col min="2" max="2" width="7.375" style="8" customWidth="1"/>
    <col min="3" max="3" width="5.00390625" style="8" customWidth="1"/>
    <col min="4" max="4" width="33.875" style="8" customWidth="1"/>
    <col min="5" max="5" width="14.00390625" style="0" customWidth="1"/>
    <col min="6" max="6" width="11.625" style="0" customWidth="1"/>
    <col min="7" max="7" width="13.875" style="0" customWidth="1"/>
  </cols>
  <sheetData>
    <row r="1" spans="5:9" ht="12.75">
      <c r="E1" s="50" t="s">
        <v>340</v>
      </c>
      <c r="F1" s="50"/>
      <c r="G1" s="50"/>
      <c r="I1" s="50"/>
    </row>
    <row r="2" spans="5:9" ht="12.75">
      <c r="E2" s="50" t="s">
        <v>329</v>
      </c>
      <c r="F2" s="50"/>
      <c r="G2" s="50"/>
      <c r="I2" s="50"/>
    </row>
    <row r="3" spans="5:9" ht="12.75">
      <c r="E3" s="50" t="s">
        <v>328</v>
      </c>
      <c r="F3" s="50"/>
      <c r="G3" s="50"/>
      <c r="I3" s="50"/>
    </row>
    <row r="4" spans="5:9" ht="12.75">
      <c r="E4" s="50" t="s">
        <v>323</v>
      </c>
      <c r="F4" s="50"/>
      <c r="G4" s="50"/>
      <c r="I4" s="50"/>
    </row>
    <row r="5" spans="1:7" ht="40.5" customHeight="1">
      <c r="A5" s="212" t="s">
        <v>325</v>
      </c>
      <c r="B5" s="212"/>
      <c r="C5" s="212"/>
      <c r="D5" s="212"/>
      <c r="E5" s="212"/>
      <c r="F5" s="212"/>
      <c r="G5" s="212"/>
    </row>
    <row r="6" spans="1:7" ht="32.25" customHeight="1">
      <c r="A6" s="213" t="s">
        <v>326</v>
      </c>
      <c r="B6" s="213"/>
      <c r="C6" s="213"/>
      <c r="D6" s="213"/>
      <c r="E6" s="213"/>
      <c r="F6" s="213"/>
      <c r="G6" s="213"/>
    </row>
    <row r="7" spans="1:11" s="105" customFormat="1" ht="24.75" customHeight="1">
      <c r="A7" s="2" t="s">
        <v>0</v>
      </c>
      <c r="B7" s="2" t="s">
        <v>1</v>
      </c>
      <c r="C7" s="2" t="s">
        <v>2</v>
      </c>
      <c r="D7" s="2" t="s">
        <v>3</v>
      </c>
      <c r="E7" s="96" t="s">
        <v>341</v>
      </c>
      <c r="F7" s="96" t="s">
        <v>302</v>
      </c>
      <c r="G7" s="96" t="s">
        <v>321</v>
      </c>
      <c r="I7" s="133"/>
      <c r="J7" s="133"/>
      <c r="K7" s="133"/>
    </row>
    <row r="8" spans="1:11" s="25" customFormat="1" ht="36">
      <c r="A8" s="2">
        <v>756</v>
      </c>
      <c r="B8" s="2"/>
      <c r="C8" s="2"/>
      <c r="D8" s="42" t="s">
        <v>28</v>
      </c>
      <c r="E8" s="30">
        <f aca="true" t="shared" si="0" ref="E8:G9">SUM(E9)</f>
        <v>330000</v>
      </c>
      <c r="F8" s="30">
        <f t="shared" si="0"/>
        <v>0</v>
      </c>
      <c r="G8" s="30">
        <f t="shared" si="0"/>
        <v>330000</v>
      </c>
      <c r="I8" s="133"/>
      <c r="J8" s="133"/>
      <c r="K8" s="133"/>
    </row>
    <row r="9" spans="1:11" s="107" customFormat="1" ht="33.75">
      <c r="A9" s="47"/>
      <c r="B9" s="44">
        <v>75618</v>
      </c>
      <c r="C9" s="47"/>
      <c r="D9" s="43" t="s">
        <v>147</v>
      </c>
      <c r="E9" s="98">
        <f t="shared" si="0"/>
        <v>330000</v>
      </c>
      <c r="F9" s="98">
        <f t="shared" si="0"/>
        <v>0</v>
      </c>
      <c r="G9" s="98">
        <f t="shared" si="0"/>
        <v>330000</v>
      </c>
      <c r="I9" s="133"/>
      <c r="J9" s="133"/>
      <c r="K9" s="133"/>
    </row>
    <row r="10" spans="1:11" s="107" customFormat="1" ht="23.25" customHeight="1">
      <c r="A10" s="47"/>
      <c r="B10" s="47"/>
      <c r="C10" s="108" t="s">
        <v>180</v>
      </c>
      <c r="D10" s="70" t="s">
        <v>223</v>
      </c>
      <c r="E10" s="98">
        <v>330000</v>
      </c>
      <c r="F10" s="98"/>
      <c r="G10" s="98">
        <f>SUM(E10:F10)</f>
        <v>330000</v>
      </c>
      <c r="I10" s="134"/>
      <c r="J10" s="134"/>
      <c r="K10" s="134"/>
    </row>
    <row r="11" spans="1:11" s="1" customFormat="1" ht="21" customHeight="1">
      <c r="A11" s="41"/>
      <c r="B11" s="41"/>
      <c r="C11" s="41"/>
      <c r="D11" s="2" t="s">
        <v>70</v>
      </c>
      <c r="E11" s="30">
        <f>SUM(E8)</f>
        <v>330000</v>
      </c>
      <c r="F11" s="30">
        <f>SUM(F8)</f>
        <v>0</v>
      </c>
      <c r="G11" s="30">
        <f>SUM(G8)</f>
        <v>330000</v>
      </c>
      <c r="I11" s="134"/>
      <c r="J11" s="134"/>
      <c r="K11" s="134"/>
    </row>
    <row r="12" spans="1:11" ht="33" customHeight="1">
      <c r="A12" s="213" t="s">
        <v>327</v>
      </c>
      <c r="B12" s="213"/>
      <c r="C12" s="213"/>
      <c r="D12" s="213"/>
      <c r="E12" s="213"/>
      <c r="F12" s="213"/>
      <c r="G12" s="213"/>
      <c r="I12" s="134"/>
      <c r="J12" s="134"/>
      <c r="K12" s="134"/>
    </row>
    <row r="13" spans="1:11" s="110" customFormat="1" ht="23.25" customHeight="1">
      <c r="A13" s="2" t="s">
        <v>0</v>
      </c>
      <c r="B13" s="2" t="s">
        <v>1</v>
      </c>
      <c r="C13" s="2" t="s">
        <v>2</v>
      </c>
      <c r="D13" s="2" t="s">
        <v>3</v>
      </c>
      <c r="E13" s="96" t="s">
        <v>341</v>
      </c>
      <c r="F13" s="96" t="s">
        <v>302</v>
      </c>
      <c r="G13" s="96" t="s">
        <v>321</v>
      </c>
      <c r="I13" s="135"/>
      <c r="J13" s="135"/>
      <c r="K13" s="135"/>
    </row>
    <row r="14" spans="1:11" s="110" customFormat="1" ht="23.25" customHeight="1">
      <c r="A14" s="33" t="s">
        <v>47</v>
      </c>
      <c r="B14" s="34"/>
      <c r="C14" s="35"/>
      <c r="D14" s="36" t="s">
        <v>48</v>
      </c>
      <c r="E14" s="116">
        <f aca="true" t="shared" si="1" ref="E14:G15">SUM(E15)</f>
        <v>108500</v>
      </c>
      <c r="F14" s="116">
        <f t="shared" si="1"/>
        <v>-47545</v>
      </c>
      <c r="G14" s="116">
        <f t="shared" si="1"/>
        <v>60955</v>
      </c>
      <c r="I14" s="135"/>
      <c r="J14" s="135"/>
      <c r="K14" s="135"/>
    </row>
    <row r="15" spans="1:11" s="154" customFormat="1" ht="23.25" customHeight="1">
      <c r="A15" s="60"/>
      <c r="B15" s="75" t="s">
        <v>108</v>
      </c>
      <c r="C15" s="79"/>
      <c r="D15" s="38" t="s">
        <v>109</v>
      </c>
      <c r="E15" s="156">
        <f t="shared" si="1"/>
        <v>108500</v>
      </c>
      <c r="F15" s="156">
        <f t="shared" si="1"/>
        <v>-47545</v>
      </c>
      <c r="G15" s="156">
        <f t="shared" si="1"/>
        <v>60955</v>
      </c>
      <c r="I15" s="155"/>
      <c r="J15" s="155"/>
      <c r="K15" s="155"/>
    </row>
    <row r="16" spans="1:11" s="154" customFormat="1" ht="23.25" customHeight="1">
      <c r="A16" s="60"/>
      <c r="B16" s="80"/>
      <c r="C16" s="79">
        <v>4810</v>
      </c>
      <c r="D16" s="38" t="s">
        <v>110</v>
      </c>
      <c r="E16" s="156">
        <f>40000+55000+13500</f>
        <v>108500</v>
      </c>
      <c r="F16" s="156">
        <v>-47545</v>
      </c>
      <c r="G16" s="156">
        <f>SUM(E16:F16)</f>
        <v>60955</v>
      </c>
      <c r="I16" s="155"/>
      <c r="J16" s="155"/>
      <c r="K16" s="155"/>
    </row>
    <row r="17" spans="1:11" s="113" customFormat="1" ht="23.25" customHeight="1">
      <c r="A17" s="2">
        <v>851</v>
      </c>
      <c r="B17" s="2"/>
      <c r="C17" s="2"/>
      <c r="D17" s="114" t="s">
        <v>220</v>
      </c>
      <c r="E17" s="115">
        <f>E20+E18</f>
        <v>112403</v>
      </c>
      <c r="F17" s="115">
        <f>F20+F18</f>
        <v>47545</v>
      </c>
      <c r="G17" s="115">
        <f>G20+G18</f>
        <v>159948</v>
      </c>
      <c r="I17" s="136"/>
      <c r="J17" s="136"/>
      <c r="K17" s="136"/>
    </row>
    <row r="18" spans="1:11" s="113" customFormat="1" ht="19.5" customHeight="1">
      <c r="A18" s="2"/>
      <c r="B18" s="47">
        <v>85153</v>
      </c>
      <c r="C18" s="2"/>
      <c r="D18" s="45" t="s">
        <v>222</v>
      </c>
      <c r="E18" s="158">
        <f>SUM(E19:E19)</f>
        <v>5600</v>
      </c>
      <c r="F18" s="158">
        <f>SUM(F19:F19)</f>
        <v>0</v>
      </c>
      <c r="G18" s="158">
        <f>SUM(G19:G19)</f>
        <v>5600</v>
      </c>
      <c r="I18" s="107"/>
      <c r="J18" s="107"/>
      <c r="K18" s="107"/>
    </row>
    <row r="19" spans="1:11" s="159" customFormat="1" ht="19.5" customHeight="1">
      <c r="A19" s="157"/>
      <c r="B19" s="157"/>
      <c r="C19" s="44">
        <v>4300</v>
      </c>
      <c r="D19" s="38" t="s">
        <v>81</v>
      </c>
      <c r="E19" s="158">
        <v>5600</v>
      </c>
      <c r="F19" s="158"/>
      <c r="G19" s="158">
        <f>SUM(E19:F19)</f>
        <v>5600</v>
      </c>
      <c r="I19" s="160"/>
      <c r="J19" s="160"/>
      <c r="K19" s="160"/>
    </row>
    <row r="20" spans="1:11" s="24" customFormat="1" ht="21.75" customHeight="1">
      <c r="A20" s="66"/>
      <c r="B20" s="66" t="s">
        <v>121</v>
      </c>
      <c r="C20" s="44"/>
      <c r="D20" s="13" t="s">
        <v>56</v>
      </c>
      <c r="E20" s="78">
        <f>SUM(E21:E28)</f>
        <v>106803</v>
      </c>
      <c r="F20" s="78">
        <f>SUM(F21:F28)</f>
        <v>47545</v>
      </c>
      <c r="G20" s="78">
        <f>SUM(G21:G28)</f>
        <v>154348</v>
      </c>
      <c r="I20" s="134"/>
      <c r="J20" s="134"/>
      <c r="K20" s="134"/>
    </row>
    <row r="21" spans="1:11" s="24" customFormat="1" ht="56.25">
      <c r="A21" s="66"/>
      <c r="B21" s="66"/>
      <c r="C21" s="44">
        <v>2830</v>
      </c>
      <c r="D21" s="13" t="s">
        <v>300</v>
      </c>
      <c r="E21" s="78">
        <v>0</v>
      </c>
      <c r="F21" s="78">
        <v>47545</v>
      </c>
      <c r="G21" s="78">
        <f>SUM(E21:F21)</f>
        <v>47545</v>
      </c>
      <c r="I21" s="134"/>
      <c r="J21" s="134"/>
      <c r="K21" s="134"/>
    </row>
    <row r="22" spans="1:11" s="24" customFormat="1" ht="20.25" customHeight="1">
      <c r="A22" s="66"/>
      <c r="B22" s="66"/>
      <c r="C22" s="44">
        <v>4110</v>
      </c>
      <c r="D22" s="38" t="s">
        <v>88</v>
      </c>
      <c r="E22" s="78">
        <v>1858</v>
      </c>
      <c r="F22" s="78"/>
      <c r="G22" s="78">
        <f>SUM(E22:F22)</f>
        <v>1858</v>
      </c>
      <c r="I22" s="134"/>
      <c r="J22" s="134"/>
      <c r="K22" s="134"/>
    </row>
    <row r="23" spans="1:11" s="24" customFormat="1" ht="21.75" customHeight="1">
      <c r="A23" s="66"/>
      <c r="B23" s="44"/>
      <c r="C23" s="44">
        <v>4170</v>
      </c>
      <c r="D23" s="13" t="s">
        <v>192</v>
      </c>
      <c r="E23" s="85">
        <f>20000+17100+7500</f>
        <v>44600</v>
      </c>
      <c r="F23" s="85"/>
      <c r="G23" s="78">
        <f aca="true" t="shared" si="2" ref="G23:G28">SUM(E23:F23)</f>
        <v>44600</v>
      </c>
      <c r="I23" s="135"/>
      <c r="J23" s="135"/>
      <c r="K23" s="135"/>
    </row>
    <row r="24" spans="1:11" s="24" customFormat="1" ht="21.75" customHeight="1">
      <c r="A24" s="66"/>
      <c r="B24" s="44"/>
      <c r="C24" s="44">
        <v>4210</v>
      </c>
      <c r="D24" s="13" t="s">
        <v>94</v>
      </c>
      <c r="E24" s="85">
        <f>7800+5000</f>
        <v>12800</v>
      </c>
      <c r="F24" s="85"/>
      <c r="G24" s="78">
        <f t="shared" si="2"/>
        <v>12800</v>
      </c>
      <c r="I24" s="134"/>
      <c r="J24" s="134"/>
      <c r="K24" s="134"/>
    </row>
    <row r="25" spans="1:7" s="24" customFormat="1" ht="21.75" customHeight="1">
      <c r="A25" s="66"/>
      <c r="B25" s="44"/>
      <c r="C25" s="44">
        <v>4220</v>
      </c>
      <c r="D25" s="13" t="s">
        <v>182</v>
      </c>
      <c r="E25" s="85">
        <v>13500</v>
      </c>
      <c r="F25" s="85"/>
      <c r="G25" s="78">
        <f t="shared" si="2"/>
        <v>13500</v>
      </c>
    </row>
    <row r="26" spans="1:7" s="24" customFormat="1" ht="20.25" customHeight="1">
      <c r="A26" s="66"/>
      <c r="B26" s="44"/>
      <c r="C26" s="44">
        <v>4300</v>
      </c>
      <c r="D26" s="13" t="s">
        <v>81</v>
      </c>
      <c r="E26" s="85">
        <f>5000+12000-5600+2400+6000+7500+4945</f>
        <v>32245</v>
      </c>
      <c r="F26" s="85"/>
      <c r="G26" s="78">
        <f t="shared" si="2"/>
        <v>32245</v>
      </c>
    </row>
    <row r="27" spans="1:7" s="24" customFormat="1" ht="21" customHeight="1">
      <c r="A27" s="66"/>
      <c r="B27" s="44"/>
      <c r="C27" s="44">
        <v>4410</v>
      </c>
      <c r="D27" s="38" t="s">
        <v>92</v>
      </c>
      <c r="E27" s="85">
        <v>1200</v>
      </c>
      <c r="F27" s="85"/>
      <c r="G27" s="78">
        <f t="shared" si="2"/>
        <v>1200</v>
      </c>
    </row>
    <row r="28" spans="1:7" s="24" customFormat="1" ht="22.5">
      <c r="A28" s="66"/>
      <c r="B28" s="44"/>
      <c r="C28" s="44">
        <v>4700</v>
      </c>
      <c r="D28" s="38" t="s">
        <v>254</v>
      </c>
      <c r="E28" s="85">
        <v>600</v>
      </c>
      <c r="F28" s="85"/>
      <c r="G28" s="78">
        <f t="shared" si="2"/>
        <v>600</v>
      </c>
    </row>
    <row r="29" spans="1:7" s="8" customFormat="1" ht="21.75" customHeight="1">
      <c r="A29" s="31">
        <v>852</v>
      </c>
      <c r="B29" s="5"/>
      <c r="C29" s="5"/>
      <c r="D29" s="19" t="s">
        <v>189</v>
      </c>
      <c r="E29" s="18">
        <f>SUM(E30,)</f>
        <v>109097</v>
      </c>
      <c r="F29" s="18">
        <f>SUM(F30,)</f>
        <v>0</v>
      </c>
      <c r="G29" s="18">
        <f>SUM(G30,)</f>
        <v>109097</v>
      </c>
    </row>
    <row r="30" spans="1:7" s="24" customFormat="1" ht="21.75" customHeight="1">
      <c r="A30" s="66"/>
      <c r="B30" s="66">
        <v>85219</v>
      </c>
      <c r="C30" s="44"/>
      <c r="D30" s="38" t="s">
        <v>60</v>
      </c>
      <c r="E30" s="78">
        <f>SUM(E31:E46)</f>
        <v>109097</v>
      </c>
      <c r="F30" s="78">
        <f>SUM(F31:F46)</f>
        <v>0</v>
      </c>
      <c r="G30" s="78">
        <f>SUM(G31:G46)</f>
        <v>109097</v>
      </c>
    </row>
    <row r="31" spans="1:7" s="24" customFormat="1" ht="21.75" customHeight="1">
      <c r="A31" s="66"/>
      <c r="B31" s="66"/>
      <c r="C31" s="79">
        <v>4010</v>
      </c>
      <c r="D31" s="38" t="s">
        <v>86</v>
      </c>
      <c r="E31" s="85">
        <v>30333</v>
      </c>
      <c r="F31" s="85"/>
      <c r="G31" s="85">
        <f>SUM(E31:F31)</f>
        <v>30333</v>
      </c>
    </row>
    <row r="32" spans="1:7" s="24" customFormat="1" ht="21.75" customHeight="1">
      <c r="A32" s="66"/>
      <c r="B32" s="66"/>
      <c r="C32" s="79">
        <v>4040</v>
      </c>
      <c r="D32" s="38" t="s">
        <v>87</v>
      </c>
      <c r="E32" s="85">
        <v>2420</v>
      </c>
      <c r="F32" s="85"/>
      <c r="G32" s="85">
        <f aca="true" t="shared" si="3" ref="G32:G46">SUM(E32:F32)</f>
        <v>2420</v>
      </c>
    </row>
    <row r="33" spans="1:7" s="24" customFormat="1" ht="21.75" customHeight="1">
      <c r="A33" s="66"/>
      <c r="B33" s="66"/>
      <c r="C33" s="79">
        <v>4110</v>
      </c>
      <c r="D33" s="38" t="s">
        <v>88</v>
      </c>
      <c r="E33" s="85">
        <v>5008</v>
      </c>
      <c r="F33" s="85"/>
      <c r="G33" s="85">
        <f t="shared" si="3"/>
        <v>5008</v>
      </c>
    </row>
    <row r="34" spans="1:7" s="24" customFormat="1" ht="21.75" customHeight="1">
      <c r="A34" s="66"/>
      <c r="B34" s="66"/>
      <c r="C34" s="79">
        <v>4120</v>
      </c>
      <c r="D34" s="38" t="s">
        <v>89</v>
      </c>
      <c r="E34" s="85">
        <v>803</v>
      </c>
      <c r="F34" s="85"/>
      <c r="G34" s="85">
        <f t="shared" si="3"/>
        <v>803</v>
      </c>
    </row>
    <row r="35" spans="1:7" s="24" customFormat="1" ht="21.75" customHeight="1">
      <c r="A35" s="66"/>
      <c r="B35" s="66"/>
      <c r="C35" s="79">
        <v>4210</v>
      </c>
      <c r="D35" s="13" t="s">
        <v>94</v>
      </c>
      <c r="E35" s="85">
        <v>4200</v>
      </c>
      <c r="F35" s="85"/>
      <c r="G35" s="85">
        <f t="shared" si="3"/>
        <v>4200</v>
      </c>
    </row>
    <row r="36" spans="1:7" s="24" customFormat="1" ht="21.75" customHeight="1">
      <c r="A36" s="66"/>
      <c r="B36" s="66"/>
      <c r="C36" s="79">
        <v>4280</v>
      </c>
      <c r="D36" s="13" t="s">
        <v>199</v>
      </c>
      <c r="E36" s="85">
        <v>150</v>
      </c>
      <c r="F36" s="85"/>
      <c r="G36" s="85">
        <f t="shared" si="3"/>
        <v>150</v>
      </c>
    </row>
    <row r="37" spans="1:7" s="24" customFormat="1" ht="21.75" customHeight="1">
      <c r="A37" s="66"/>
      <c r="B37" s="66"/>
      <c r="C37" s="79">
        <v>4300</v>
      </c>
      <c r="D37" s="13" t="s">
        <v>81</v>
      </c>
      <c r="E37" s="85">
        <v>55660</v>
      </c>
      <c r="F37" s="85"/>
      <c r="G37" s="85">
        <f t="shared" si="3"/>
        <v>55660</v>
      </c>
    </row>
    <row r="38" spans="1:7" s="24" customFormat="1" ht="21.75" customHeight="1">
      <c r="A38" s="66"/>
      <c r="B38" s="66"/>
      <c r="C38" s="79">
        <v>4350</v>
      </c>
      <c r="D38" s="13" t="s">
        <v>206</v>
      </c>
      <c r="E38" s="85">
        <v>550</v>
      </c>
      <c r="F38" s="85"/>
      <c r="G38" s="85">
        <f t="shared" si="3"/>
        <v>550</v>
      </c>
    </row>
    <row r="39" spans="1:7" s="24" customFormat="1" ht="22.5">
      <c r="A39" s="66"/>
      <c r="B39" s="66"/>
      <c r="C39" s="79">
        <v>4370</v>
      </c>
      <c r="D39" s="38" t="s">
        <v>225</v>
      </c>
      <c r="E39" s="85">
        <v>2500</v>
      </c>
      <c r="F39" s="85"/>
      <c r="G39" s="85">
        <f t="shared" si="3"/>
        <v>2500</v>
      </c>
    </row>
    <row r="40" spans="1:7" s="24" customFormat="1" ht="26.25" customHeight="1">
      <c r="A40" s="66"/>
      <c r="B40" s="66"/>
      <c r="C40" s="79">
        <v>4400</v>
      </c>
      <c r="D40" s="38" t="s">
        <v>246</v>
      </c>
      <c r="E40" s="85">
        <v>2110</v>
      </c>
      <c r="F40" s="85"/>
      <c r="G40" s="85">
        <f t="shared" si="3"/>
        <v>2110</v>
      </c>
    </row>
    <row r="41" spans="1:7" s="24" customFormat="1" ht="18.75" customHeight="1">
      <c r="A41" s="66"/>
      <c r="B41" s="66"/>
      <c r="C41" s="79">
        <v>4410</v>
      </c>
      <c r="D41" s="38" t="s">
        <v>92</v>
      </c>
      <c r="E41" s="85">
        <v>200</v>
      </c>
      <c r="F41" s="85"/>
      <c r="G41" s="85">
        <f t="shared" si="3"/>
        <v>200</v>
      </c>
    </row>
    <row r="42" spans="1:7" s="24" customFormat="1" ht="19.5" customHeight="1">
      <c r="A42" s="66"/>
      <c r="B42" s="66"/>
      <c r="C42" s="79">
        <v>4440</v>
      </c>
      <c r="D42" s="38" t="s">
        <v>90</v>
      </c>
      <c r="E42" s="85">
        <v>1133</v>
      </c>
      <c r="F42" s="85"/>
      <c r="G42" s="85">
        <f t="shared" si="3"/>
        <v>1133</v>
      </c>
    </row>
    <row r="43" spans="1:7" s="24" customFormat="1" ht="22.5">
      <c r="A43" s="66"/>
      <c r="B43" s="66"/>
      <c r="C43" s="79">
        <v>4610</v>
      </c>
      <c r="D43" s="38" t="s">
        <v>184</v>
      </c>
      <c r="E43" s="85">
        <v>1200</v>
      </c>
      <c r="F43" s="85"/>
      <c r="G43" s="85">
        <f t="shared" si="3"/>
        <v>1200</v>
      </c>
    </row>
    <row r="44" spans="1:7" s="24" customFormat="1" ht="22.5">
      <c r="A44" s="66"/>
      <c r="B44" s="66"/>
      <c r="C44" s="79">
        <v>4700</v>
      </c>
      <c r="D44" s="38" t="s">
        <v>254</v>
      </c>
      <c r="E44" s="85">
        <v>2000</v>
      </c>
      <c r="F44" s="85"/>
      <c r="G44" s="85">
        <f t="shared" si="3"/>
        <v>2000</v>
      </c>
    </row>
    <row r="45" spans="1:7" s="24" customFormat="1" ht="22.5">
      <c r="A45" s="66"/>
      <c r="B45" s="66"/>
      <c r="C45" s="79">
        <v>4740</v>
      </c>
      <c r="D45" s="38" t="s">
        <v>226</v>
      </c>
      <c r="E45" s="85">
        <v>130</v>
      </c>
      <c r="F45" s="85"/>
      <c r="G45" s="85">
        <f t="shared" si="3"/>
        <v>130</v>
      </c>
    </row>
    <row r="46" spans="1:7" s="24" customFormat="1" ht="22.5">
      <c r="A46" s="66"/>
      <c r="B46" s="66"/>
      <c r="C46" s="79">
        <v>4750</v>
      </c>
      <c r="D46" s="38" t="s">
        <v>258</v>
      </c>
      <c r="E46" s="85">
        <v>700</v>
      </c>
      <c r="F46" s="85"/>
      <c r="G46" s="85">
        <f t="shared" si="3"/>
        <v>700</v>
      </c>
    </row>
    <row r="47" spans="1:7" s="39" customFormat="1" ht="22.5" customHeight="1">
      <c r="A47" s="109"/>
      <c r="B47" s="109"/>
      <c r="C47" s="109"/>
      <c r="D47" s="6" t="s">
        <v>70</v>
      </c>
      <c r="E47" s="18">
        <f>E29+E17+E14</f>
        <v>330000</v>
      </c>
      <c r="F47" s="18">
        <f>F29+F17+F14</f>
        <v>0</v>
      </c>
      <c r="G47" s="18">
        <f>G29+G17+G14</f>
        <v>330000</v>
      </c>
    </row>
  </sheetData>
  <sheetProtection/>
  <mergeCells count="3">
    <mergeCell ref="A5:G5"/>
    <mergeCell ref="A6:G6"/>
    <mergeCell ref="A12:G12"/>
  </mergeCells>
  <printOptions horizontalCentered="1"/>
  <pageMargins left="0.5118110236220472" right="0.5118110236220472" top="0.7874015748031497" bottom="0.7874015748031497" header="0.5118110236220472" footer="0.31496062992125984"/>
  <pageSetup horizontalDpi="600" verticalDpi="600" orientation="portrait" paperSize="9" r:id="rId1"/>
  <headerFooter alignWithMargins="0">
    <oddFooter>&amp;CStrona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33" sqref="I33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w Trzciance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 w Trzciance</dc:creator>
  <cp:keywords/>
  <dc:description/>
  <cp:lastModifiedBy>Tomasz Witkowski</cp:lastModifiedBy>
  <cp:lastPrinted>2010-03-08T09:31:00Z</cp:lastPrinted>
  <dcterms:created xsi:type="dcterms:W3CDTF">2002-10-21T08:56:44Z</dcterms:created>
  <dcterms:modified xsi:type="dcterms:W3CDTF">2010-03-09T12:51:19Z</dcterms:modified>
  <cp:category/>
  <cp:version/>
  <cp:contentType/>
  <cp:contentStatus/>
</cp:coreProperties>
</file>