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2009 zał.1" sheetId="1" r:id="rId1"/>
    <sheet name="wydatki 2009 zał.2" sheetId="2" r:id="rId2"/>
    <sheet name="dot. otrzym.2007 zał.3" sheetId="3" r:id="rId3"/>
    <sheet name="zał.  dotacje przek.4" sheetId="4" r:id="rId4"/>
    <sheet name="GKRPA zał.5" sheetId="5" r:id="rId5"/>
    <sheet name="sołectwa zał. nr 6" sheetId="6" r:id="rId6"/>
  </sheets>
  <definedNames>
    <definedName name="_xlnm.Print_Area" localSheetId="4">'GKRPA zał.5'!$A:$IV</definedName>
    <definedName name="_xlnm.Print_Titles" localSheetId="0">'dochody 2009 zał.1'!$6:$6</definedName>
    <definedName name="_xlnm.Print_Titles" localSheetId="2">'dot. otrzym.2007 zał.3'!$6:$6</definedName>
    <definedName name="_xlnm.Print_Titles" localSheetId="4">'GKRPA zał.5'!$7:$7</definedName>
    <definedName name="_xlnm.Print_Titles" localSheetId="5">'sołectwa zał. nr 6'!$6:$6</definedName>
    <definedName name="_xlnm.Print_Titles" localSheetId="1">'wydatki 2009 zał.2'!$6:$6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E3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E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6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E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E4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4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1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2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419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F4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6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4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4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1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2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3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G4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6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4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4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3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F41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  <comment ref="V48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V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  <comment ref="X48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X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</commentList>
</comments>
</file>

<file path=xl/comments5.xml><?xml version="1.0" encoding="utf-8"?>
<comments xmlns="http://schemas.openxmlformats.org/spreadsheetml/2006/main">
  <authors>
    <author>izawalniak</author>
  </authors>
  <commentList>
    <comment ref="E2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Izba
15.000 festyn FAS
3.000 szkolenie członków komisji
2.240 szkolenia sprzedawców rodziców 
</t>
        </r>
      </text>
    </comment>
    <comment ref="E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1.200 zł delegacje członków Komisji pracowników
</t>
        </r>
      </text>
    </comment>
    <comment ref="E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10.000 świetlice dożywianie
</t>
        </r>
      </text>
    </comment>
    <comment ref="E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mat. Programy prof..
3.000 zł mat. Biur. I gry świetlice wiejskie
</t>
        </r>
      </text>
    </comment>
    <comment ref="E2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16.800 wynagr. Opiekunów świlic
21.000 diety członków GKRPA
</t>
        </r>
      </text>
    </comment>
    <comment ref="E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1.758 zł składki op.świetlic
</t>
        </r>
      </text>
    </comment>
    <comment ref="E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F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F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1.758 zł składki op.świetlic
</t>
        </r>
      </text>
    </comment>
    <comment ref="F2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16.800 wynagr. Opiekunów świlic
21.000 diety członków GKRPA
</t>
        </r>
      </text>
    </comment>
    <comment ref="F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mat. Programy prof..
3.000 zł mat. Biur. I gry świetlice wiejskie
</t>
        </r>
      </text>
    </comment>
    <comment ref="F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10.000 świetlice dożywianie
</t>
        </r>
      </text>
    </comment>
    <comment ref="F2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Izba
15.000 festyn FAS
3.000 szkolenie członków komisji
2.240 szkolenia sprzedawców rodziców 
</t>
        </r>
      </text>
    </comment>
    <comment ref="F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1.200 zł delegacje członków Komisji pracowników
</t>
        </r>
      </text>
    </comment>
    <comment ref="G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G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1.758 zł składki op.świetlic
</t>
        </r>
      </text>
    </comment>
    <comment ref="G2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16.800 wynagr. Opiekunów świlic
21.000 diety członków GKRPA
</t>
        </r>
      </text>
    </comment>
    <comment ref="G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mat. Programy prof..
3.000 zł mat. Biur. I gry świetlice wiejskie
</t>
        </r>
      </text>
    </comment>
    <comment ref="G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10.000 świetlice dożywianie
</t>
        </r>
      </text>
    </comment>
    <comment ref="G2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Izba
15.000 festyn FAS
3.000 szkolenie członków komisji
2.240 szkolenia sprzedawców rodziców 
</t>
        </r>
      </text>
    </comment>
    <comment ref="G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1.200 zł delegacje członków Komisji pracowników
</t>
        </r>
      </text>
    </comment>
    <comment ref="H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I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H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1.758 zł składki op.świetlic
</t>
        </r>
      </text>
    </comment>
    <comment ref="I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1.758 zł składki op.świetlic
</t>
        </r>
      </text>
    </comment>
    <comment ref="H2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16.800 wynagr. Opiekunów świlic
21.000 diety członków GKRPA
</t>
        </r>
      </text>
    </comment>
    <comment ref="I2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16.800 wynagr. Opiekunów świlic
21.000 diety członków GKRPA
</t>
        </r>
      </text>
    </comment>
    <comment ref="H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mat. Programy prof..
3.000 zł mat. Biur. I gry świetlice wiejskie
</t>
        </r>
      </text>
    </comment>
    <comment ref="I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mat. Programy prof..
3.000 zł mat. Biur. I gry świetlice wiejskie
</t>
        </r>
      </text>
    </comment>
    <comment ref="H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10.000 świetlice dożywianie
</t>
        </r>
      </text>
    </comment>
    <comment ref="I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10.000 świetlice dożywianie
</t>
        </r>
      </text>
    </comment>
    <comment ref="H2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Izba
15.000 festyn FAS
3.000 szkolenie członków komisji
2.240 szkolenia sprzedawców rodziców 
</t>
        </r>
      </text>
    </comment>
    <comment ref="I29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5.000 Izba
15.000 festyn FAS
3.000 szkolenie członków komisji
2.240 szkolenia sprzedawców rodziców 
</t>
        </r>
      </text>
    </comment>
    <comment ref="H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1.200 zł delegacje członków Komisji pracowników
</t>
        </r>
      </text>
    </comment>
    <comment ref="I3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1.200 zł delegacje członków Komisji pracowników
</t>
        </r>
      </text>
    </comment>
    <comment ref="J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K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  <comment ref="J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do par. 2710
</t>
        </r>
      </text>
    </comment>
    <comment ref="M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5.600 szkolenia nauczycieli i pedagogów narkomania
760 szkolenia sprzedawców rodziców iinych gr,.społ
</t>
        </r>
      </text>
    </comment>
  </commentList>
</comments>
</file>

<file path=xl/sharedStrings.xml><?xml version="1.0" encoding="utf-8"?>
<sst xmlns="http://schemas.openxmlformats.org/spreadsheetml/2006/main" count="1514" uniqueCount="477">
  <si>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</si>
  <si>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</si>
  <si>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</si>
  <si>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</si>
  <si>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</si>
  <si>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</si>
  <si>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</si>
  <si>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</si>
  <si>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</si>
  <si>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</si>
  <si>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</si>
  <si>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</si>
  <si>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</si>
  <si>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</si>
  <si>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</si>
  <si>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</si>
  <si>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</si>
  <si>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</si>
  <si>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</si>
  <si>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</si>
  <si>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</si>
  <si>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</si>
  <si>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</si>
  <si>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</si>
  <si>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</si>
  <si>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</si>
  <si>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</si>
  <si>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</si>
  <si>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</si>
  <si>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</si>
  <si>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</si>
  <si>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</si>
  <si>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</si>
  <si>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</si>
  <si>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</si>
  <si>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</si>
  <si>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</si>
  <si>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</si>
  <si>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</si>
  <si>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</si>
  <si>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</si>
  <si>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</si>
  <si>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</si>
  <si>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</si>
  <si>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</si>
  <si>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</si>
  <si>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</si>
  <si>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</si>
  <si>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</si>
  <si>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</si>
  <si>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</si>
  <si>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</si>
  <si>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</si>
  <si>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</si>
  <si>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</si>
  <si>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</si>
  <si>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</si>
  <si>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</si>
  <si>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</si>
  <si>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</si>
  <si>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</si>
  <si>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</si>
  <si>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</si>
  <si>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</si>
  <si>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</si>
  <si>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</si>
  <si>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</si>
  <si>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</si>
  <si>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</si>
  <si>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</si>
  <si>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</si>
  <si>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</si>
  <si>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</si>
  <si>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</si>
  <si>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</si>
  <si>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</si>
  <si>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</si>
  <si>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</si>
  <si>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</si>
  <si>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</si>
  <si>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</si>
  <si>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</si>
  <si>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</si>
  <si>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</si>
  <si>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</si>
  <si>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</si>
  <si>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</si>
  <si>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</si>
  <si>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</si>
  <si>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</si>
  <si>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</si>
  <si>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</si>
  <si>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</si>
  <si>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</si>
  <si>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</si>
  <si>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</si>
  <si>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</si>
  <si>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</si>
  <si>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</si>
  <si>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</si>
  <si>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</si>
  <si>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</si>
  <si>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</si>
  <si>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</si>
  <si>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</si>
  <si>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</si>
  <si>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</si>
  <si>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</si>
  <si>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</si>
  <si>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</si>
  <si>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</si>
  <si>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</si>
  <si>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</si>
  <si>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</si>
  <si>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</si>
  <si>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</si>
  <si>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</si>
  <si>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</si>
  <si>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</si>
  <si>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</si>
  <si>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</si>
  <si>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</si>
  <si>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</si>
  <si>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</si>
  <si>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</si>
  <si>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</si>
  <si>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</si>
  <si>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</si>
  <si>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</si>
  <si>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</si>
  <si>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</si>
  <si>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</si>
  <si>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</si>
  <si>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</si>
  <si>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</si>
  <si>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</si>
  <si>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</si>
  <si>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</si>
  <si>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</si>
  <si>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</si>
  <si>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</si>
  <si>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</si>
  <si>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</si>
  <si>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</si>
  <si>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</si>
  <si>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</si>
  <si>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</si>
  <si>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</si>
  <si>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</si>
  <si>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</si>
  <si>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</si>
  <si>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</si>
  <si>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</si>
  <si>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</si>
  <si>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</si>
  <si>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</si>
  <si>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</si>
  <si>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</si>
  <si>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</si>
  <si>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</si>
  <si>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</si>
  <si>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</si>
  <si>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</si>
  <si>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</si>
  <si>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</si>
  <si>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</si>
  <si>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</si>
  <si>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</si>
  <si>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</si>
  <si>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</si>
  <si>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</si>
  <si>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</si>
  <si>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</si>
  <si>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</si>
  <si>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</si>
  <si>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</si>
  <si>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</si>
  <si>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</si>
  <si>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</si>
  <si>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</si>
  <si>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</si>
  <si>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</si>
  <si>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</si>
  <si>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</si>
  <si>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</si>
  <si>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</si>
  <si>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</si>
  <si>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</si>
  <si>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</si>
  <si>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</si>
  <si>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</si>
  <si>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</si>
  <si>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</si>
  <si>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</si>
  <si>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</si>
  <si>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</si>
  <si>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</si>
  <si>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</si>
  <si>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</si>
  <si>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</si>
  <si>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</si>
  <si>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</si>
  <si>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</si>
  <si>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</si>
  <si>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</si>
  <si>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</si>
  <si>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</si>
  <si>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</si>
  <si>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</si>
  <si>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</si>
  <si>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</si>
  <si>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</si>
  <si>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</si>
  <si>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</si>
  <si>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</si>
  <si>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</si>
  <si>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</si>
  <si>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</si>
  <si>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</si>
  <si>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</si>
  <si>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</si>
  <si>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</si>
  <si>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</si>
  <si>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</si>
  <si>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</si>
  <si>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</si>
  <si>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</si>
  <si>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</si>
  <si>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 xml:space="preserve">      Ochrona zdrowia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</si>
  <si>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</si>
  <si>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</si>
  <si>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</si>
  <si>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</si>
  <si>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</si>
  <si>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</si>
  <si>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</si>
  <si>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</si>
  <si>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</si>
  <si>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</si>
  <si>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</si>
  <si>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</si>
  <si>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</si>
  <si>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Załacznik Nr 4</t>
  </si>
  <si>
    <t>Nazwa jednostki</t>
  </si>
  <si>
    <t>Zakres dotacji</t>
  </si>
  <si>
    <t>Kwota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</si>
  <si>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</si>
  <si>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</si>
  <si>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</si>
  <si>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</si>
  <si>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</si>
  <si>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</si>
  <si>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</si>
  <si>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</si>
  <si>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</si>
  <si>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</si>
  <si>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</si>
  <si>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</si>
  <si>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realizacja programów o charakterze profilaktyczno - edukacyjnym</t>
  </si>
  <si>
    <t xml:space="preserve">organizacja wypoczynku 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</si>
  <si>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</si>
  <si>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</si>
  <si>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</si>
  <si>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</si>
  <si>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</si>
  <si>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</si>
  <si>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</si>
  <si>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</si>
  <si>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prowadzenie świetlic wychowawczych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</si>
  <si>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</si>
  <si>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</si>
  <si>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</si>
  <si>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</si>
  <si>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przedszkola</t>
  </si>
  <si>
    <t>wpływy z tytułu przekształcenia prawa użytkowania wieczystego przysługującego osobom fizycznym 
w prawo własności</t>
  </si>
  <si>
    <t>rekompensaty utraconych dochodów w podatkach
 i opłatach lokalnych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</si>
  <si>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</si>
  <si>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</si>
  <si>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rezerwa na inwestycje i zakupy inwestycyjne</t>
  </si>
  <si>
    <t>Dochody i wydatki na rok 2009 z tytułu opłat za wydawanie zezwoleń na sprzedaż napojów alkoholowych oraz wydatki na realizację zadań określonych w programie profilaktyki i rozwiązywania problemów alkoholowych</t>
  </si>
  <si>
    <t>zakup akcesoriów komputerowych, w tym programów  i licencji</t>
  </si>
  <si>
    <t>1) Zakłady budżetowe</t>
  </si>
  <si>
    <t xml:space="preserve">2) Niepubliczne jednostki systemu oświaty </t>
  </si>
  <si>
    <t xml:space="preserve">3) Samorządowe instytucje kultury </t>
  </si>
  <si>
    <t xml:space="preserve">5) Dotacje celowe na realizację porozumień  </t>
  </si>
  <si>
    <t>II.Dotacje na zadania inwestycyjne</t>
  </si>
  <si>
    <t>dotacja celowa z budżetu na finansowanie lub dofinansowanie zadań zleconych do realizacji stowarzyszeniom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</si>
  <si>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</si>
  <si>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</si>
  <si>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</si>
  <si>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 xml:space="preserve">  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</si>
  <si>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</si>
  <si>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</si>
  <si>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</si>
  <si>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</si>
  <si>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</si>
  <si>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</si>
  <si>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</si>
  <si>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</si>
  <si>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</si>
  <si>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</si>
  <si>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</si>
  <si>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</si>
  <si>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</si>
  <si>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</si>
  <si>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</si>
  <si>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</si>
  <si>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</si>
  <si>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</si>
  <si>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4210</t>
  </si>
  <si>
    <t>Sołectwo Teresin</t>
  </si>
  <si>
    <t>Sołectwo Wrząca</t>
  </si>
  <si>
    <t>zakup materiałów i wypozażenia</t>
  </si>
  <si>
    <t>zakup usług dostępu do sieci internet</t>
  </si>
  <si>
    <t>kolonie i obozy oraz inne formy wypoczynku dzieci i młodzieży</t>
  </si>
  <si>
    <t>4300</t>
  </si>
  <si>
    <t>4260</t>
  </si>
  <si>
    <t xml:space="preserve">Publiczne Gimnazjum Katolickie </t>
  </si>
  <si>
    <t>prowadzenie gimnazjum</t>
  </si>
  <si>
    <t>0370</t>
  </si>
  <si>
    <t>opłata od posiadania psów</t>
  </si>
  <si>
    <t>dopłaty w spółkach prawa handlowego</t>
  </si>
  <si>
    <t>gospodarka odpadami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</si>
  <si>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</si>
  <si>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</si>
  <si>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</si>
  <si>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</si>
  <si>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</si>
  <si>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</si>
  <si>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Parafia Rzymskokatolicka  pw. Trójcy Świętej w Róży Wielkiej</t>
  </si>
  <si>
    <t>4) Jednostki niezaliczane do sektora finansów publicznych</t>
  </si>
  <si>
    <t>Ochotnicze Straże Pożarne</t>
  </si>
  <si>
    <t>dofinansowanie działalności Warsztatów Terapii Zajęciowej</t>
  </si>
  <si>
    <t>6) Dotacje na pomoc finansową</t>
  </si>
  <si>
    <t>doposażenie jednostek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</si>
  <si>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</si>
  <si>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</si>
  <si>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</si>
  <si>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</si>
  <si>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Dotacje na zadania bieżące</t>
  </si>
  <si>
    <t>zmiany</t>
  </si>
  <si>
    <t>plan po zmianie</t>
  </si>
  <si>
    <t>zmiana</t>
  </si>
  <si>
    <t>01041</t>
  </si>
  <si>
    <t>prace konserwatorskie i roboty budowlane przy kościele zabytkowym p.w. Matki Bożej Królowej Polski w Łomnicy</t>
  </si>
  <si>
    <t>dotacje celowe otrzymane z budżetu państwa na realizację zadań bieżących 
z zakresu administracji rządowej oraz innych zadań zleconych gminie (związkom gmin) ustawami</t>
  </si>
  <si>
    <t>dotacje celowe otrzymane z budżetu państwa na realizację zadań bieżących 
z zakresu administracji rządowej oraz innych zadań zleconych gminie (zwiazkom gmin) ustawami</t>
  </si>
  <si>
    <t>plan po zmianach</t>
  </si>
  <si>
    <t>utrzymanie hali sportowo-widowiskowej przy L.O. 
w Trzciance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</si>
  <si>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</si>
  <si>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</si>
  <si>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</si>
  <si>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</si>
  <si>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2 do Zarządzenia Nr 26/09</t>
  </si>
  <si>
    <t>Załącznik Nr 2 do Uchwały Nr XXIV/174/08</t>
  </si>
  <si>
    <t>Załącznik Nr 3 do Zarządzenia Nr 26/09</t>
  </si>
  <si>
    <t>Załącznik Nr 3 do Uchwały Nr XXIV/174/08</t>
  </si>
  <si>
    <t>Załącznik Nr 4 do Zarządzenia Nr 26/09</t>
  </si>
  <si>
    <t>Załącznik Nr 4 do Uchwały Nr XXIV/174/08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</si>
  <si>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plan po zmianach na rok 2009</t>
  </si>
  <si>
    <t xml:space="preserve">Dotacje otrzymywane do budżetu - plan po zmianach na rok 2009                                    </t>
  </si>
  <si>
    <t xml:space="preserve">Wydatki  budżetu gminy Trzcianka - plan po zmianach na rok 2009 </t>
  </si>
  <si>
    <t>Dochody budżetu gminy Trzcianka - plan po zmianach na rok 2009</t>
  </si>
  <si>
    <t>Dochody z tytułu opłat za wydawanie zezwoleń na sprzedaż napojów alkoholowych - plan po zmianach na rok 2009</t>
  </si>
  <si>
    <t>Wydatki na realizację zadań określonych w programie profilaktyki i rozwiązywania problemów alkoholowych - plan po zmianach na rok 2009</t>
  </si>
  <si>
    <t>Stowarzyszenie "Pomagajmy Dzieciom"</t>
  </si>
  <si>
    <t>Caritas Parafii p.w. Św. Jana Chrzciciela                    w Trzciance</t>
  </si>
  <si>
    <t>MKS MDK</t>
  </si>
  <si>
    <t>MKS LUBUSZANIN</t>
  </si>
  <si>
    <t>Klub Sportów Motorowych i Motorowodnych</t>
  </si>
  <si>
    <t>UKS "Fortuna Biała"</t>
  </si>
  <si>
    <t>UKS "Relax" przy SP Nr 2</t>
  </si>
  <si>
    <t>UKS "Dysk" przy SP Nr 3</t>
  </si>
  <si>
    <t>UKS "Forma" przy Gimnazjum Nr 1</t>
  </si>
  <si>
    <t>UKS "Kajak" przy Gimnazjum Nr 1</t>
  </si>
  <si>
    <t>LKS "Zuch" Rychlik</t>
  </si>
  <si>
    <t>Trzcianeckie LZS</t>
  </si>
  <si>
    <t>Stowarzyszenie Przyjażni Niesłyszącym</t>
  </si>
  <si>
    <t>Sekcja Olimpiad Specjalnych "Olimpijczyk"</t>
  </si>
  <si>
    <t>Polska Federacja Podnoszenia Ciężarów "Masters"</t>
  </si>
  <si>
    <t>PTSS "Sprawni - Razem"</t>
  </si>
  <si>
    <t xml:space="preserve">ZHP </t>
  </si>
  <si>
    <t>TSD SPORT</t>
  </si>
  <si>
    <t>dotacja celowa z budżetu na finansowanie lub dofinansowanie zadań zleconych do realizacji pozostałym jednostkom niezaliczanym do sektora finansów publicznych</t>
  </si>
  <si>
    <t>Załącznik Nr 5 do Zarządzenia Nr 26/09</t>
  </si>
  <si>
    <t>różne opłaty i skałdki</t>
  </si>
  <si>
    <t xml:space="preserve">Program Rozwoju Obszarów Wiejskich 2007-2013 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</si>
  <si>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</si>
  <si>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</si>
  <si>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</si>
  <si>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</si>
  <si>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</si>
  <si>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</si>
  <si>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</si>
  <si>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</si>
  <si>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Załącznik Nr 8 do Uchwały Nr XXVI/174/08</t>
  </si>
  <si>
    <t>Wydatki jednostek pomocniczych gminy - plan po zmianach na rok 2009</t>
  </si>
  <si>
    <t>01009</t>
  </si>
  <si>
    <t>Spółki wodne</t>
  </si>
  <si>
    <t>udziały os.fiz.</t>
  </si>
  <si>
    <t>85212.201</t>
  </si>
  <si>
    <t>85213.2010</t>
  </si>
  <si>
    <t>85214.2010</t>
  </si>
  <si>
    <t>85214.2030</t>
  </si>
  <si>
    <t>Rejonowy Związek Spółek Wodnych w Trzciance</t>
  </si>
  <si>
    <t>dotacja na konserwację i remonty rowó malioracyjncyh będących własnością gminy Trzcianka</t>
  </si>
  <si>
    <t>Załącznik Nr 1 do Uchwały Nr XXVIII/181/09</t>
  </si>
  <si>
    <t>Rady Miejskiej Trzcianki z dnia 23 marca 2009 r. zmieniający</t>
  </si>
  <si>
    <t>Załącznik Nr 2 do Uchwały Nr XXVIII/181/09</t>
  </si>
  <si>
    <t>Załącznik Nr 3 do Uchwały Nr XXVIII/181/09</t>
  </si>
  <si>
    <t>Załącznik Nr 4 do Uchwały Nr XXVIII/181/09</t>
  </si>
  <si>
    <t>Załącznik Nr 8 do Uchwały Nr XXVIII/181/09</t>
  </si>
  <si>
    <t xml:space="preserve">Rady Miejskiej Trzcianki z dnia 23 marca 2009 r. </t>
  </si>
  <si>
    <t>wybory do Parlamentu Europejskiego</t>
  </si>
  <si>
    <t>świadczenia rodzinne, świadczenia 
z funduszu alimentacyjnego oraz składki na ubezpieczenia emerytalne i rentowe z ubezpieczenia społecznego</t>
  </si>
  <si>
    <t>Rady Miejskiej Trzcianki z dnia 30 kwietnia 2009 r. zmieniający</t>
  </si>
  <si>
    <t>Załącznik Nr 3 do Uchwały Nr XXIX/191/09</t>
  </si>
  <si>
    <t>Załącznik Nr 1 do Uchwały Nr XXIX/191/09</t>
  </si>
  <si>
    <t>Załącznik Nr 2 do Uchwały Nr XXIX/191/09</t>
  </si>
  <si>
    <t xml:space="preserve">Rady Miejskiej Trzcianki z dnia 30 kwietnia 2009 r. </t>
  </si>
  <si>
    <t>Załącznik Nr 3 do Zarządzenia Nr 49/09</t>
  </si>
  <si>
    <t>Załącznik Nr 1 do Zarządzenia Nr 49/09</t>
  </si>
  <si>
    <t>Załącznik Nr 2 do Zarządzenia Nr 49/09</t>
  </si>
  <si>
    <t xml:space="preserve">Załącznik Nr 5 do Zarządzenia Nr 49/09 </t>
  </si>
  <si>
    <t>Burmistrza Trzcianki z dnia 11 maja 2009 r. zmieniający</t>
  </si>
  <si>
    <t xml:space="preserve">Burmistrza Trzcianki z dnia 11 maja 2009 r. </t>
  </si>
  <si>
    <t>Burmistrza Trzcianki z dnia 19 maja 2009 r. zmieniający</t>
  </si>
  <si>
    <t>Załącznik Nr 1 do Zarządzenia Nr 59/09</t>
  </si>
  <si>
    <t>Załącznik Nr 2 do Zarządzenia Nr 59/09</t>
  </si>
  <si>
    <t>Załącznik Nr 3 do Zarządzenia Nr 59/09</t>
  </si>
  <si>
    <t xml:space="preserve">Burmistrza Trzcianki z dnia 19 maja 2009 r. </t>
  </si>
  <si>
    <t>dotacja celowa na pomoc finansową udzielaną między jednostkami samorzadu terytorialnego na dofinansowanie własnych zadań bieżących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</si>
  <si>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</si>
  <si>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</si>
  <si>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Gmina Piła</t>
  </si>
  <si>
    <t xml:space="preserve">usługi w zakresie profilaktyki świadczone przez Ośrodek Profilaktyki i Rozwiązywania Problemów Alkoholowych w Pile </t>
  </si>
  <si>
    <t>Razem plan dotacji I. + II.</t>
  </si>
  <si>
    <t>odsetki od nieterminowych wpłat z tytułu pozostałych popdatków i opłat</t>
  </si>
  <si>
    <t>Załącznik Nr 3 do Uchwały Nr XXX/199/09</t>
  </si>
  <si>
    <t>Rady Miejskiej Trzcianki z dnia 28 maja 2009 r. zmieniający</t>
  </si>
  <si>
    <t>Załącznik Nr 1 do Uchwała Nr XXX/199/09</t>
  </si>
  <si>
    <t>Załącznik Nr 2 do Uchwały Nr XXX/199/09</t>
  </si>
  <si>
    <t>Załącznik Nr 6 do Uchwały Nr XXX/199/09</t>
  </si>
  <si>
    <t>Załącznik Nr 7 do Uchwały Nr XXX/199/09</t>
  </si>
  <si>
    <t xml:space="preserve">Załącznik Nr 3 do zarządzenia Nr 72/09 </t>
  </si>
  <si>
    <t>Burmistrza Trzcianki z dnia 5 czerwca 2009 r. zmieniający</t>
  </si>
  <si>
    <t xml:space="preserve">Rady Miejskiej Trzcianki z dnia 28 maja 2009 r. </t>
  </si>
  <si>
    <t>Załącznik Nr 1 do Zarządzenia Nr 72/09</t>
  </si>
  <si>
    <t xml:space="preserve">Załącznik Nr 2 do Zarządzenie Nr 72/09 </t>
  </si>
  <si>
    <t>Burmistrza Trzcianki z dnia 5 czerwiec 2009 r. zmieniający</t>
  </si>
  <si>
    <t xml:space="preserve">Burmistrza Trzcianki z dnia 5 czerwca 2009 r. </t>
  </si>
  <si>
    <t xml:space="preserve">Burmistrza Trzcianki z dnia 5 czerwiec 2009 r. </t>
  </si>
  <si>
    <t>drogi publiczne wojewódzkie</t>
  </si>
  <si>
    <t>dotacja celowa na pomoc finansową udzieloną między jednostkami samorzadu terytorialnego na dofinansowanie własnych zadań inwestycyjnych i zakupów inwestycyjnych</t>
  </si>
  <si>
    <t>składki na ubezpieczenie społeczne</t>
  </si>
  <si>
    <t xml:space="preserve">środki na dofinansowanie własnych zadań bieżących gmin (związków gmin), powiatów (związków powiatów), samorzadów województw, pozyskane z innych źródeł </t>
  </si>
  <si>
    <t>Województwo Wielkopolskie</t>
  </si>
  <si>
    <t>dotacja na pomoc finansową dla Województwa Wielkopolskiego na wspólne sfinansowanie budowy sygnalizacji świetlnej w ciągu drogi wojewódzkiej nr 180 relacji Kocień Wielki - Piła w miejscowości Trzcianka</t>
  </si>
  <si>
    <t>Rady Miejskiej Trzcianki z dnia 25 czerwca 2009 r. zmieniający</t>
  </si>
  <si>
    <t>Załącznik Nr 7 do Uchwały Nr XXXI/209/09</t>
  </si>
  <si>
    <t>Rady Miejskiej Trzcianki z dnia 25 czerwiec 2009 r. zmieniający</t>
  </si>
  <si>
    <t>Załącznik Nr 3 do Uchwały Nr XXXI/209/09</t>
  </si>
  <si>
    <t>dotacja na zakup samochodu dla Państwowej Straży Pożarnej w Czarnkowie (Jednostka Ratowniczo Gaśnicza w Trzciance)</t>
  </si>
  <si>
    <t>Załącznik Nr 1 do Uchwały Nr XXXI/209/09</t>
  </si>
  <si>
    <t>Załącznik Nr 2 do Uchwały Nr XXXI/209/09</t>
  </si>
  <si>
    <t>wpływy do budżetu nadwyżki dochodów własnych lub środków obrotowych</t>
  </si>
  <si>
    <t xml:space="preserve">Rady Miejskiej Trzcianki z dnia 25 czerwca 2009 r. </t>
  </si>
  <si>
    <t>Załącznik Nr 1 do Zarządzenie Nr 91/09</t>
  </si>
  <si>
    <t>Burmistrza Trzcianki z dnia 30 czerwca 2009 r. zmieniający</t>
  </si>
  <si>
    <t xml:space="preserve">Załącznik Nr 3 do Zarządzenia Nr 91/09 </t>
  </si>
  <si>
    <t>Załącznik Nr 2 do Zarządzenia Nr 91/09</t>
  </si>
  <si>
    <t>Burmistrz Trzcianki z dnia 30 czerwca 2009 r. zmieniający</t>
  </si>
  <si>
    <t>Załącznik Nr 4 do Zarządzenia Nr 91/09</t>
  </si>
  <si>
    <t>Załącznik Nr 5 do Zarządzenia Nr 91/09</t>
  </si>
  <si>
    <t xml:space="preserve">Rady Miejskiej Trzcianki z dnia 25 czerwiec 2009 r. </t>
  </si>
  <si>
    <t>Załącznik Nr 6 do Uchwały Nr 91/09</t>
  </si>
  <si>
    <t>inne formy pomocy dla uczniów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</si>
</sst>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Arial CE"/>
      <family val="2"/>
    </font>
    <font>
      <b/>
      <sz val="14"/>
      <name val="Arial CE"/>
      <family val="2"/>
    </font>
    <font>
      <sz val="8"/>
      <color indexed="10"/>
      <name val="Arial CE"/>
      <family val="2"/>
    </font>
    <font>
      <i/>
      <sz val="10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8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42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10" xfId="52" applyFont="1" applyBorder="1" applyAlignment="1">
      <alignment horizontal="center" vertical="center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 indent="1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 wrapText="1" inden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 inden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 indent="2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 quotePrefix="1">
      <alignment horizontal="center" vertical="center" wrapText="1"/>
      <protection/>
    </xf>
    <xf numFmtId="0" fontId="6" fillId="0" borderId="10" xfId="52" applyFont="1" applyBorder="1" applyAlignment="1" quotePrefix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left" vertical="center" inden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2" fillId="0" borderId="10" xfId="52" applyFont="1" applyBorder="1" applyAlignment="1">
      <alignment horizontal="left" vertical="center" wrapText="1" indent="2"/>
      <protection/>
    </xf>
    <xf numFmtId="0" fontId="4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52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5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4" fontId="2" fillId="0" borderId="11" xfId="0" applyNumberFormat="1" applyFont="1" applyFill="1" applyBorder="1" applyAlignment="1" quotePrefix="1">
      <alignment horizontal="right" vertical="center" wrapText="1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 quotePrefix="1">
      <alignment horizontal="righ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54" fillId="33" borderId="10" xfId="0" applyFont="1" applyFill="1" applyBorder="1" applyAlignment="1" quotePrefix="1">
      <alignment horizontal="center" vertical="center"/>
    </xf>
    <xf numFmtId="0" fontId="54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42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2" fillId="0" borderId="0" xfId="42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6" fillId="0" borderId="0" xfId="42" applyNumberFormat="1" applyFont="1" applyAlignment="1">
      <alignment horizontal="right"/>
    </xf>
    <xf numFmtId="0" fontId="6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164" fontId="6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0" fillId="0" borderId="0" xfId="52" applyFont="1" applyAlignment="1">
      <alignment horizontal="left" vertical="center" indent="1"/>
      <protection/>
    </xf>
    <xf numFmtId="0" fontId="0" fillId="0" borderId="0" xfId="52" applyFont="1" applyAlignment="1">
      <alignment horizontal="center" vertical="center"/>
      <protection/>
    </xf>
    <xf numFmtId="0" fontId="8" fillId="0" borderId="0" xfId="52" applyFont="1">
      <alignment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 applyAlignment="1">
      <alignment horizontal="left" vertical="center" indent="1"/>
      <protection/>
    </xf>
    <xf numFmtId="4" fontId="17" fillId="0" borderId="0" xfId="52" applyNumberFormat="1" applyFont="1" applyFill="1" applyAlignment="1">
      <alignment horizontal="right" vertical="center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 quotePrefix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Border="1" applyAlignment="1">
      <alignment horizontal="left" vertical="center" wrapText="1" indent="2"/>
      <protection/>
    </xf>
    <xf numFmtId="0" fontId="4" fillId="0" borderId="10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W135" sqref="W135:W137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5.25390625" style="9" customWidth="1"/>
    <col min="4" max="4" width="32.75390625" style="9" customWidth="1"/>
    <col min="5" max="5" width="14.625" style="30" hidden="1" customWidth="1"/>
    <col min="6" max="6" width="11.25390625" style="30" hidden="1" customWidth="1"/>
    <col min="7" max="7" width="13.875" style="30" hidden="1" customWidth="1"/>
    <col min="8" max="8" width="14.25390625" style="30" hidden="1" customWidth="1"/>
    <col min="9" max="9" width="14.75390625" style="30" hidden="1" customWidth="1"/>
    <col min="10" max="10" width="14.25390625" style="30" hidden="1" customWidth="1"/>
    <col min="11" max="11" width="14.75390625" style="30" hidden="1" customWidth="1"/>
    <col min="12" max="12" width="14.25390625" style="30" hidden="1" customWidth="1"/>
    <col min="13" max="13" width="16.625" style="30" hidden="1" customWidth="1"/>
    <col min="14" max="14" width="16.25390625" style="30" hidden="1" customWidth="1"/>
    <col min="15" max="15" width="40.00390625" style="30" hidden="1" customWidth="1"/>
    <col min="16" max="16" width="9.875" style="30" hidden="1" customWidth="1"/>
    <col min="17" max="20" width="14.75390625" style="30" hidden="1" customWidth="1"/>
    <col min="21" max="21" width="1.75390625" style="30" hidden="1" customWidth="1"/>
    <col min="22" max="22" width="14.75390625" style="30" hidden="1" customWidth="1"/>
    <col min="23" max="25" width="14.75390625" style="30" customWidth="1"/>
  </cols>
  <sheetData>
    <row r="1" spans="1:25" ht="12.75">
      <c r="A1" s="54"/>
      <c r="B1" s="54"/>
      <c r="C1" s="54"/>
      <c r="D1" s="54"/>
      <c r="E1" s="55" t="s">
        <v>196</v>
      </c>
      <c r="F1" s="55"/>
      <c r="G1" s="55" t="s">
        <v>351</v>
      </c>
      <c r="H1" s="55"/>
      <c r="I1" s="55" t="s">
        <v>406</v>
      </c>
      <c r="J1" s="55"/>
      <c r="K1" s="55" t="s">
        <v>417</v>
      </c>
      <c r="L1" s="55"/>
      <c r="M1" s="55" t="s">
        <v>421</v>
      </c>
      <c r="N1" s="55"/>
      <c r="O1" s="55" t="s">
        <v>427</v>
      </c>
      <c r="P1" s="55"/>
      <c r="Q1" s="55" t="s">
        <v>440</v>
      </c>
      <c r="R1" s="55"/>
      <c r="S1" s="55" t="s">
        <v>447</v>
      </c>
      <c r="T1" s="55"/>
      <c r="U1" s="55" t="s">
        <v>463</v>
      </c>
      <c r="V1" s="55"/>
      <c r="W1" s="55" t="s">
        <v>467</v>
      </c>
      <c r="X1" s="55"/>
      <c r="Y1" s="55"/>
    </row>
    <row r="2" spans="1:25" ht="12.75">
      <c r="A2" s="54"/>
      <c r="B2" s="54"/>
      <c r="C2" s="54"/>
      <c r="D2" s="54"/>
      <c r="E2" s="55" t="s">
        <v>231</v>
      </c>
      <c r="F2" s="55"/>
      <c r="G2" s="55" t="s">
        <v>352</v>
      </c>
      <c r="H2" s="55"/>
      <c r="I2" s="55" t="s">
        <v>407</v>
      </c>
      <c r="J2" s="55"/>
      <c r="K2" s="55" t="s">
        <v>415</v>
      </c>
      <c r="L2" s="55"/>
      <c r="M2" s="55" t="s">
        <v>424</v>
      </c>
      <c r="N2" s="55"/>
      <c r="O2" s="55" t="s">
        <v>426</v>
      </c>
      <c r="P2" s="55"/>
      <c r="Q2" s="55" t="s">
        <v>439</v>
      </c>
      <c r="R2" s="55"/>
      <c r="S2" s="55" t="s">
        <v>445</v>
      </c>
      <c r="T2" s="55"/>
      <c r="U2" s="55" t="s">
        <v>458</v>
      </c>
      <c r="V2" s="55"/>
      <c r="W2" s="55" t="s">
        <v>468</v>
      </c>
      <c r="X2" s="55"/>
      <c r="Y2" s="55"/>
    </row>
    <row r="3" spans="1:25" ht="12.75">
      <c r="A3" s="54"/>
      <c r="B3" s="54"/>
      <c r="C3" s="54"/>
      <c r="D3" s="54"/>
      <c r="E3" s="55" t="s">
        <v>151</v>
      </c>
      <c r="F3" s="55"/>
      <c r="G3" s="55" t="s">
        <v>349</v>
      </c>
      <c r="H3" s="55"/>
      <c r="I3" s="55" t="s">
        <v>351</v>
      </c>
      <c r="J3" s="55"/>
      <c r="K3" s="55" t="s">
        <v>406</v>
      </c>
      <c r="L3" s="55"/>
      <c r="M3" s="55" t="s">
        <v>417</v>
      </c>
      <c r="N3" s="55"/>
      <c r="O3" s="55" t="s">
        <v>421</v>
      </c>
      <c r="P3" s="55"/>
      <c r="Q3" s="55" t="s">
        <v>427</v>
      </c>
      <c r="R3" s="55"/>
      <c r="S3" s="55" t="s">
        <v>440</v>
      </c>
      <c r="T3" s="55"/>
      <c r="U3" s="55" t="s">
        <v>447</v>
      </c>
      <c r="V3" s="55"/>
      <c r="W3" s="55" t="s">
        <v>463</v>
      </c>
      <c r="X3" s="55"/>
      <c r="Y3" s="55"/>
    </row>
    <row r="4" spans="1:25" ht="12.75">
      <c r="A4" s="54"/>
      <c r="B4" s="54"/>
      <c r="C4" s="54"/>
      <c r="D4" s="54"/>
      <c r="E4" s="55" t="s">
        <v>232</v>
      </c>
      <c r="F4" s="55"/>
      <c r="G4" s="55" t="s">
        <v>350</v>
      </c>
      <c r="H4" s="55"/>
      <c r="I4" s="55" t="s">
        <v>387</v>
      </c>
      <c r="J4" s="55"/>
      <c r="K4" s="55" t="s">
        <v>412</v>
      </c>
      <c r="L4" s="55"/>
      <c r="M4" s="55" t="s">
        <v>419</v>
      </c>
      <c r="N4" s="55"/>
      <c r="O4" s="55" t="s">
        <v>425</v>
      </c>
      <c r="P4" s="55"/>
      <c r="Q4" s="55" t="s">
        <v>430</v>
      </c>
      <c r="R4" s="55"/>
      <c r="S4" s="55" t="s">
        <v>446</v>
      </c>
      <c r="T4" s="55"/>
      <c r="U4" s="55" t="s">
        <v>450</v>
      </c>
      <c r="V4" s="55"/>
      <c r="W4" s="55" t="s">
        <v>466</v>
      </c>
      <c r="X4" s="55"/>
      <c r="Y4" s="55"/>
    </row>
    <row r="5" spans="1:25" ht="18.75" customHeight="1">
      <c r="A5" s="139" t="s">
        <v>362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s="9" customFormat="1" ht="24.75" customHeight="1">
      <c r="A6" s="7" t="s">
        <v>0</v>
      </c>
      <c r="B6" s="6" t="s">
        <v>1</v>
      </c>
      <c r="C6" s="22" t="s">
        <v>2</v>
      </c>
      <c r="D6" s="7" t="s">
        <v>3</v>
      </c>
      <c r="E6" s="10" t="s">
        <v>146</v>
      </c>
      <c r="F6" s="10" t="s">
        <v>340</v>
      </c>
      <c r="G6" s="10" t="s">
        <v>146</v>
      </c>
      <c r="H6" s="10" t="s">
        <v>340</v>
      </c>
      <c r="I6" s="10" t="s">
        <v>147</v>
      </c>
      <c r="J6" s="10" t="s">
        <v>340</v>
      </c>
      <c r="K6" s="10" t="s">
        <v>147</v>
      </c>
      <c r="L6" s="10" t="s">
        <v>340</v>
      </c>
      <c r="M6" s="10" t="s">
        <v>147</v>
      </c>
      <c r="N6" s="10" t="s">
        <v>340</v>
      </c>
      <c r="O6" s="10" t="s">
        <v>146</v>
      </c>
      <c r="P6" s="10" t="s">
        <v>340</v>
      </c>
      <c r="Q6" s="10" t="s">
        <v>147</v>
      </c>
      <c r="R6" s="10" t="s">
        <v>340</v>
      </c>
      <c r="S6" s="10" t="s">
        <v>147</v>
      </c>
      <c r="T6" s="10" t="s">
        <v>340</v>
      </c>
      <c r="U6" s="10" t="s">
        <v>147</v>
      </c>
      <c r="V6" s="10" t="s">
        <v>340</v>
      </c>
      <c r="W6" s="10" t="s">
        <v>147</v>
      </c>
      <c r="X6" s="10" t="s">
        <v>340</v>
      </c>
      <c r="Y6" s="10" t="s">
        <v>347</v>
      </c>
    </row>
    <row r="7" spans="1:25" s="9" customFormat="1" ht="24" customHeight="1">
      <c r="A7" s="96" t="s">
        <v>4</v>
      </c>
      <c r="B7" s="6"/>
      <c r="C7" s="22"/>
      <c r="D7" s="137" t="s">
        <v>5</v>
      </c>
      <c r="E7" s="19">
        <f aca="true" t="shared" si="0" ref="E7:Y7">SUM(E8)</f>
        <v>239800</v>
      </c>
      <c r="F7" s="19">
        <f t="shared" si="0"/>
        <v>400000</v>
      </c>
      <c r="G7" s="19">
        <f t="shared" si="0"/>
        <v>639800</v>
      </c>
      <c r="H7" s="19">
        <f t="shared" si="0"/>
        <v>0</v>
      </c>
      <c r="I7" s="19">
        <f t="shared" si="0"/>
        <v>639800</v>
      </c>
      <c r="J7" s="19">
        <f t="shared" si="0"/>
        <v>0</v>
      </c>
      <c r="K7" s="19">
        <f t="shared" si="0"/>
        <v>639800</v>
      </c>
      <c r="L7" s="19">
        <f t="shared" si="0"/>
        <v>0</v>
      </c>
      <c r="M7" s="19">
        <f t="shared" si="0"/>
        <v>639800</v>
      </c>
      <c r="N7" s="19">
        <f t="shared" si="0"/>
        <v>0</v>
      </c>
      <c r="O7" s="19">
        <f t="shared" si="0"/>
        <v>639800</v>
      </c>
      <c r="P7" s="19">
        <f t="shared" si="0"/>
        <v>285502</v>
      </c>
      <c r="Q7" s="19">
        <f t="shared" si="0"/>
        <v>925302</v>
      </c>
      <c r="R7" s="19">
        <f t="shared" si="0"/>
        <v>0</v>
      </c>
      <c r="S7" s="19">
        <f t="shared" si="0"/>
        <v>925302</v>
      </c>
      <c r="T7" s="19">
        <f t="shared" si="0"/>
        <v>0</v>
      </c>
      <c r="U7" s="19">
        <f t="shared" si="0"/>
        <v>925302</v>
      </c>
      <c r="V7" s="19">
        <f t="shared" si="0"/>
        <v>0</v>
      </c>
      <c r="W7" s="19">
        <f t="shared" si="0"/>
        <v>925302</v>
      </c>
      <c r="X7" s="19">
        <f t="shared" si="0"/>
        <v>0</v>
      </c>
      <c r="Y7" s="19">
        <f t="shared" si="0"/>
        <v>925302</v>
      </c>
    </row>
    <row r="8" spans="1:25" s="26" customFormat="1" ht="24" customHeight="1">
      <c r="A8" s="75"/>
      <c r="B8" s="73" t="s">
        <v>264</v>
      </c>
      <c r="C8" s="77"/>
      <c r="D8" s="138" t="s">
        <v>6</v>
      </c>
      <c r="E8" s="82">
        <f aca="true" t="shared" si="1" ref="E8:K8">SUM(E9:E10)</f>
        <v>239800</v>
      </c>
      <c r="F8" s="82">
        <f t="shared" si="1"/>
        <v>400000</v>
      </c>
      <c r="G8" s="195">
        <f t="shared" si="1"/>
        <v>639800</v>
      </c>
      <c r="H8" s="82">
        <f t="shared" si="1"/>
        <v>0</v>
      </c>
      <c r="I8" s="195">
        <f t="shared" si="1"/>
        <v>639800</v>
      </c>
      <c r="J8" s="82">
        <f t="shared" si="1"/>
        <v>0</v>
      </c>
      <c r="K8" s="195">
        <f t="shared" si="1"/>
        <v>639800</v>
      </c>
      <c r="L8" s="82">
        <f>SUM(L9:L10)</f>
        <v>0</v>
      </c>
      <c r="M8" s="195">
        <f>SUM(M9:M10)</f>
        <v>639800</v>
      </c>
      <c r="N8" s="82">
        <f>SUM(N9:N10)</f>
        <v>0</v>
      </c>
      <c r="O8" s="195">
        <f>SUM(O9:O10)</f>
        <v>639800</v>
      </c>
      <c r="P8" s="82">
        <f aca="true" t="shared" si="2" ref="P8:U8">SUM(P9:P11)</f>
        <v>285502</v>
      </c>
      <c r="Q8" s="82">
        <f t="shared" si="2"/>
        <v>925302</v>
      </c>
      <c r="R8" s="82">
        <f t="shared" si="2"/>
        <v>0</v>
      </c>
      <c r="S8" s="82">
        <f t="shared" si="2"/>
        <v>925302</v>
      </c>
      <c r="T8" s="82">
        <f t="shared" si="2"/>
        <v>0</v>
      </c>
      <c r="U8" s="82">
        <f t="shared" si="2"/>
        <v>925302</v>
      </c>
      <c r="V8" s="82">
        <f>SUM(V9:V11)</f>
        <v>0</v>
      </c>
      <c r="W8" s="82">
        <f>SUM(W9:W11)</f>
        <v>925302</v>
      </c>
      <c r="X8" s="82">
        <f>SUM(X9:X11)</f>
        <v>0</v>
      </c>
      <c r="Y8" s="82">
        <f>SUM(Y9:Y11)</f>
        <v>925302</v>
      </c>
    </row>
    <row r="9" spans="1:25" s="26" customFormat="1" ht="67.5">
      <c r="A9" s="75"/>
      <c r="B9" s="48"/>
      <c r="C9" s="76" t="s">
        <v>166</v>
      </c>
      <c r="D9" s="74" t="s">
        <v>57</v>
      </c>
      <c r="E9" s="82">
        <f>110000+9800</f>
        <v>119800</v>
      </c>
      <c r="F9" s="82"/>
      <c r="G9" s="195">
        <f aca="true" t="shared" si="3" ref="G9:G77">SUM(E9:F9)</f>
        <v>119800</v>
      </c>
      <c r="H9" s="82"/>
      <c r="I9" s="195">
        <f>SUM(G9:H9)</f>
        <v>119800</v>
      </c>
      <c r="J9" s="82"/>
      <c r="K9" s="195">
        <f>SUM(I9:J9)</f>
        <v>119800</v>
      </c>
      <c r="L9" s="82"/>
      <c r="M9" s="195">
        <f>SUM(K9:L9)</f>
        <v>119800</v>
      </c>
      <c r="N9" s="82"/>
      <c r="O9" s="195">
        <f>SUM(M9:N9)</f>
        <v>119800</v>
      </c>
      <c r="P9" s="82"/>
      <c r="Q9" s="195">
        <f>SUM(O9:P9)</f>
        <v>119800</v>
      </c>
      <c r="R9" s="82"/>
      <c r="S9" s="195">
        <f>SUM(Q9:R9)</f>
        <v>119800</v>
      </c>
      <c r="T9" s="82"/>
      <c r="U9" s="195">
        <f>SUM(S9:T9)</f>
        <v>119800</v>
      </c>
      <c r="V9" s="82"/>
      <c r="W9" s="195">
        <f>SUM(U9:V9)</f>
        <v>119800</v>
      </c>
      <c r="X9" s="82"/>
      <c r="Y9" s="195">
        <f>SUM(W9:X9)</f>
        <v>119800</v>
      </c>
    </row>
    <row r="10" spans="1:25" s="26" customFormat="1" ht="33.75">
      <c r="A10" s="75"/>
      <c r="B10" s="48"/>
      <c r="C10" s="76" t="s">
        <v>265</v>
      </c>
      <c r="D10" s="74" t="s">
        <v>266</v>
      </c>
      <c r="E10" s="82">
        <v>120000</v>
      </c>
      <c r="F10" s="82">
        <v>400000</v>
      </c>
      <c r="G10" s="195">
        <f t="shared" si="3"/>
        <v>520000</v>
      </c>
      <c r="H10" s="82"/>
      <c r="I10" s="195">
        <f>SUM(G10:H10)</f>
        <v>520000</v>
      </c>
      <c r="J10" s="82"/>
      <c r="K10" s="195">
        <f>SUM(I10:J10)</f>
        <v>520000</v>
      </c>
      <c r="L10" s="82"/>
      <c r="M10" s="195">
        <f>SUM(K10:L10)</f>
        <v>520000</v>
      </c>
      <c r="N10" s="82"/>
      <c r="O10" s="195">
        <f>SUM(M10:N10)</f>
        <v>520000</v>
      </c>
      <c r="P10" s="82"/>
      <c r="Q10" s="195">
        <f>SUM(O10:P10)</f>
        <v>520000</v>
      </c>
      <c r="R10" s="82"/>
      <c r="S10" s="195">
        <f>SUM(Q10:R10)</f>
        <v>520000</v>
      </c>
      <c r="T10" s="82"/>
      <c r="U10" s="195">
        <f>SUM(S10:T10)</f>
        <v>520000</v>
      </c>
      <c r="V10" s="82"/>
      <c r="W10" s="195">
        <f>SUM(U10:V10)</f>
        <v>520000</v>
      </c>
      <c r="X10" s="82"/>
      <c r="Y10" s="195">
        <f>SUM(W10:X10)</f>
        <v>520000</v>
      </c>
    </row>
    <row r="11" spans="1:25" s="26" customFormat="1" ht="56.25">
      <c r="A11" s="75"/>
      <c r="B11" s="48"/>
      <c r="C11" s="76">
        <v>2010</v>
      </c>
      <c r="D11" s="74" t="s">
        <v>220</v>
      </c>
      <c r="E11" s="82"/>
      <c r="F11" s="82"/>
      <c r="G11" s="195"/>
      <c r="H11" s="82"/>
      <c r="I11" s="195"/>
      <c r="J11" s="82"/>
      <c r="K11" s="195"/>
      <c r="L11" s="82"/>
      <c r="M11" s="195"/>
      <c r="N11" s="82"/>
      <c r="O11" s="195">
        <v>0</v>
      </c>
      <c r="P11" s="82">
        <v>285502</v>
      </c>
      <c r="Q11" s="195">
        <f>SUM(O11:P11)</f>
        <v>285502</v>
      </c>
      <c r="R11" s="82"/>
      <c r="S11" s="195">
        <f>SUM(Q11:R11)</f>
        <v>285502</v>
      </c>
      <c r="T11" s="82"/>
      <c r="U11" s="195">
        <f>SUM(S11:T11)</f>
        <v>285502</v>
      </c>
      <c r="V11" s="82"/>
      <c r="W11" s="195">
        <f>SUM(U11:V11)</f>
        <v>285502</v>
      </c>
      <c r="X11" s="82"/>
      <c r="Y11" s="195">
        <f>SUM(W11:X11)</f>
        <v>285502</v>
      </c>
    </row>
    <row r="12" spans="1:25" s="8" customFormat="1" ht="24" customHeight="1">
      <c r="A12" s="31" t="s">
        <v>8</v>
      </c>
      <c r="B12" s="4"/>
      <c r="C12" s="5"/>
      <c r="D12" s="32" t="s">
        <v>9</v>
      </c>
      <c r="E12" s="56">
        <f aca="true" t="shared" si="4" ref="E12:Y12">SUM(E13,)</f>
        <v>4801700</v>
      </c>
      <c r="F12" s="56">
        <f t="shared" si="4"/>
        <v>200000</v>
      </c>
      <c r="G12" s="56">
        <f t="shared" si="4"/>
        <v>5001700</v>
      </c>
      <c r="H12" s="56">
        <f t="shared" si="4"/>
        <v>0</v>
      </c>
      <c r="I12" s="56">
        <f t="shared" si="4"/>
        <v>5001700</v>
      </c>
      <c r="J12" s="56">
        <f t="shared" si="4"/>
        <v>0</v>
      </c>
      <c r="K12" s="56">
        <f t="shared" si="4"/>
        <v>5001700</v>
      </c>
      <c r="L12" s="56">
        <f t="shared" si="4"/>
        <v>0</v>
      </c>
      <c r="M12" s="56">
        <f t="shared" si="4"/>
        <v>5001700</v>
      </c>
      <c r="N12" s="56">
        <f t="shared" si="4"/>
        <v>0</v>
      </c>
      <c r="O12" s="56">
        <f t="shared" si="4"/>
        <v>5001700</v>
      </c>
      <c r="P12" s="56">
        <f t="shared" si="4"/>
        <v>0</v>
      </c>
      <c r="Q12" s="56">
        <f t="shared" si="4"/>
        <v>5001700</v>
      </c>
      <c r="R12" s="56">
        <f t="shared" si="4"/>
        <v>0</v>
      </c>
      <c r="S12" s="56">
        <f t="shared" si="4"/>
        <v>5001700</v>
      </c>
      <c r="T12" s="56">
        <f t="shared" si="4"/>
        <v>0</v>
      </c>
      <c r="U12" s="56">
        <f t="shared" si="4"/>
        <v>5001700</v>
      </c>
      <c r="V12" s="56">
        <f t="shared" si="4"/>
        <v>0</v>
      </c>
      <c r="W12" s="56">
        <f t="shared" si="4"/>
        <v>5001700</v>
      </c>
      <c r="X12" s="56">
        <f t="shared" si="4"/>
        <v>0</v>
      </c>
      <c r="Y12" s="56">
        <f t="shared" si="4"/>
        <v>5001700</v>
      </c>
    </row>
    <row r="13" spans="1:25" s="26" customFormat="1" ht="24" customHeight="1">
      <c r="A13" s="70"/>
      <c r="B13" s="71" t="s">
        <v>10</v>
      </c>
      <c r="C13" s="77"/>
      <c r="D13" s="74" t="s">
        <v>153</v>
      </c>
      <c r="E13" s="69">
        <f aca="true" t="shared" si="5" ref="E13:K13">SUM(E14:E18)</f>
        <v>4801700</v>
      </c>
      <c r="F13" s="69">
        <f t="shared" si="5"/>
        <v>200000</v>
      </c>
      <c r="G13" s="69">
        <f t="shared" si="5"/>
        <v>5001700</v>
      </c>
      <c r="H13" s="69">
        <f t="shared" si="5"/>
        <v>0</v>
      </c>
      <c r="I13" s="69">
        <f t="shared" si="5"/>
        <v>5001700</v>
      </c>
      <c r="J13" s="69">
        <f t="shared" si="5"/>
        <v>0</v>
      </c>
      <c r="K13" s="69">
        <f t="shared" si="5"/>
        <v>5001700</v>
      </c>
      <c r="L13" s="69">
        <f aca="true" t="shared" si="6" ref="L13:Q13">SUM(L14:L18)</f>
        <v>0</v>
      </c>
      <c r="M13" s="69">
        <f t="shared" si="6"/>
        <v>5001700</v>
      </c>
      <c r="N13" s="69">
        <f t="shared" si="6"/>
        <v>0</v>
      </c>
      <c r="O13" s="69">
        <f t="shared" si="6"/>
        <v>5001700</v>
      </c>
      <c r="P13" s="69">
        <f t="shared" si="6"/>
        <v>0</v>
      </c>
      <c r="Q13" s="69">
        <f t="shared" si="6"/>
        <v>5001700</v>
      </c>
      <c r="R13" s="69">
        <f aca="true" t="shared" si="7" ref="R13:W13">SUM(R14:R18)</f>
        <v>0</v>
      </c>
      <c r="S13" s="69">
        <f t="shared" si="7"/>
        <v>5001700</v>
      </c>
      <c r="T13" s="69">
        <f t="shared" si="7"/>
        <v>0</v>
      </c>
      <c r="U13" s="69">
        <f t="shared" si="7"/>
        <v>5001700</v>
      </c>
      <c r="V13" s="69">
        <f t="shared" si="7"/>
        <v>0</v>
      </c>
      <c r="W13" s="69">
        <f t="shared" si="7"/>
        <v>5001700</v>
      </c>
      <c r="X13" s="69">
        <f>SUM(X14:X18)</f>
        <v>0</v>
      </c>
      <c r="Y13" s="69">
        <f>SUM(Y14:Y18)</f>
        <v>5001700</v>
      </c>
    </row>
    <row r="14" spans="1:25" s="26" customFormat="1" ht="24" customHeight="1">
      <c r="A14" s="70"/>
      <c r="B14" s="48"/>
      <c r="C14" s="76" t="s">
        <v>165</v>
      </c>
      <c r="D14" s="74" t="s">
        <v>219</v>
      </c>
      <c r="E14" s="69">
        <v>140000</v>
      </c>
      <c r="F14" s="69"/>
      <c r="G14" s="195">
        <f t="shared" si="3"/>
        <v>140000</v>
      </c>
      <c r="H14" s="69"/>
      <c r="I14" s="195">
        <f>SUM(G14:H14)</f>
        <v>140000</v>
      </c>
      <c r="J14" s="69"/>
      <c r="K14" s="195">
        <f>SUM(I14:J14)</f>
        <v>140000</v>
      </c>
      <c r="L14" s="69"/>
      <c r="M14" s="195">
        <f>SUM(K14:L14)</f>
        <v>140000</v>
      </c>
      <c r="N14" s="69"/>
      <c r="O14" s="195">
        <f>SUM(M14:N14)</f>
        <v>140000</v>
      </c>
      <c r="P14" s="69"/>
      <c r="Q14" s="195">
        <f>SUM(O14:P14)</f>
        <v>140000</v>
      </c>
      <c r="R14" s="69"/>
      <c r="S14" s="195">
        <f>SUM(Q14:R14)</f>
        <v>140000</v>
      </c>
      <c r="T14" s="69"/>
      <c r="U14" s="195">
        <f>SUM(S14:T14)</f>
        <v>140000</v>
      </c>
      <c r="V14" s="69"/>
      <c r="W14" s="195">
        <f>SUM(U14:V14)</f>
        <v>140000</v>
      </c>
      <c r="X14" s="69"/>
      <c r="Y14" s="195">
        <f>SUM(W14:X14)</f>
        <v>140000</v>
      </c>
    </row>
    <row r="15" spans="1:25" s="26" customFormat="1" ht="67.5">
      <c r="A15" s="70"/>
      <c r="B15" s="48"/>
      <c r="C15" s="72" t="s">
        <v>166</v>
      </c>
      <c r="D15" s="74" t="s">
        <v>57</v>
      </c>
      <c r="E15" s="69">
        <f>16000+82000+8000+4000+1420000+280000</f>
        <v>1810000</v>
      </c>
      <c r="F15" s="69"/>
      <c r="G15" s="195">
        <f t="shared" si="3"/>
        <v>1810000</v>
      </c>
      <c r="H15" s="69"/>
      <c r="I15" s="195">
        <f>SUM(G15:H15)</f>
        <v>1810000</v>
      </c>
      <c r="J15" s="69"/>
      <c r="K15" s="195">
        <f>SUM(I15:J15)</f>
        <v>1810000</v>
      </c>
      <c r="L15" s="69"/>
      <c r="M15" s="195">
        <f>SUM(K15:L15)</f>
        <v>1810000</v>
      </c>
      <c r="N15" s="69"/>
      <c r="O15" s="195">
        <f>SUM(M15:N15)</f>
        <v>1810000</v>
      </c>
      <c r="P15" s="69"/>
      <c r="Q15" s="195">
        <f>SUM(O15:P15)</f>
        <v>1810000</v>
      </c>
      <c r="R15" s="69"/>
      <c r="S15" s="195">
        <f>SUM(Q15:R15)</f>
        <v>1810000</v>
      </c>
      <c r="T15" s="69"/>
      <c r="U15" s="195">
        <f>SUM(S15:T15)</f>
        <v>1810000</v>
      </c>
      <c r="V15" s="69"/>
      <c r="W15" s="195">
        <f>SUM(U15:V15)</f>
        <v>1810000</v>
      </c>
      <c r="X15" s="69"/>
      <c r="Y15" s="195">
        <f>SUM(W15:X15)</f>
        <v>1810000</v>
      </c>
    </row>
    <row r="16" spans="1:25" s="26" customFormat="1" ht="45">
      <c r="A16" s="70"/>
      <c r="B16" s="48"/>
      <c r="C16" s="72" t="s">
        <v>234</v>
      </c>
      <c r="D16" s="74" t="s">
        <v>274</v>
      </c>
      <c r="E16" s="69">
        <v>30000</v>
      </c>
      <c r="F16" s="69"/>
      <c r="G16" s="195">
        <f t="shared" si="3"/>
        <v>30000</v>
      </c>
      <c r="H16" s="69"/>
      <c r="I16" s="195">
        <f>SUM(G16:H16)</f>
        <v>30000</v>
      </c>
      <c r="J16" s="69"/>
      <c r="K16" s="195">
        <f>SUM(I16:J16)</f>
        <v>30000</v>
      </c>
      <c r="L16" s="69"/>
      <c r="M16" s="195">
        <f>SUM(K16:L16)</f>
        <v>30000</v>
      </c>
      <c r="N16" s="69"/>
      <c r="O16" s="195">
        <f>SUM(M16:N16)</f>
        <v>30000</v>
      </c>
      <c r="P16" s="69"/>
      <c r="Q16" s="195">
        <f>SUM(O16:P16)</f>
        <v>30000</v>
      </c>
      <c r="R16" s="69"/>
      <c r="S16" s="195">
        <f>SUM(Q16:R16)</f>
        <v>30000</v>
      </c>
      <c r="T16" s="69"/>
      <c r="U16" s="195">
        <f>SUM(S16:T16)</f>
        <v>30000</v>
      </c>
      <c r="V16" s="69"/>
      <c r="W16" s="195">
        <f>SUM(U16:V16)</f>
        <v>30000</v>
      </c>
      <c r="X16" s="69"/>
      <c r="Y16" s="195">
        <f>SUM(W16:X16)</f>
        <v>30000</v>
      </c>
    </row>
    <row r="17" spans="1:25" s="26" customFormat="1" ht="24" customHeight="1">
      <c r="A17" s="70"/>
      <c r="B17" s="48"/>
      <c r="C17" s="72" t="s">
        <v>265</v>
      </c>
      <c r="D17" s="74" t="s">
        <v>266</v>
      </c>
      <c r="E17" s="69">
        <f>402400+486700+1308000+400000+164600+50000</f>
        <v>2811700</v>
      </c>
      <c r="F17" s="69">
        <v>200000</v>
      </c>
      <c r="G17" s="195">
        <f t="shared" si="3"/>
        <v>3011700</v>
      </c>
      <c r="H17" s="69"/>
      <c r="I17" s="195">
        <f>SUM(G17:H17)</f>
        <v>3011700</v>
      </c>
      <c r="J17" s="69"/>
      <c r="K17" s="195">
        <f>SUM(I17:J17)</f>
        <v>3011700</v>
      </c>
      <c r="L17" s="69"/>
      <c r="M17" s="195">
        <f>SUM(K17:L17)</f>
        <v>3011700</v>
      </c>
      <c r="N17" s="69"/>
      <c r="O17" s="195">
        <f>SUM(M17:N17)</f>
        <v>3011700</v>
      </c>
      <c r="P17" s="69"/>
      <c r="Q17" s="195">
        <f>SUM(O17:P17)</f>
        <v>3011700</v>
      </c>
      <c r="R17" s="69"/>
      <c r="S17" s="195">
        <f>SUM(Q17:R17)</f>
        <v>3011700</v>
      </c>
      <c r="T17" s="69"/>
      <c r="U17" s="195">
        <f>SUM(S17:T17)</f>
        <v>3011700</v>
      </c>
      <c r="V17" s="69"/>
      <c r="W17" s="195">
        <f>SUM(U17:V17)</f>
        <v>3011700</v>
      </c>
      <c r="X17" s="69"/>
      <c r="Y17" s="195">
        <f>SUM(W17:X17)</f>
        <v>3011700</v>
      </c>
    </row>
    <row r="18" spans="1:25" s="26" customFormat="1" ht="21.75" customHeight="1">
      <c r="A18" s="70"/>
      <c r="B18" s="48"/>
      <c r="C18" s="72" t="s">
        <v>167</v>
      </c>
      <c r="D18" s="74" t="s">
        <v>11</v>
      </c>
      <c r="E18" s="69">
        <v>10000</v>
      </c>
      <c r="F18" s="69"/>
      <c r="G18" s="195">
        <f t="shared" si="3"/>
        <v>10000</v>
      </c>
      <c r="H18" s="69"/>
      <c r="I18" s="195">
        <f>SUM(G18:H18)</f>
        <v>10000</v>
      </c>
      <c r="J18" s="69"/>
      <c r="K18" s="195">
        <f>SUM(I18:J18)</f>
        <v>10000</v>
      </c>
      <c r="L18" s="69"/>
      <c r="M18" s="195">
        <f>SUM(K18:L18)</f>
        <v>10000</v>
      </c>
      <c r="N18" s="69"/>
      <c r="O18" s="195">
        <f>SUM(M18:N18)</f>
        <v>10000</v>
      </c>
      <c r="P18" s="69"/>
      <c r="Q18" s="195">
        <f>SUM(O18:P18)</f>
        <v>10000</v>
      </c>
      <c r="R18" s="69"/>
      <c r="S18" s="195">
        <f>SUM(Q18:R18)</f>
        <v>10000</v>
      </c>
      <c r="T18" s="69"/>
      <c r="U18" s="195">
        <f>SUM(S18:T18)</f>
        <v>10000</v>
      </c>
      <c r="V18" s="69"/>
      <c r="W18" s="195">
        <f>SUM(U18:V18)</f>
        <v>10000</v>
      </c>
      <c r="X18" s="69"/>
      <c r="Y18" s="195">
        <f>SUM(W18:X18)</f>
        <v>10000</v>
      </c>
    </row>
    <row r="19" spans="1:25" s="145" customFormat="1" ht="21.75" customHeight="1">
      <c r="A19" s="227">
        <v>710</v>
      </c>
      <c r="B19" s="228"/>
      <c r="C19" s="246"/>
      <c r="D19" s="251" t="s">
        <v>83</v>
      </c>
      <c r="E19" s="247"/>
      <c r="F19" s="247"/>
      <c r="G19" s="248"/>
      <c r="H19" s="247"/>
      <c r="I19" s="248">
        <f aca="true" t="shared" si="8" ref="I19:X20">SUM(I20)</f>
        <v>0</v>
      </c>
      <c r="J19" s="248">
        <f t="shared" si="8"/>
        <v>24400</v>
      </c>
      <c r="K19" s="248">
        <f t="shared" si="8"/>
        <v>24400</v>
      </c>
      <c r="L19" s="248">
        <f t="shared" si="8"/>
        <v>0</v>
      </c>
      <c r="M19" s="248">
        <f t="shared" si="8"/>
        <v>24400</v>
      </c>
      <c r="N19" s="248">
        <f t="shared" si="8"/>
        <v>0</v>
      </c>
      <c r="O19" s="248">
        <f t="shared" si="8"/>
        <v>24400</v>
      </c>
      <c r="P19" s="248">
        <f t="shared" si="8"/>
        <v>0</v>
      </c>
      <c r="Q19" s="248">
        <f t="shared" si="8"/>
        <v>24400</v>
      </c>
      <c r="R19" s="248">
        <f t="shared" si="8"/>
        <v>0</v>
      </c>
      <c r="S19" s="248">
        <f t="shared" si="8"/>
        <v>24400</v>
      </c>
      <c r="T19" s="248">
        <f t="shared" si="8"/>
        <v>0</v>
      </c>
      <c r="U19" s="248">
        <f t="shared" si="8"/>
        <v>24400</v>
      </c>
      <c r="V19" s="248">
        <f t="shared" si="8"/>
        <v>0</v>
      </c>
      <c r="W19" s="248">
        <f t="shared" si="8"/>
        <v>24400</v>
      </c>
      <c r="X19" s="248">
        <f t="shared" si="8"/>
        <v>0</v>
      </c>
      <c r="Y19" s="248">
        <f>SUM(Y20)</f>
        <v>24400</v>
      </c>
    </row>
    <row r="20" spans="1:25" s="26" customFormat="1" ht="21.75" customHeight="1">
      <c r="A20" s="70"/>
      <c r="B20" s="48">
        <v>71004</v>
      </c>
      <c r="C20" s="72"/>
      <c r="D20" s="74" t="s">
        <v>85</v>
      </c>
      <c r="E20" s="69"/>
      <c r="F20" s="69"/>
      <c r="G20" s="195"/>
      <c r="H20" s="69"/>
      <c r="I20" s="195">
        <f t="shared" si="8"/>
        <v>0</v>
      </c>
      <c r="J20" s="195">
        <f t="shared" si="8"/>
        <v>24400</v>
      </c>
      <c r="K20" s="195">
        <f t="shared" si="8"/>
        <v>24400</v>
      </c>
      <c r="L20" s="195">
        <f t="shared" si="8"/>
        <v>0</v>
      </c>
      <c r="M20" s="195">
        <f t="shared" si="8"/>
        <v>24400</v>
      </c>
      <c r="N20" s="195">
        <f t="shared" si="8"/>
        <v>0</v>
      </c>
      <c r="O20" s="195">
        <f t="shared" si="8"/>
        <v>24400</v>
      </c>
      <c r="P20" s="195">
        <f t="shared" si="8"/>
        <v>0</v>
      </c>
      <c r="Q20" s="195">
        <f t="shared" si="8"/>
        <v>24400</v>
      </c>
      <c r="R20" s="195">
        <f t="shared" si="8"/>
        <v>0</v>
      </c>
      <c r="S20" s="195">
        <f t="shared" si="8"/>
        <v>24400</v>
      </c>
      <c r="T20" s="195">
        <f t="shared" si="8"/>
        <v>0</v>
      </c>
      <c r="U20" s="195">
        <f t="shared" si="8"/>
        <v>24400</v>
      </c>
      <c r="V20" s="195">
        <f t="shared" si="8"/>
        <v>0</v>
      </c>
      <c r="W20" s="195">
        <f t="shared" si="8"/>
        <v>24400</v>
      </c>
      <c r="X20" s="195">
        <f>SUM(X21)</f>
        <v>0</v>
      </c>
      <c r="Y20" s="195">
        <f>SUM(Y21)</f>
        <v>24400</v>
      </c>
    </row>
    <row r="21" spans="1:25" s="26" customFormat="1" ht="22.5">
      <c r="A21" s="70"/>
      <c r="B21" s="48"/>
      <c r="C21" s="72" t="s">
        <v>389</v>
      </c>
      <c r="D21" s="74" t="s">
        <v>390</v>
      </c>
      <c r="E21" s="69"/>
      <c r="F21" s="69"/>
      <c r="G21" s="195"/>
      <c r="H21" s="69"/>
      <c r="I21" s="195">
        <v>0</v>
      </c>
      <c r="J21" s="69">
        <v>24400</v>
      </c>
      <c r="K21" s="195">
        <f>SUM(I21:J21)</f>
        <v>24400</v>
      </c>
      <c r="L21" s="69"/>
      <c r="M21" s="195">
        <f>SUM(K21:L21)</f>
        <v>24400</v>
      </c>
      <c r="N21" s="69"/>
      <c r="O21" s="195">
        <f>SUM(M21:N21)</f>
        <v>24400</v>
      </c>
      <c r="P21" s="69"/>
      <c r="Q21" s="195">
        <f>SUM(O21:P21)</f>
        <v>24400</v>
      </c>
      <c r="R21" s="69"/>
      <c r="S21" s="195">
        <f>SUM(Q21:R21)</f>
        <v>24400</v>
      </c>
      <c r="T21" s="69"/>
      <c r="U21" s="195">
        <f>SUM(S21:T21)</f>
        <v>24400</v>
      </c>
      <c r="V21" s="69"/>
      <c r="W21" s="195">
        <f>SUM(U21:V21)</f>
        <v>24400</v>
      </c>
      <c r="X21" s="69"/>
      <c r="Y21" s="195">
        <f>SUM(W21:X21)</f>
        <v>24400</v>
      </c>
    </row>
    <row r="22" spans="1:25" s="8" customFormat="1" ht="24" customHeight="1">
      <c r="A22" s="31" t="s">
        <v>15</v>
      </c>
      <c r="B22" s="4"/>
      <c r="C22" s="5"/>
      <c r="D22" s="32" t="s">
        <v>16</v>
      </c>
      <c r="E22" s="56">
        <f aca="true" t="shared" si="9" ref="E22:K22">SUM(E23,E26)</f>
        <v>172350</v>
      </c>
      <c r="F22" s="56">
        <f t="shared" si="9"/>
        <v>0</v>
      </c>
      <c r="G22" s="56">
        <f t="shared" si="9"/>
        <v>172350</v>
      </c>
      <c r="H22" s="56">
        <f t="shared" si="9"/>
        <v>0</v>
      </c>
      <c r="I22" s="56">
        <f t="shared" si="9"/>
        <v>172350</v>
      </c>
      <c r="J22" s="56">
        <f t="shared" si="9"/>
        <v>0</v>
      </c>
      <c r="K22" s="56">
        <f t="shared" si="9"/>
        <v>172350</v>
      </c>
      <c r="L22" s="56">
        <f aca="true" t="shared" si="10" ref="L22:Q22">SUM(L23,L26)</f>
        <v>0</v>
      </c>
      <c r="M22" s="56">
        <f t="shared" si="10"/>
        <v>172350</v>
      </c>
      <c r="N22" s="56">
        <f t="shared" si="10"/>
        <v>0</v>
      </c>
      <c r="O22" s="56">
        <f t="shared" si="10"/>
        <v>172350</v>
      </c>
      <c r="P22" s="56">
        <f t="shared" si="10"/>
        <v>0</v>
      </c>
      <c r="Q22" s="56">
        <f t="shared" si="10"/>
        <v>172350</v>
      </c>
      <c r="R22" s="56">
        <f aca="true" t="shared" si="11" ref="R22:W22">SUM(R23,R26)</f>
        <v>0</v>
      </c>
      <c r="S22" s="56">
        <f t="shared" si="11"/>
        <v>172350</v>
      </c>
      <c r="T22" s="56">
        <f t="shared" si="11"/>
        <v>0</v>
      </c>
      <c r="U22" s="56">
        <f t="shared" si="11"/>
        <v>172350</v>
      </c>
      <c r="V22" s="56">
        <f t="shared" si="11"/>
        <v>0</v>
      </c>
      <c r="W22" s="56">
        <f t="shared" si="11"/>
        <v>172350</v>
      </c>
      <c r="X22" s="56">
        <f>SUM(X23,X26)</f>
        <v>0</v>
      </c>
      <c r="Y22" s="56">
        <f>SUM(Y23,Y26)</f>
        <v>172350</v>
      </c>
    </row>
    <row r="23" spans="1:25" s="26" customFormat="1" ht="24" customHeight="1">
      <c r="A23" s="70"/>
      <c r="B23" s="71">
        <v>75011</v>
      </c>
      <c r="C23" s="77"/>
      <c r="D23" s="74" t="s">
        <v>17</v>
      </c>
      <c r="E23" s="69">
        <f aca="true" t="shared" si="12" ref="E23:K23">SUM(E24:E25)</f>
        <v>160350</v>
      </c>
      <c r="F23" s="69">
        <f t="shared" si="12"/>
        <v>0</v>
      </c>
      <c r="G23" s="69">
        <f t="shared" si="12"/>
        <v>160350</v>
      </c>
      <c r="H23" s="69">
        <f t="shared" si="12"/>
        <v>0</v>
      </c>
      <c r="I23" s="69">
        <f t="shared" si="12"/>
        <v>160350</v>
      </c>
      <c r="J23" s="69">
        <f t="shared" si="12"/>
        <v>0</v>
      </c>
      <c r="K23" s="69">
        <f t="shared" si="12"/>
        <v>160350</v>
      </c>
      <c r="L23" s="69">
        <f aca="true" t="shared" si="13" ref="L23:Q23">SUM(L24:L25)</f>
        <v>0</v>
      </c>
      <c r="M23" s="69">
        <f t="shared" si="13"/>
        <v>160350</v>
      </c>
      <c r="N23" s="69">
        <f t="shared" si="13"/>
        <v>0</v>
      </c>
      <c r="O23" s="69">
        <f t="shared" si="13"/>
        <v>160350</v>
      </c>
      <c r="P23" s="69">
        <f t="shared" si="13"/>
        <v>0</v>
      </c>
      <c r="Q23" s="69">
        <f t="shared" si="13"/>
        <v>160350</v>
      </c>
      <c r="R23" s="69">
        <f aca="true" t="shared" si="14" ref="R23:W23">SUM(R24:R25)</f>
        <v>0</v>
      </c>
      <c r="S23" s="69">
        <f t="shared" si="14"/>
        <v>160350</v>
      </c>
      <c r="T23" s="69">
        <f t="shared" si="14"/>
        <v>0</v>
      </c>
      <c r="U23" s="69">
        <f t="shared" si="14"/>
        <v>160350</v>
      </c>
      <c r="V23" s="69">
        <f t="shared" si="14"/>
        <v>0</v>
      </c>
      <c r="W23" s="69">
        <f t="shared" si="14"/>
        <v>160350</v>
      </c>
      <c r="X23" s="69">
        <f>SUM(X24:X25)</f>
        <v>0</v>
      </c>
      <c r="Y23" s="69">
        <f>SUM(Y24:Y25)</f>
        <v>160350</v>
      </c>
    </row>
    <row r="24" spans="1:25" s="26" customFormat="1" ht="56.25">
      <c r="A24" s="70"/>
      <c r="B24" s="48"/>
      <c r="C24" s="72">
        <v>2010</v>
      </c>
      <c r="D24" s="74" t="s">
        <v>220</v>
      </c>
      <c r="E24" s="82">
        <v>156600</v>
      </c>
      <c r="F24" s="82"/>
      <c r="G24" s="195">
        <f t="shared" si="3"/>
        <v>156600</v>
      </c>
      <c r="H24" s="82"/>
      <c r="I24" s="195">
        <f>SUM(G24:H24)</f>
        <v>156600</v>
      </c>
      <c r="J24" s="82"/>
      <c r="K24" s="195">
        <f>SUM(I24:J24)</f>
        <v>156600</v>
      </c>
      <c r="L24" s="82"/>
      <c r="M24" s="195">
        <f>SUM(K24:L24)</f>
        <v>156600</v>
      </c>
      <c r="N24" s="82"/>
      <c r="O24" s="195">
        <f>SUM(M24:N24)</f>
        <v>156600</v>
      </c>
      <c r="P24" s="82"/>
      <c r="Q24" s="195">
        <f>SUM(O24:P24)</f>
        <v>156600</v>
      </c>
      <c r="R24" s="82"/>
      <c r="S24" s="195">
        <f>SUM(Q24:R24)</f>
        <v>156600</v>
      </c>
      <c r="T24" s="82"/>
      <c r="U24" s="195">
        <f>SUM(S24:T24)</f>
        <v>156600</v>
      </c>
      <c r="V24" s="82"/>
      <c r="W24" s="195">
        <f>SUM(U24:V24)</f>
        <v>156600</v>
      </c>
      <c r="X24" s="82"/>
      <c r="Y24" s="195">
        <f>SUM(W24:X24)</f>
        <v>156600</v>
      </c>
    </row>
    <row r="25" spans="1:25" s="26" customFormat="1" ht="45">
      <c r="A25" s="70"/>
      <c r="B25" s="48"/>
      <c r="C25" s="72">
        <v>2360</v>
      </c>
      <c r="D25" s="74" t="s">
        <v>191</v>
      </c>
      <c r="E25" s="69">
        <v>3750</v>
      </c>
      <c r="F25" s="69"/>
      <c r="G25" s="195">
        <f t="shared" si="3"/>
        <v>3750</v>
      </c>
      <c r="H25" s="69"/>
      <c r="I25" s="195">
        <f>SUM(G25:H25)</f>
        <v>3750</v>
      </c>
      <c r="J25" s="69"/>
      <c r="K25" s="195">
        <f>SUM(I25:J25)</f>
        <v>3750</v>
      </c>
      <c r="L25" s="69"/>
      <c r="M25" s="195">
        <f>SUM(K25:L25)</f>
        <v>3750</v>
      </c>
      <c r="N25" s="69"/>
      <c r="O25" s="195">
        <f>SUM(M25:N25)</f>
        <v>3750</v>
      </c>
      <c r="P25" s="69"/>
      <c r="Q25" s="195">
        <f>SUM(O25:P25)</f>
        <v>3750</v>
      </c>
      <c r="R25" s="69"/>
      <c r="S25" s="195">
        <f>SUM(Q25:R25)</f>
        <v>3750</v>
      </c>
      <c r="T25" s="69"/>
      <c r="U25" s="195">
        <f>SUM(S25:T25)</f>
        <v>3750</v>
      </c>
      <c r="V25" s="69"/>
      <c r="W25" s="195">
        <f>SUM(U25:V25)</f>
        <v>3750</v>
      </c>
      <c r="X25" s="69"/>
      <c r="Y25" s="195">
        <f>SUM(W25:X25)</f>
        <v>3750</v>
      </c>
    </row>
    <row r="26" spans="1:25" s="26" customFormat="1" ht="24" customHeight="1">
      <c r="A26" s="70"/>
      <c r="B26" s="48">
        <v>75023</v>
      </c>
      <c r="C26" s="72"/>
      <c r="D26" s="41" t="s">
        <v>19</v>
      </c>
      <c r="E26" s="69">
        <f aca="true" t="shared" si="15" ref="E26:Y26">SUM(E27)</f>
        <v>12000</v>
      </c>
      <c r="F26" s="69">
        <f t="shared" si="15"/>
        <v>0</v>
      </c>
      <c r="G26" s="69">
        <f t="shared" si="15"/>
        <v>12000</v>
      </c>
      <c r="H26" s="69">
        <f t="shared" si="15"/>
        <v>0</v>
      </c>
      <c r="I26" s="69">
        <f t="shared" si="15"/>
        <v>12000</v>
      </c>
      <c r="J26" s="69">
        <f t="shared" si="15"/>
        <v>0</v>
      </c>
      <c r="K26" s="69">
        <f t="shared" si="15"/>
        <v>12000</v>
      </c>
      <c r="L26" s="69">
        <f t="shared" si="15"/>
        <v>0</v>
      </c>
      <c r="M26" s="69">
        <f t="shared" si="15"/>
        <v>12000</v>
      </c>
      <c r="N26" s="69">
        <f t="shared" si="15"/>
        <v>0</v>
      </c>
      <c r="O26" s="69">
        <f t="shared" si="15"/>
        <v>12000</v>
      </c>
      <c r="P26" s="69">
        <f t="shared" si="15"/>
        <v>0</v>
      </c>
      <c r="Q26" s="69">
        <f t="shared" si="15"/>
        <v>12000</v>
      </c>
      <c r="R26" s="69">
        <f t="shared" si="15"/>
        <v>0</v>
      </c>
      <c r="S26" s="69">
        <f t="shared" si="15"/>
        <v>12000</v>
      </c>
      <c r="T26" s="69">
        <f t="shared" si="15"/>
        <v>0</v>
      </c>
      <c r="U26" s="69">
        <f t="shared" si="15"/>
        <v>12000</v>
      </c>
      <c r="V26" s="69">
        <f t="shared" si="15"/>
        <v>0</v>
      </c>
      <c r="W26" s="69">
        <f t="shared" si="15"/>
        <v>12000</v>
      </c>
      <c r="X26" s="69">
        <f t="shared" si="15"/>
        <v>0</v>
      </c>
      <c r="Y26" s="69">
        <f t="shared" si="15"/>
        <v>12000</v>
      </c>
    </row>
    <row r="27" spans="1:25" s="26" customFormat="1" ht="21.75" customHeight="1">
      <c r="A27" s="70"/>
      <c r="B27" s="48"/>
      <c r="C27" s="72" t="s">
        <v>168</v>
      </c>
      <c r="D27" s="74" t="s">
        <v>12</v>
      </c>
      <c r="E27" s="69">
        <f>8250+3750</f>
        <v>12000</v>
      </c>
      <c r="F27" s="69"/>
      <c r="G27" s="195">
        <f t="shared" si="3"/>
        <v>12000</v>
      </c>
      <c r="H27" s="69"/>
      <c r="I27" s="195">
        <f>SUM(G27:H27)</f>
        <v>12000</v>
      </c>
      <c r="J27" s="69"/>
      <c r="K27" s="195">
        <f>SUM(I27:J27)</f>
        <v>12000</v>
      </c>
      <c r="L27" s="69"/>
      <c r="M27" s="195">
        <f>SUM(K27:L27)</f>
        <v>12000</v>
      </c>
      <c r="N27" s="69"/>
      <c r="O27" s="195">
        <f>SUM(M27:N27)</f>
        <v>12000</v>
      </c>
      <c r="P27" s="69"/>
      <c r="Q27" s="195">
        <f>SUM(O27:P27)</f>
        <v>12000</v>
      </c>
      <c r="R27" s="69"/>
      <c r="S27" s="195">
        <f>SUM(Q27:R27)</f>
        <v>12000</v>
      </c>
      <c r="T27" s="69"/>
      <c r="U27" s="195">
        <f>SUM(S27:T27)</f>
        <v>12000</v>
      </c>
      <c r="V27" s="69"/>
      <c r="W27" s="195">
        <f>SUM(U27:V27)</f>
        <v>12000</v>
      </c>
      <c r="X27" s="69"/>
      <c r="Y27" s="195">
        <f>SUM(W27:X27)</f>
        <v>12000</v>
      </c>
    </row>
    <row r="28" spans="1:25" s="8" customFormat="1" ht="36">
      <c r="A28" s="31">
        <v>751</v>
      </c>
      <c r="B28" s="6"/>
      <c r="C28" s="22"/>
      <c r="D28" s="32" t="s">
        <v>20</v>
      </c>
      <c r="E28" s="56">
        <f aca="true" t="shared" si="16" ref="E28:X29">SUM(E29)</f>
        <v>3910</v>
      </c>
      <c r="F28" s="56">
        <f t="shared" si="16"/>
        <v>0</v>
      </c>
      <c r="G28" s="56">
        <f t="shared" si="16"/>
        <v>3910</v>
      </c>
      <c r="H28" s="56">
        <f t="shared" si="16"/>
        <v>0</v>
      </c>
      <c r="I28" s="56">
        <f t="shared" si="16"/>
        <v>3910</v>
      </c>
      <c r="J28" s="56">
        <f t="shared" si="16"/>
        <v>0</v>
      </c>
      <c r="K28" s="56">
        <f aca="true" t="shared" si="17" ref="K28:Q28">SUM(K29,K31)</f>
        <v>3910</v>
      </c>
      <c r="L28" s="56">
        <f t="shared" si="17"/>
        <v>19932</v>
      </c>
      <c r="M28" s="56">
        <f t="shared" si="17"/>
        <v>23842</v>
      </c>
      <c r="N28" s="56">
        <f t="shared" si="17"/>
        <v>0</v>
      </c>
      <c r="O28" s="56">
        <f t="shared" si="17"/>
        <v>23842</v>
      </c>
      <c r="P28" s="56">
        <f t="shared" si="17"/>
        <v>1000</v>
      </c>
      <c r="Q28" s="56">
        <f t="shared" si="17"/>
        <v>24842</v>
      </c>
      <c r="R28" s="56">
        <f aca="true" t="shared" si="18" ref="R28:W28">SUM(R29,R31)</f>
        <v>0</v>
      </c>
      <c r="S28" s="56">
        <f t="shared" si="18"/>
        <v>24842</v>
      </c>
      <c r="T28" s="56">
        <f t="shared" si="18"/>
        <v>21240</v>
      </c>
      <c r="U28" s="56">
        <f t="shared" si="18"/>
        <v>46082</v>
      </c>
      <c r="V28" s="56">
        <f t="shared" si="18"/>
        <v>0</v>
      </c>
      <c r="W28" s="56">
        <f t="shared" si="18"/>
        <v>46082</v>
      </c>
      <c r="X28" s="56">
        <f>SUM(X29,X31)</f>
        <v>0</v>
      </c>
      <c r="Y28" s="56">
        <f>SUM(Y29,Y31)</f>
        <v>46082</v>
      </c>
    </row>
    <row r="29" spans="1:25" s="26" customFormat="1" ht="22.5">
      <c r="A29" s="75"/>
      <c r="B29" s="71">
        <v>75101</v>
      </c>
      <c r="C29" s="77"/>
      <c r="D29" s="74" t="s">
        <v>21</v>
      </c>
      <c r="E29" s="69">
        <f t="shared" si="16"/>
        <v>3910</v>
      </c>
      <c r="F29" s="69">
        <f t="shared" si="16"/>
        <v>0</v>
      </c>
      <c r="G29" s="69">
        <f t="shared" si="16"/>
        <v>3910</v>
      </c>
      <c r="H29" s="69">
        <f t="shared" si="16"/>
        <v>0</v>
      </c>
      <c r="I29" s="69">
        <f t="shared" si="16"/>
        <v>3910</v>
      </c>
      <c r="J29" s="69">
        <f t="shared" si="16"/>
        <v>0</v>
      </c>
      <c r="K29" s="69">
        <f t="shared" si="16"/>
        <v>3910</v>
      </c>
      <c r="L29" s="69">
        <f t="shared" si="16"/>
        <v>0</v>
      </c>
      <c r="M29" s="69">
        <f t="shared" si="16"/>
        <v>3910</v>
      </c>
      <c r="N29" s="69">
        <f t="shared" si="16"/>
        <v>0</v>
      </c>
      <c r="O29" s="69">
        <f t="shared" si="16"/>
        <v>3910</v>
      </c>
      <c r="P29" s="69">
        <f t="shared" si="16"/>
        <v>0</v>
      </c>
      <c r="Q29" s="69">
        <f t="shared" si="16"/>
        <v>3910</v>
      </c>
      <c r="R29" s="69">
        <f t="shared" si="16"/>
        <v>0</v>
      </c>
      <c r="S29" s="69">
        <f t="shared" si="16"/>
        <v>3910</v>
      </c>
      <c r="T29" s="69">
        <f t="shared" si="16"/>
        <v>0</v>
      </c>
      <c r="U29" s="69">
        <f>SUM(U30)</f>
        <v>3910</v>
      </c>
      <c r="V29" s="69">
        <f t="shared" si="16"/>
        <v>0</v>
      </c>
      <c r="W29" s="69">
        <f>SUM(W30)</f>
        <v>3910</v>
      </c>
      <c r="X29" s="69">
        <f t="shared" si="16"/>
        <v>0</v>
      </c>
      <c r="Y29" s="69">
        <f>SUM(Y30)</f>
        <v>3910</v>
      </c>
    </row>
    <row r="30" spans="1:25" s="26" customFormat="1" ht="56.25">
      <c r="A30" s="75"/>
      <c r="B30" s="71"/>
      <c r="C30" s="77">
        <v>2010</v>
      </c>
      <c r="D30" s="74" t="s">
        <v>220</v>
      </c>
      <c r="E30" s="69">
        <v>3910</v>
      </c>
      <c r="F30" s="69"/>
      <c r="G30" s="195">
        <f t="shared" si="3"/>
        <v>3910</v>
      </c>
      <c r="H30" s="69"/>
      <c r="I30" s="195">
        <f>SUM(G30:H30)</f>
        <v>3910</v>
      </c>
      <c r="J30" s="69"/>
      <c r="K30" s="195">
        <f>SUM(I30:J30)</f>
        <v>3910</v>
      </c>
      <c r="L30" s="69"/>
      <c r="M30" s="195">
        <f>SUM(K30:L30)</f>
        <v>3910</v>
      </c>
      <c r="N30" s="69"/>
      <c r="O30" s="195">
        <f>SUM(M30:N30)</f>
        <v>3910</v>
      </c>
      <c r="P30" s="69"/>
      <c r="Q30" s="195">
        <f>SUM(O30:P30)</f>
        <v>3910</v>
      </c>
      <c r="R30" s="69"/>
      <c r="S30" s="195">
        <f>SUM(Q30:R30)</f>
        <v>3910</v>
      </c>
      <c r="T30" s="69"/>
      <c r="U30" s="195">
        <f>SUM(S30:T30)</f>
        <v>3910</v>
      </c>
      <c r="V30" s="69"/>
      <c r="W30" s="195">
        <f>SUM(U30:V30)</f>
        <v>3910</v>
      </c>
      <c r="X30" s="69"/>
      <c r="Y30" s="195">
        <f>SUM(W30:X30)</f>
        <v>3910</v>
      </c>
    </row>
    <row r="31" spans="1:25" s="26" customFormat="1" ht="24" customHeight="1">
      <c r="A31" s="75"/>
      <c r="B31" s="71">
        <v>75113</v>
      </c>
      <c r="C31" s="77"/>
      <c r="D31" s="74" t="s">
        <v>413</v>
      </c>
      <c r="E31" s="69"/>
      <c r="F31" s="69"/>
      <c r="G31" s="195"/>
      <c r="H31" s="69"/>
      <c r="I31" s="195"/>
      <c r="J31" s="69"/>
      <c r="K31" s="195">
        <f aca="true" t="shared" si="19" ref="K31:Y31">SUM(K32)</f>
        <v>0</v>
      </c>
      <c r="L31" s="195">
        <f t="shared" si="19"/>
        <v>19932</v>
      </c>
      <c r="M31" s="195">
        <f t="shared" si="19"/>
        <v>19932</v>
      </c>
      <c r="N31" s="195">
        <f t="shared" si="19"/>
        <v>0</v>
      </c>
      <c r="O31" s="195">
        <f t="shared" si="19"/>
        <v>19932</v>
      </c>
      <c r="P31" s="195">
        <f t="shared" si="19"/>
        <v>1000</v>
      </c>
      <c r="Q31" s="195">
        <f t="shared" si="19"/>
        <v>20932</v>
      </c>
      <c r="R31" s="195">
        <f t="shared" si="19"/>
        <v>0</v>
      </c>
      <c r="S31" s="195">
        <f t="shared" si="19"/>
        <v>20932</v>
      </c>
      <c r="T31" s="195">
        <f t="shared" si="19"/>
        <v>21240</v>
      </c>
      <c r="U31" s="195">
        <f t="shared" si="19"/>
        <v>42172</v>
      </c>
      <c r="V31" s="195">
        <f t="shared" si="19"/>
        <v>0</v>
      </c>
      <c r="W31" s="195">
        <f t="shared" si="19"/>
        <v>42172</v>
      </c>
      <c r="X31" s="195">
        <f t="shared" si="19"/>
        <v>0</v>
      </c>
      <c r="Y31" s="195">
        <f t="shared" si="19"/>
        <v>42172</v>
      </c>
    </row>
    <row r="32" spans="1:25" s="26" customFormat="1" ht="56.25">
      <c r="A32" s="75"/>
      <c r="B32" s="71"/>
      <c r="C32" s="77">
        <v>2010</v>
      </c>
      <c r="D32" s="74" t="s">
        <v>220</v>
      </c>
      <c r="E32" s="69"/>
      <c r="F32" s="69"/>
      <c r="G32" s="195"/>
      <c r="H32" s="69"/>
      <c r="I32" s="195"/>
      <c r="J32" s="69"/>
      <c r="K32" s="195">
        <v>0</v>
      </c>
      <c r="L32" s="69">
        <v>19932</v>
      </c>
      <c r="M32" s="195">
        <f>SUM(K32:L32)</f>
        <v>19932</v>
      </c>
      <c r="N32" s="69"/>
      <c r="O32" s="195">
        <f>SUM(M32:N32)</f>
        <v>19932</v>
      </c>
      <c r="P32" s="69">
        <v>1000</v>
      </c>
      <c r="Q32" s="195">
        <f>SUM(O32:P32)</f>
        <v>20932</v>
      </c>
      <c r="R32" s="69"/>
      <c r="S32" s="195">
        <f>SUM(Q32:R32)</f>
        <v>20932</v>
      </c>
      <c r="T32" s="69">
        <v>21240</v>
      </c>
      <c r="U32" s="195">
        <f>SUM(S32:T32)</f>
        <v>42172</v>
      </c>
      <c r="V32" s="69"/>
      <c r="W32" s="195">
        <f>SUM(U32:V32)</f>
        <v>42172</v>
      </c>
      <c r="X32" s="69"/>
      <c r="Y32" s="195">
        <f>SUM(W32:X32)</f>
        <v>42172</v>
      </c>
    </row>
    <row r="33" spans="1:25" s="8" customFormat="1" ht="30" customHeight="1">
      <c r="A33" s="31" t="s">
        <v>22</v>
      </c>
      <c r="B33" s="4"/>
      <c r="C33" s="5"/>
      <c r="D33" s="32" t="s">
        <v>23</v>
      </c>
      <c r="E33" s="56">
        <f aca="true" t="shared" si="20" ref="E33:Y33">SUM(E34)</f>
        <v>5500</v>
      </c>
      <c r="F33" s="56">
        <f t="shared" si="20"/>
        <v>0</v>
      </c>
      <c r="G33" s="56">
        <f t="shared" si="20"/>
        <v>5500</v>
      </c>
      <c r="H33" s="56">
        <f t="shared" si="20"/>
        <v>0</v>
      </c>
      <c r="I33" s="56">
        <f t="shared" si="20"/>
        <v>5500</v>
      </c>
      <c r="J33" s="56">
        <f t="shared" si="20"/>
        <v>0</v>
      </c>
      <c r="K33" s="56">
        <f t="shared" si="20"/>
        <v>5500</v>
      </c>
      <c r="L33" s="56">
        <f t="shared" si="20"/>
        <v>0</v>
      </c>
      <c r="M33" s="56">
        <f t="shared" si="20"/>
        <v>5500</v>
      </c>
      <c r="N33" s="56">
        <f t="shared" si="20"/>
        <v>0</v>
      </c>
      <c r="O33" s="56">
        <f t="shared" si="20"/>
        <v>5500</v>
      </c>
      <c r="P33" s="56">
        <f t="shared" si="20"/>
        <v>0</v>
      </c>
      <c r="Q33" s="56">
        <f t="shared" si="20"/>
        <v>5500</v>
      </c>
      <c r="R33" s="56">
        <f t="shared" si="20"/>
        <v>0</v>
      </c>
      <c r="S33" s="56">
        <f t="shared" si="20"/>
        <v>5500</v>
      </c>
      <c r="T33" s="56">
        <f t="shared" si="20"/>
        <v>0</v>
      </c>
      <c r="U33" s="56">
        <f t="shared" si="20"/>
        <v>5500</v>
      </c>
      <c r="V33" s="56">
        <f t="shared" si="20"/>
        <v>0</v>
      </c>
      <c r="W33" s="56">
        <f t="shared" si="20"/>
        <v>5500</v>
      </c>
      <c r="X33" s="56">
        <f t="shared" si="20"/>
        <v>0</v>
      </c>
      <c r="Y33" s="56">
        <f t="shared" si="20"/>
        <v>5500</v>
      </c>
    </row>
    <row r="34" spans="1:25" s="26" customFormat="1" ht="24" customHeight="1">
      <c r="A34" s="75"/>
      <c r="B34" s="71" t="s">
        <v>24</v>
      </c>
      <c r="C34" s="77"/>
      <c r="D34" s="74" t="s">
        <v>25</v>
      </c>
      <c r="E34" s="69">
        <f aca="true" t="shared" si="21" ref="E34:K34">SUM(E35:E36)</f>
        <v>5500</v>
      </c>
      <c r="F34" s="69">
        <f t="shared" si="21"/>
        <v>0</v>
      </c>
      <c r="G34" s="69">
        <f t="shared" si="21"/>
        <v>5500</v>
      </c>
      <c r="H34" s="69">
        <f t="shared" si="21"/>
        <v>0</v>
      </c>
      <c r="I34" s="69">
        <f t="shared" si="21"/>
        <v>5500</v>
      </c>
      <c r="J34" s="69">
        <f t="shared" si="21"/>
        <v>0</v>
      </c>
      <c r="K34" s="69">
        <f t="shared" si="21"/>
        <v>5500</v>
      </c>
      <c r="L34" s="69">
        <f aca="true" t="shared" si="22" ref="L34:Q34">SUM(L35:L36)</f>
        <v>0</v>
      </c>
      <c r="M34" s="69">
        <f t="shared" si="22"/>
        <v>5500</v>
      </c>
      <c r="N34" s="69">
        <f t="shared" si="22"/>
        <v>0</v>
      </c>
      <c r="O34" s="69">
        <f t="shared" si="22"/>
        <v>5500</v>
      </c>
      <c r="P34" s="69">
        <f t="shared" si="22"/>
        <v>0</v>
      </c>
      <c r="Q34" s="69">
        <f t="shared" si="22"/>
        <v>5500</v>
      </c>
      <c r="R34" s="69">
        <f aca="true" t="shared" si="23" ref="R34:W34">SUM(R35:R36)</f>
        <v>0</v>
      </c>
      <c r="S34" s="69">
        <f t="shared" si="23"/>
        <v>5500</v>
      </c>
      <c r="T34" s="69">
        <f t="shared" si="23"/>
        <v>0</v>
      </c>
      <c r="U34" s="69">
        <f t="shared" si="23"/>
        <v>5500</v>
      </c>
      <c r="V34" s="69">
        <f t="shared" si="23"/>
        <v>0</v>
      </c>
      <c r="W34" s="69">
        <f t="shared" si="23"/>
        <v>5500</v>
      </c>
      <c r="X34" s="69">
        <f>SUM(X35:X36)</f>
        <v>0</v>
      </c>
      <c r="Y34" s="69">
        <f>SUM(Y35:Y36)</f>
        <v>5500</v>
      </c>
    </row>
    <row r="35" spans="1:25" s="26" customFormat="1" ht="21.75" customHeight="1">
      <c r="A35" s="75"/>
      <c r="B35" s="48"/>
      <c r="C35" s="72" t="s">
        <v>169</v>
      </c>
      <c r="D35" s="74" t="s">
        <v>26</v>
      </c>
      <c r="E35" s="69">
        <v>5000</v>
      </c>
      <c r="F35" s="69"/>
      <c r="G35" s="195">
        <f t="shared" si="3"/>
        <v>5000</v>
      </c>
      <c r="H35" s="69"/>
      <c r="I35" s="195">
        <f>SUM(G35:H35)</f>
        <v>5000</v>
      </c>
      <c r="J35" s="69"/>
      <c r="K35" s="195">
        <f>SUM(I35:J35)</f>
        <v>5000</v>
      </c>
      <c r="L35" s="69"/>
      <c r="M35" s="195">
        <f>SUM(K35:L35)</f>
        <v>5000</v>
      </c>
      <c r="N35" s="69"/>
      <c r="O35" s="195">
        <f>SUM(M35:N35)</f>
        <v>5000</v>
      </c>
      <c r="P35" s="69"/>
      <c r="Q35" s="195">
        <f>SUM(O35:P35)</f>
        <v>5000</v>
      </c>
      <c r="R35" s="69"/>
      <c r="S35" s="195">
        <f>SUM(Q35:R35)</f>
        <v>5000</v>
      </c>
      <c r="T35" s="69"/>
      <c r="U35" s="195">
        <f>SUM(S35:T35)</f>
        <v>5000</v>
      </c>
      <c r="V35" s="69"/>
      <c r="W35" s="195">
        <f>SUM(U35:V35)</f>
        <v>5000</v>
      </c>
      <c r="X35" s="69"/>
      <c r="Y35" s="195">
        <f>SUM(W35:X35)</f>
        <v>5000</v>
      </c>
    </row>
    <row r="36" spans="1:25" s="26" customFormat="1" ht="21.75" customHeight="1">
      <c r="A36" s="75"/>
      <c r="B36" s="48"/>
      <c r="C36" s="72" t="s">
        <v>167</v>
      </c>
      <c r="D36" s="74" t="s">
        <v>11</v>
      </c>
      <c r="E36" s="69">
        <v>500</v>
      </c>
      <c r="F36" s="69"/>
      <c r="G36" s="195">
        <f t="shared" si="3"/>
        <v>500</v>
      </c>
      <c r="H36" s="69"/>
      <c r="I36" s="195">
        <f>SUM(G36:H36)</f>
        <v>500</v>
      </c>
      <c r="J36" s="69"/>
      <c r="K36" s="195">
        <f>SUM(I36:J36)</f>
        <v>500</v>
      </c>
      <c r="L36" s="69"/>
      <c r="M36" s="195">
        <f>SUM(K36:L36)</f>
        <v>500</v>
      </c>
      <c r="N36" s="69"/>
      <c r="O36" s="195">
        <f>SUM(M36:N36)</f>
        <v>500</v>
      </c>
      <c r="P36" s="69"/>
      <c r="Q36" s="195">
        <f>SUM(O36:P36)</f>
        <v>500</v>
      </c>
      <c r="R36" s="69"/>
      <c r="S36" s="195">
        <f>SUM(Q36:R36)</f>
        <v>500</v>
      </c>
      <c r="T36" s="69"/>
      <c r="U36" s="195">
        <f>SUM(S36:T36)</f>
        <v>500</v>
      </c>
      <c r="V36" s="69"/>
      <c r="W36" s="195">
        <f>SUM(U36:V36)</f>
        <v>500</v>
      </c>
      <c r="X36" s="69"/>
      <c r="Y36" s="195">
        <f>SUM(W36:X36)</f>
        <v>500</v>
      </c>
    </row>
    <row r="37" spans="1:25" s="8" customFormat="1" ht="60">
      <c r="A37" s="31" t="s">
        <v>27</v>
      </c>
      <c r="B37" s="4"/>
      <c r="C37" s="5"/>
      <c r="D37" s="32" t="s">
        <v>158</v>
      </c>
      <c r="E37" s="56">
        <f aca="true" t="shared" si="24" ref="E37:K37">SUM(E38,E41,E48,E57,E62,)</f>
        <v>23034971</v>
      </c>
      <c r="F37" s="56">
        <f t="shared" si="24"/>
        <v>0</v>
      </c>
      <c r="G37" s="56">
        <f t="shared" si="24"/>
        <v>23034971</v>
      </c>
      <c r="H37" s="56">
        <f t="shared" si="24"/>
        <v>0</v>
      </c>
      <c r="I37" s="56">
        <f t="shared" si="24"/>
        <v>23034971</v>
      </c>
      <c r="J37" s="56">
        <f t="shared" si="24"/>
        <v>-329</v>
      </c>
      <c r="K37" s="56">
        <f t="shared" si="24"/>
        <v>23034642</v>
      </c>
      <c r="L37" s="56">
        <f aca="true" t="shared" si="25" ref="L37:Q37">SUM(L38,L41,L48,L57,L62,)</f>
        <v>14000</v>
      </c>
      <c r="M37" s="56">
        <f t="shared" si="25"/>
        <v>23048642</v>
      </c>
      <c r="N37" s="56">
        <f t="shared" si="25"/>
        <v>0</v>
      </c>
      <c r="O37" s="56">
        <f t="shared" si="25"/>
        <v>23048642</v>
      </c>
      <c r="P37" s="56">
        <f t="shared" si="25"/>
        <v>0</v>
      </c>
      <c r="Q37" s="56">
        <f t="shared" si="25"/>
        <v>23048642</v>
      </c>
      <c r="R37" s="56">
        <f aca="true" t="shared" si="26" ref="R37:W37">SUM(R38,R41,R48,R57,R62,)</f>
        <v>0</v>
      </c>
      <c r="S37" s="56">
        <f t="shared" si="26"/>
        <v>23048642</v>
      </c>
      <c r="T37" s="56">
        <f t="shared" si="26"/>
        <v>0</v>
      </c>
      <c r="U37" s="56">
        <f t="shared" si="26"/>
        <v>23048642</v>
      </c>
      <c r="V37" s="56">
        <f t="shared" si="26"/>
        <v>0</v>
      </c>
      <c r="W37" s="56">
        <f t="shared" si="26"/>
        <v>23048642</v>
      </c>
      <c r="X37" s="56">
        <f>SUM(X38,X41,X48,X57,X62,)</f>
        <v>0</v>
      </c>
      <c r="Y37" s="56">
        <f>SUM(Y38,Y41,Y48,Y57,Y62,)</f>
        <v>23048642</v>
      </c>
    </row>
    <row r="38" spans="1:25" s="26" customFormat="1" ht="24" customHeight="1">
      <c r="A38" s="70"/>
      <c r="B38" s="48">
        <v>75601</v>
      </c>
      <c r="C38" s="77"/>
      <c r="D38" s="74" t="s">
        <v>29</v>
      </c>
      <c r="E38" s="69">
        <f aca="true" t="shared" si="27" ref="E38:K38">SUM(E39:E40)</f>
        <v>52500</v>
      </c>
      <c r="F38" s="69">
        <f t="shared" si="27"/>
        <v>0</v>
      </c>
      <c r="G38" s="69">
        <f t="shared" si="27"/>
        <v>52500</v>
      </c>
      <c r="H38" s="69">
        <f t="shared" si="27"/>
        <v>0</v>
      </c>
      <c r="I38" s="69">
        <f t="shared" si="27"/>
        <v>52500</v>
      </c>
      <c r="J38" s="69">
        <f t="shared" si="27"/>
        <v>0</v>
      </c>
      <c r="K38" s="69">
        <f t="shared" si="27"/>
        <v>52500</v>
      </c>
      <c r="L38" s="69">
        <f aca="true" t="shared" si="28" ref="L38:Q38">SUM(L39:L40)</f>
        <v>0</v>
      </c>
      <c r="M38" s="69">
        <f t="shared" si="28"/>
        <v>52500</v>
      </c>
      <c r="N38" s="69">
        <f t="shared" si="28"/>
        <v>0</v>
      </c>
      <c r="O38" s="69">
        <f t="shared" si="28"/>
        <v>52500</v>
      </c>
      <c r="P38" s="69">
        <f t="shared" si="28"/>
        <v>0</v>
      </c>
      <c r="Q38" s="69">
        <f t="shared" si="28"/>
        <v>52500</v>
      </c>
      <c r="R38" s="69">
        <f aca="true" t="shared" si="29" ref="R38:W38">SUM(R39:R40)</f>
        <v>0</v>
      </c>
      <c r="S38" s="69">
        <f t="shared" si="29"/>
        <v>52500</v>
      </c>
      <c r="T38" s="69">
        <f t="shared" si="29"/>
        <v>0</v>
      </c>
      <c r="U38" s="69">
        <f t="shared" si="29"/>
        <v>52500</v>
      </c>
      <c r="V38" s="69">
        <f t="shared" si="29"/>
        <v>0</v>
      </c>
      <c r="W38" s="69">
        <f t="shared" si="29"/>
        <v>52500</v>
      </c>
      <c r="X38" s="69">
        <f>SUM(X39:X40)</f>
        <v>0</v>
      </c>
      <c r="Y38" s="69">
        <f>SUM(Y39:Y40)</f>
        <v>52500</v>
      </c>
    </row>
    <row r="39" spans="1:25" s="26" customFormat="1" ht="24" customHeight="1">
      <c r="A39" s="70"/>
      <c r="B39" s="48"/>
      <c r="C39" s="76" t="s">
        <v>170</v>
      </c>
      <c r="D39" s="74" t="s">
        <v>30</v>
      </c>
      <c r="E39" s="69">
        <v>50000</v>
      </c>
      <c r="F39" s="69"/>
      <c r="G39" s="195">
        <f t="shared" si="3"/>
        <v>50000</v>
      </c>
      <c r="H39" s="69"/>
      <c r="I39" s="195">
        <f>SUM(G39:H39)</f>
        <v>50000</v>
      </c>
      <c r="J39" s="69"/>
      <c r="K39" s="195">
        <f>SUM(I39:J39)</f>
        <v>50000</v>
      </c>
      <c r="L39" s="69"/>
      <c r="M39" s="195">
        <f>SUM(K39:L39)</f>
        <v>50000</v>
      </c>
      <c r="N39" s="69"/>
      <c r="O39" s="195">
        <f>SUM(M39:N39)</f>
        <v>50000</v>
      </c>
      <c r="P39" s="69"/>
      <c r="Q39" s="195">
        <f>SUM(O39:P39)</f>
        <v>50000</v>
      </c>
      <c r="R39" s="69"/>
      <c r="S39" s="195">
        <f>SUM(Q39:R39)</f>
        <v>50000</v>
      </c>
      <c r="T39" s="69"/>
      <c r="U39" s="195">
        <f>SUM(S39:T39)</f>
        <v>50000</v>
      </c>
      <c r="V39" s="69"/>
      <c r="W39" s="195">
        <f>SUM(U39:V39)</f>
        <v>50000</v>
      </c>
      <c r="X39" s="69"/>
      <c r="Y39" s="195">
        <f>SUM(W39:X39)</f>
        <v>50000</v>
      </c>
    </row>
    <row r="40" spans="1:25" s="26" customFormat="1" ht="24" customHeight="1">
      <c r="A40" s="70"/>
      <c r="B40" s="48"/>
      <c r="C40" s="76" t="s">
        <v>171</v>
      </c>
      <c r="D40" s="74" t="s">
        <v>37</v>
      </c>
      <c r="E40" s="69">
        <v>2500</v>
      </c>
      <c r="F40" s="69"/>
      <c r="G40" s="195">
        <f t="shared" si="3"/>
        <v>2500</v>
      </c>
      <c r="H40" s="69"/>
      <c r="I40" s="195">
        <f>SUM(G40:H40)</f>
        <v>2500</v>
      </c>
      <c r="J40" s="69"/>
      <c r="K40" s="195">
        <f>SUM(I40:J40)</f>
        <v>2500</v>
      </c>
      <c r="L40" s="69"/>
      <c r="M40" s="195">
        <f>SUM(K40:L40)</f>
        <v>2500</v>
      </c>
      <c r="N40" s="69"/>
      <c r="O40" s="195">
        <f>SUM(M40:N40)</f>
        <v>2500</v>
      </c>
      <c r="P40" s="69"/>
      <c r="Q40" s="195">
        <f>SUM(O40:P40)</f>
        <v>2500</v>
      </c>
      <c r="R40" s="69"/>
      <c r="S40" s="195">
        <f>SUM(Q40:R40)</f>
        <v>2500</v>
      </c>
      <c r="T40" s="69"/>
      <c r="U40" s="195">
        <f>SUM(S40:T40)</f>
        <v>2500</v>
      </c>
      <c r="V40" s="69"/>
      <c r="W40" s="195">
        <f>SUM(U40:V40)</f>
        <v>2500</v>
      </c>
      <c r="X40" s="69"/>
      <c r="Y40" s="195">
        <f>SUM(W40:X40)</f>
        <v>2500</v>
      </c>
    </row>
    <row r="41" spans="1:25" s="26" customFormat="1" ht="56.25">
      <c r="A41" s="70"/>
      <c r="B41" s="71" t="s">
        <v>31</v>
      </c>
      <c r="C41" s="77"/>
      <c r="D41" s="74" t="s">
        <v>201</v>
      </c>
      <c r="E41" s="69">
        <f aca="true" t="shared" si="30" ref="E41:K41">SUM(E42:E47)</f>
        <v>7208496</v>
      </c>
      <c r="F41" s="69">
        <f t="shared" si="30"/>
        <v>0</v>
      </c>
      <c r="G41" s="69">
        <f t="shared" si="30"/>
        <v>7208496</v>
      </c>
      <c r="H41" s="69">
        <f t="shared" si="30"/>
        <v>0</v>
      </c>
      <c r="I41" s="69">
        <f t="shared" si="30"/>
        <v>7208496</v>
      </c>
      <c r="J41" s="69">
        <f t="shared" si="30"/>
        <v>0</v>
      </c>
      <c r="K41" s="69">
        <f t="shared" si="30"/>
        <v>7208496</v>
      </c>
      <c r="L41" s="69">
        <f aca="true" t="shared" si="31" ref="L41:Q41">SUM(L42:L47)</f>
        <v>0</v>
      </c>
      <c r="M41" s="69">
        <f t="shared" si="31"/>
        <v>7208496</v>
      </c>
      <c r="N41" s="69">
        <f t="shared" si="31"/>
        <v>0</v>
      </c>
      <c r="O41" s="69">
        <f t="shared" si="31"/>
        <v>7208496</v>
      </c>
      <c r="P41" s="69">
        <f t="shared" si="31"/>
        <v>0</v>
      </c>
      <c r="Q41" s="69">
        <f t="shared" si="31"/>
        <v>7208496</v>
      </c>
      <c r="R41" s="69">
        <f aca="true" t="shared" si="32" ref="R41:W41">SUM(R42:R47)</f>
        <v>0</v>
      </c>
      <c r="S41" s="69">
        <f t="shared" si="32"/>
        <v>7208496</v>
      </c>
      <c r="T41" s="69">
        <f t="shared" si="32"/>
        <v>0</v>
      </c>
      <c r="U41" s="69">
        <f t="shared" si="32"/>
        <v>7208496</v>
      </c>
      <c r="V41" s="69">
        <f t="shared" si="32"/>
        <v>0</v>
      </c>
      <c r="W41" s="69">
        <f t="shared" si="32"/>
        <v>7208496</v>
      </c>
      <c r="X41" s="69">
        <f>SUM(X42:X47)</f>
        <v>0</v>
      </c>
      <c r="Y41" s="69">
        <f>SUM(Y42:Y47)</f>
        <v>7208496</v>
      </c>
    </row>
    <row r="42" spans="1:25" s="26" customFormat="1" ht="21.75" customHeight="1">
      <c r="A42" s="70"/>
      <c r="B42" s="71"/>
      <c r="C42" s="72" t="s">
        <v>172</v>
      </c>
      <c r="D42" s="74" t="s">
        <v>32</v>
      </c>
      <c r="E42" s="69">
        <v>6458259</v>
      </c>
      <c r="F42" s="69"/>
      <c r="G42" s="195">
        <f t="shared" si="3"/>
        <v>6458259</v>
      </c>
      <c r="H42" s="69"/>
      <c r="I42" s="195">
        <f aca="true" t="shared" si="33" ref="I42:I47">SUM(G42:H42)</f>
        <v>6458259</v>
      </c>
      <c r="J42" s="69"/>
      <c r="K42" s="195">
        <f aca="true" t="shared" si="34" ref="K42:K47">SUM(I42:J42)</f>
        <v>6458259</v>
      </c>
      <c r="L42" s="69"/>
      <c r="M42" s="195">
        <f aca="true" t="shared" si="35" ref="M42:M47">SUM(K42:L42)</f>
        <v>6458259</v>
      </c>
      <c r="N42" s="69"/>
      <c r="O42" s="195">
        <f aca="true" t="shared" si="36" ref="O42:O47">SUM(M42:N42)</f>
        <v>6458259</v>
      </c>
      <c r="P42" s="69"/>
      <c r="Q42" s="195">
        <f aca="true" t="shared" si="37" ref="Q42:Q47">SUM(O42:P42)</f>
        <v>6458259</v>
      </c>
      <c r="R42" s="69"/>
      <c r="S42" s="195">
        <f aca="true" t="shared" si="38" ref="S42:S47">SUM(Q42:R42)</f>
        <v>6458259</v>
      </c>
      <c r="T42" s="69"/>
      <c r="U42" s="195">
        <f aca="true" t="shared" si="39" ref="U42:U47">SUM(S42:T42)</f>
        <v>6458259</v>
      </c>
      <c r="V42" s="69"/>
      <c r="W42" s="195">
        <f aca="true" t="shared" si="40" ref="W42:W47">SUM(U42:V42)</f>
        <v>6458259</v>
      </c>
      <c r="X42" s="69"/>
      <c r="Y42" s="195">
        <f aca="true" t="shared" si="41" ref="Y42:Y47">SUM(W42:X42)</f>
        <v>6458259</v>
      </c>
    </row>
    <row r="43" spans="1:25" s="26" customFormat="1" ht="21.75" customHeight="1">
      <c r="A43" s="70"/>
      <c r="B43" s="71"/>
      <c r="C43" s="72" t="s">
        <v>173</v>
      </c>
      <c r="D43" s="74" t="s">
        <v>33</v>
      </c>
      <c r="E43" s="69">
        <v>25000</v>
      </c>
      <c r="F43" s="69"/>
      <c r="G43" s="195">
        <f t="shared" si="3"/>
        <v>25000</v>
      </c>
      <c r="H43" s="69"/>
      <c r="I43" s="195">
        <f t="shared" si="33"/>
        <v>25000</v>
      </c>
      <c r="J43" s="69"/>
      <c r="K43" s="195">
        <f t="shared" si="34"/>
        <v>25000</v>
      </c>
      <c r="L43" s="69"/>
      <c r="M43" s="195">
        <f t="shared" si="35"/>
        <v>25000</v>
      </c>
      <c r="N43" s="69"/>
      <c r="O43" s="195">
        <f t="shared" si="36"/>
        <v>25000</v>
      </c>
      <c r="P43" s="69"/>
      <c r="Q43" s="195">
        <f t="shared" si="37"/>
        <v>25000</v>
      </c>
      <c r="R43" s="69"/>
      <c r="S43" s="195">
        <f t="shared" si="38"/>
        <v>25000</v>
      </c>
      <c r="T43" s="69"/>
      <c r="U43" s="195">
        <f t="shared" si="39"/>
        <v>25000</v>
      </c>
      <c r="V43" s="69"/>
      <c r="W43" s="195">
        <f t="shared" si="40"/>
        <v>25000</v>
      </c>
      <c r="X43" s="69"/>
      <c r="Y43" s="195">
        <f t="shared" si="41"/>
        <v>25000</v>
      </c>
    </row>
    <row r="44" spans="1:25" s="26" customFormat="1" ht="21.75" customHeight="1">
      <c r="A44" s="70"/>
      <c r="B44" s="71"/>
      <c r="C44" s="72" t="s">
        <v>174</v>
      </c>
      <c r="D44" s="74" t="s">
        <v>34</v>
      </c>
      <c r="E44" s="69">
        <v>350823</v>
      </c>
      <c r="F44" s="69"/>
      <c r="G44" s="195">
        <f t="shared" si="3"/>
        <v>350823</v>
      </c>
      <c r="H44" s="69"/>
      <c r="I44" s="195">
        <f t="shared" si="33"/>
        <v>350823</v>
      </c>
      <c r="J44" s="69"/>
      <c r="K44" s="195">
        <f t="shared" si="34"/>
        <v>350823</v>
      </c>
      <c r="L44" s="69"/>
      <c r="M44" s="195">
        <f t="shared" si="35"/>
        <v>350823</v>
      </c>
      <c r="N44" s="69"/>
      <c r="O44" s="195">
        <f t="shared" si="36"/>
        <v>350823</v>
      </c>
      <c r="P44" s="69"/>
      <c r="Q44" s="195">
        <f t="shared" si="37"/>
        <v>350823</v>
      </c>
      <c r="R44" s="69"/>
      <c r="S44" s="195">
        <f t="shared" si="38"/>
        <v>350823</v>
      </c>
      <c r="T44" s="69"/>
      <c r="U44" s="195">
        <f t="shared" si="39"/>
        <v>350823</v>
      </c>
      <c r="V44" s="69"/>
      <c r="W44" s="195">
        <f t="shared" si="40"/>
        <v>350823</v>
      </c>
      <c r="X44" s="69"/>
      <c r="Y44" s="195">
        <f t="shared" si="41"/>
        <v>350823</v>
      </c>
    </row>
    <row r="45" spans="1:25" s="26" customFormat="1" ht="21.75" customHeight="1">
      <c r="A45" s="70"/>
      <c r="B45" s="71"/>
      <c r="C45" s="72" t="s">
        <v>175</v>
      </c>
      <c r="D45" s="74" t="s">
        <v>35</v>
      </c>
      <c r="E45" s="69">
        <f>65000+20000</f>
        <v>85000</v>
      </c>
      <c r="F45" s="69"/>
      <c r="G45" s="195">
        <f t="shared" si="3"/>
        <v>85000</v>
      </c>
      <c r="H45" s="69"/>
      <c r="I45" s="195">
        <f t="shared" si="33"/>
        <v>85000</v>
      </c>
      <c r="J45" s="69"/>
      <c r="K45" s="195">
        <f t="shared" si="34"/>
        <v>85000</v>
      </c>
      <c r="L45" s="69"/>
      <c r="M45" s="195">
        <f t="shared" si="35"/>
        <v>85000</v>
      </c>
      <c r="N45" s="69"/>
      <c r="O45" s="195">
        <f t="shared" si="36"/>
        <v>85000</v>
      </c>
      <c r="P45" s="69"/>
      <c r="Q45" s="195">
        <f t="shared" si="37"/>
        <v>85000</v>
      </c>
      <c r="R45" s="69"/>
      <c r="S45" s="195">
        <f t="shared" si="38"/>
        <v>85000</v>
      </c>
      <c r="T45" s="69"/>
      <c r="U45" s="195">
        <f t="shared" si="39"/>
        <v>85000</v>
      </c>
      <c r="V45" s="69"/>
      <c r="W45" s="195">
        <f t="shared" si="40"/>
        <v>85000</v>
      </c>
      <c r="X45" s="69"/>
      <c r="Y45" s="195">
        <f t="shared" si="41"/>
        <v>85000</v>
      </c>
    </row>
    <row r="46" spans="1:25" s="26" customFormat="1" ht="24" customHeight="1">
      <c r="A46" s="70"/>
      <c r="B46" s="71"/>
      <c r="C46" s="67" t="s">
        <v>171</v>
      </c>
      <c r="D46" s="64" t="s">
        <v>209</v>
      </c>
      <c r="E46" s="78">
        <v>25000</v>
      </c>
      <c r="F46" s="78"/>
      <c r="G46" s="195">
        <f t="shared" si="3"/>
        <v>25000</v>
      </c>
      <c r="H46" s="78"/>
      <c r="I46" s="195">
        <f t="shared" si="33"/>
        <v>25000</v>
      </c>
      <c r="J46" s="78"/>
      <c r="K46" s="195">
        <f t="shared" si="34"/>
        <v>25000</v>
      </c>
      <c r="L46" s="78"/>
      <c r="M46" s="195">
        <f t="shared" si="35"/>
        <v>25000</v>
      </c>
      <c r="N46" s="78"/>
      <c r="O46" s="195">
        <f t="shared" si="36"/>
        <v>25000</v>
      </c>
      <c r="P46" s="78"/>
      <c r="Q46" s="195">
        <f t="shared" si="37"/>
        <v>25000</v>
      </c>
      <c r="R46" s="78"/>
      <c r="S46" s="195">
        <f t="shared" si="38"/>
        <v>25000</v>
      </c>
      <c r="T46" s="78"/>
      <c r="U46" s="195">
        <f t="shared" si="39"/>
        <v>25000</v>
      </c>
      <c r="V46" s="78"/>
      <c r="W46" s="195">
        <f t="shared" si="40"/>
        <v>25000</v>
      </c>
      <c r="X46" s="78"/>
      <c r="Y46" s="195">
        <f t="shared" si="41"/>
        <v>25000</v>
      </c>
    </row>
    <row r="47" spans="1:25" s="26" customFormat="1" ht="24" customHeight="1">
      <c r="A47" s="70"/>
      <c r="B47" s="71"/>
      <c r="C47" s="72">
        <v>2680</v>
      </c>
      <c r="D47" s="74" t="s">
        <v>275</v>
      </c>
      <c r="E47" s="69">
        <v>264414</v>
      </c>
      <c r="F47" s="69"/>
      <c r="G47" s="195">
        <f t="shared" si="3"/>
        <v>264414</v>
      </c>
      <c r="H47" s="69"/>
      <c r="I47" s="195">
        <f t="shared" si="33"/>
        <v>264414</v>
      </c>
      <c r="J47" s="69"/>
      <c r="K47" s="195">
        <f t="shared" si="34"/>
        <v>264414</v>
      </c>
      <c r="L47" s="69"/>
      <c r="M47" s="195">
        <f t="shared" si="35"/>
        <v>264414</v>
      </c>
      <c r="N47" s="69"/>
      <c r="O47" s="195">
        <f t="shared" si="36"/>
        <v>264414</v>
      </c>
      <c r="P47" s="69"/>
      <c r="Q47" s="195">
        <f t="shared" si="37"/>
        <v>264414</v>
      </c>
      <c r="R47" s="69"/>
      <c r="S47" s="195">
        <f t="shared" si="38"/>
        <v>264414</v>
      </c>
      <c r="T47" s="69"/>
      <c r="U47" s="195">
        <f t="shared" si="39"/>
        <v>264414</v>
      </c>
      <c r="V47" s="69"/>
      <c r="W47" s="195">
        <f t="shared" si="40"/>
        <v>264414</v>
      </c>
      <c r="X47" s="69"/>
      <c r="Y47" s="195">
        <f t="shared" si="41"/>
        <v>264414</v>
      </c>
    </row>
    <row r="48" spans="1:25" s="26" customFormat="1" ht="56.25">
      <c r="A48" s="70"/>
      <c r="B48" s="71">
        <v>75616</v>
      </c>
      <c r="C48" s="72"/>
      <c r="D48" s="74" t="s">
        <v>335</v>
      </c>
      <c r="E48" s="69">
        <f aca="true" t="shared" si="42" ref="E48:K48">SUM(E49:E56)</f>
        <v>4073240</v>
      </c>
      <c r="F48" s="69">
        <f t="shared" si="42"/>
        <v>0</v>
      </c>
      <c r="G48" s="69">
        <f t="shared" si="42"/>
        <v>4073240</v>
      </c>
      <c r="H48" s="69">
        <f t="shared" si="42"/>
        <v>0</v>
      </c>
      <c r="I48" s="69">
        <f t="shared" si="42"/>
        <v>4073240</v>
      </c>
      <c r="J48" s="69">
        <f t="shared" si="42"/>
        <v>0</v>
      </c>
      <c r="K48" s="69">
        <f t="shared" si="42"/>
        <v>4073240</v>
      </c>
      <c r="L48" s="69">
        <f aca="true" t="shared" si="43" ref="L48:Q48">SUM(L49:L56)</f>
        <v>14000</v>
      </c>
      <c r="M48" s="69">
        <f t="shared" si="43"/>
        <v>4087240</v>
      </c>
      <c r="N48" s="69">
        <f t="shared" si="43"/>
        <v>0</v>
      </c>
      <c r="O48" s="69">
        <f t="shared" si="43"/>
        <v>4087240</v>
      </c>
      <c r="P48" s="69">
        <f t="shared" si="43"/>
        <v>0</v>
      </c>
      <c r="Q48" s="69">
        <f t="shared" si="43"/>
        <v>4087240</v>
      </c>
      <c r="R48" s="69">
        <f aca="true" t="shared" si="44" ref="R48:W48">SUM(R49:R56)</f>
        <v>0</v>
      </c>
      <c r="S48" s="69">
        <f t="shared" si="44"/>
        <v>4087240</v>
      </c>
      <c r="T48" s="69">
        <f t="shared" si="44"/>
        <v>0</v>
      </c>
      <c r="U48" s="69">
        <f t="shared" si="44"/>
        <v>4087240</v>
      </c>
      <c r="V48" s="69">
        <f t="shared" si="44"/>
        <v>0</v>
      </c>
      <c r="W48" s="69">
        <f t="shared" si="44"/>
        <v>4087240</v>
      </c>
      <c r="X48" s="69">
        <f>SUM(X49:X56)</f>
        <v>0</v>
      </c>
      <c r="Y48" s="69">
        <f>SUM(Y49:Y56)</f>
        <v>4087240</v>
      </c>
    </row>
    <row r="49" spans="1:25" s="26" customFormat="1" ht="21.75" customHeight="1">
      <c r="A49" s="70"/>
      <c r="B49" s="71"/>
      <c r="C49" s="72" t="s">
        <v>172</v>
      </c>
      <c r="D49" s="74" t="s">
        <v>32</v>
      </c>
      <c r="E49" s="69">
        <v>2447240</v>
      </c>
      <c r="F49" s="69"/>
      <c r="G49" s="195">
        <f t="shared" si="3"/>
        <v>2447240</v>
      </c>
      <c r="H49" s="69"/>
      <c r="I49" s="195">
        <f aca="true" t="shared" si="45" ref="I49:I56">SUM(G49:H49)</f>
        <v>2447240</v>
      </c>
      <c r="J49" s="69"/>
      <c r="K49" s="195">
        <f aca="true" t="shared" si="46" ref="K49:K56">SUM(I49:J49)</f>
        <v>2447240</v>
      </c>
      <c r="L49" s="69"/>
      <c r="M49" s="195">
        <f aca="true" t="shared" si="47" ref="M49:M56">SUM(K49:L49)</f>
        <v>2447240</v>
      </c>
      <c r="N49" s="69"/>
      <c r="O49" s="195">
        <f aca="true" t="shared" si="48" ref="O49:O56">SUM(M49:N49)</f>
        <v>2447240</v>
      </c>
      <c r="P49" s="69"/>
      <c r="Q49" s="195">
        <f aca="true" t="shared" si="49" ref="Q49:Q56">SUM(O49:P49)</f>
        <v>2447240</v>
      </c>
      <c r="R49" s="69"/>
      <c r="S49" s="195">
        <f aca="true" t="shared" si="50" ref="S49:S56">SUM(Q49:R49)</f>
        <v>2447240</v>
      </c>
      <c r="T49" s="69"/>
      <c r="U49" s="195">
        <f aca="true" t="shared" si="51" ref="U49:U56">SUM(S49:T49)</f>
        <v>2447240</v>
      </c>
      <c r="V49" s="69"/>
      <c r="W49" s="195">
        <f aca="true" t="shared" si="52" ref="W49:W56">SUM(U49:V49)</f>
        <v>2447240</v>
      </c>
      <c r="X49" s="69"/>
      <c r="Y49" s="195">
        <f aca="true" t="shared" si="53" ref="Y49:Y56">SUM(W49:X49)</f>
        <v>2447240</v>
      </c>
    </row>
    <row r="50" spans="1:25" s="26" customFormat="1" ht="21.75" customHeight="1">
      <c r="A50" s="70"/>
      <c r="B50" s="71"/>
      <c r="C50" s="72" t="s">
        <v>173</v>
      </c>
      <c r="D50" s="74" t="s">
        <v>33</v>
      </c>
      <c r="E50" s="69">
        <v>575000</v>
      </c>
      <c r="F50" s="69"/>
      <c r="G50" s="195">
        <f t="shared" si="3"/>
        <v>575000</v>
      </c>
      <c r="H50" s="69"/>
      <c r="I50" s="195">
        <f t="shared" si="45"/>
        <v>575000</v>
      </c>
      <c r="J50" s="69"/>
      <c r="K50" s="195">
        <f t="shared" si="46"/>
        <v>575000</v>
      </c>
      <c r="L50" s="69"/>
      <c r="M50" s="195">
        <f t="shared" si="47"/>
        <v>575000</v>
      </c>
      <c r="N50" s="69"/>
      <c r="O50" s="195">
        <f t="shared" si="48"/>
        <v>575000</v>
      </c>
      <c r="P50" s="69"/>
      <c r="Q50" s="195">
        <f t="shared" si="49"/>
        <v>575000</v>
      </c>
      <c r="R50" s="69"/>
      <c r="S50" s="195">
        <f t="shared" si="50"/>
        <v>575000</v>
      </c>
      <c r="T50" s="69"/>
      <c r="U50" s="195">
        <f t="shared" si="51"/>
        <v>575000</v>
      </c>
      <c r="V50" s="69"/>
      <c r="W50" s="195">
        <f t="shared" si="52"/>
        <v>575000</v>
      </c>
      <c r="X50" s="69"/>
      <c r="Y50" s="195">
        <f t="shared" si="53"/>
        <v>575000</v>
      </c>
    </row>
    <row r="51" spans="1:25" s="26" customFormat="1" ht="21.75" customHeight="1">
      <c r="A51" s="70"/>
      <c r="B51" s="71"/>
      <c r="C51" s="72" t="s">
        <v>174</v>
      </c>
      <c r="D51" s="74" t="s">
        <v>34</v>
      </c>
      <c r="E51" s="69">
        <v>9000</v>
      </c>
      <c r="F51" s="69"/>
      <c r="G51" s="195">
        <f t="shared" si="3"/>
        <v>9000</v>
      </c>
      <c r="H51" s="69"/>
      <c r="I51" s="195">
        <f t="shared" si="45"/>
        <v>9000</v>
      </c>
      <c r="J51" s="69"/>
      <c r="K51" s="195">
        <f t="shared" si="46"/>
        <v>9000</v>
      </c>
      <c r="L51" s="69"/>
      <c r="M51" s="195">
        <f t="shared" si="47"/>
        <v>9000</v>
      </c>
      <c r="N51" s="69"/>
      <c r="O51" s="195">
        <f t="shared" si="48"/>
        <v>9000</v>
      </c>
      <c r="P51" s="69"/>
      <c r="Q51" s="195">
        <f t="shared" si="49"/>
        <v>9000</v>
      </c>
      <c r="R51" s="69"/>
      <c r="S51" s="195">
        <f t="shared" si="50"/>
        <v>9000</v>
      </c>
      <c r="T51" s="69"/>
      <c r="U51" s="195">
        <f t="shared" si="51"/>
        <v>9000</v>
      </c>
      <c r="V51" s="69"/>
      <c r="W51" s="195">
        <f t="shared" si="52"/>
        <v>9000</v>
      </c>
      <c r="X51" s="69"/>
      <c r="Y51" s="195">
        <f t="shared" si="53"/>
        <v>9000</v>
      </c>
    </row>
    <row r="52" spans="1:25" s="26" customFormat="1" ht="21.75" customHeight="1">
      <c r="A52" s="70"/>
      <c r="B52" s="71"/>
      <c r="C52" s="72" t="s">
        <v>175</v>
      </c>
      <c r="D52" s="74" t="s">
        <v>35</v>
      </c>
      <c r="E52" s="69">
        <f>160000+60000</f>
        <v>220000</v>
      </c>
      <c r="F52" s="69"/>
      <c r="G52" s="195">
        <f t="shared" si="3"/>
        <v>220000</v>
      </c>
      <c r="H52" s="69"/>
      <c r="I52" s="195">
        <f t="shared" si="45"/>
        <v>220000</v>
      </c>
      <c r="J52" s="69"/>
      <c r="K52" s="195">
        <f t="shared" si="46"/>
        <v>220000</v>
      </c>
      <c r="L52" s="69"/>
      <c r="M52" s="195">
        <f t="shared" si="47"/>
        <v>220000</v>
      </c>
      <c r="N52" s="69"/>
      <c r="O52" s="195">
        <f t="shared" si="48"/>
        <v>220000</v>
      </c>
      <c r="P52" s="69"/>
      <c r="Q52" s="195">
        <f t="shared" si="49"/>
        <v>220000</v>
      </c>
      <c r="R52" s="69"/>
      <c r="S52" s="195">
        <f t="shared" si="50"/>
        <v>220000</v>
      </c>
      <c r="T52" s="69"/>
      <c r="U52" s="195">
        <f t="shared" si="51"/>
        <v>220000</v>
      </c>
      <c r="V52" s="69"/>
      <c r="W52" s="195">
        <f t="shared" si="52"/>
        <v>220000</v>
      </c>
      <c r="X52" s="69"/>
      <c r="Y52" s="195">
        <f t="shared" si="53"/>
        <v>220000</v>
      </c>
    </row>
    <row r="53" spans="1:25" s="26" customFormat="1" ht="21.75" customHeight="1">
      <c r="A53" s="70"/>
      <c r="B53" s="71"/>
      <c r="C53" s="72" t="s">
        <v>319</v>
      </c>
      <c r="D53" s="74" t="s">
        <v>320</v>
      </c>
      <c r="E53" s="69">
        <v>2000</v>
      </c>
      <c r="F53" s="69"/>
      <c r="G53" s="195">
        <f t="shared" si="3"/>
        <v>2000</v>
      </c>
      <c r="H53" s="69"/>
      <c r="I53" s="195">
        <f t="shared" si="45"/>
        <v>2000</v>
      </c>
      <c r="J53" s="69"/>
      <c r="K53" s="195">
        <f t="shared" si="46"/>
        <v>2000</v>
      </c>
      <c r="L53" s="69"/>
      <c r="M53" s="195">
        <f t="shared" si="47"/>
        <v>2000</v>
      </c>
      <c r="N53" s="69"/>
      <c r="O53" s="195">
        <f t="shared" si="48"/>
        <v>2000</v>
      </c>
      <c r="P53" s="69"/>
      <c r="Q53" s="195">
        <f t="shared" si="49"/>
        <v>2000</v>
      </c>
      <c r="R53" s="69"/>
      <c r="S53" s="195">
        <f t="shared" si="50"/>
        <v>2000</v>
      </c>
      <c r="T53" s="69"/>
      <c r="U53" s="195">
        <f t="shared" si="51"/>
        <v>2000</v>
      </c>
      <c r="V53" s="69"/>
      <c r="W53" s="195">
        <f t="shared" si="52"/>
        <v>2000</v>
      </c>
      <c r="X53" s="69"/>
      <c r="Y53" s="195">
        <f t="shared" si="53"/>
        <v>2000</v>
      </c>
    </row>
    <row r="54" spans="1:25" s="26" customFormat="1" ht="21.75" customHeight="1">
      <c r="A54" s="70"/>
      <c r="B54" s="71"/>
      <c r="C54" s="72" t="s">
        <v>176</v>
      </c>
      <c r="D54" s="74" t="s">
        <v>38</v>
      </c>
      <c r="E54" s="69">
        <v>70000</v>
      </c>
      <c r="F54" s="69"/>
      <c r="G54" s="195">
        <f t="shared" si="3"/>
        <v>70000</v>
      </c>
      <c r="H54" s="69"/>
      <c r="I54" s="195">
        <f t="shared" si="45"/>
        <v>70000</v>
      </c>
      <c r="J54" s="69"/>
      <c r="K54" s="195">
        <f t="shared" si="46"/>
        <v>70000</v>
      </c>
      <c r="L54" s="69"/>
      <c r="M54" s="195">
        <f t="shared" si="47"/>
        <v>70000</v>
      </c>
      <c r="N54" s="69"/>
      <c r="O54" s="195">
        <f t="shared" si="48"/>
        <v>70000</v>
      </c>
      <c r="P54" s="69"/>
      <c r="Q54" s="195">
        <f t="shared" si="49"/>
        <v>70000</v>
      </c>
      <c r="R54" s="69"/>
      <c r="S54" s="195">
        <f t="shared" si="50"/>
        <v>70000</v>
      </c>
      <c r="T54" s="69"/>
      <c r="U54" s="195">
        <f t="shared" si="51"/>
        <v>70000</v>
      </c>
      <c r="V54" s="69"/>
      <c r="W54" s="195">
        <f t="shared" si="52"/>
        <v>70000</v>
      </c>
      <c r="X54" s="69"/>
      <c r="Y54" s="195">
        <f t="shared" si="53"/>
        <v>70000</v>
      </c>
    </row>
    <row r="55" spans="1:25" s="26" customFormat="1" ht="21.75" customHeight="1">
      <c r="A55" s="70"/>
      <c r="B55" s="71"/>
      <c r="C55" s="72" t="s">
        <v>178</v>
      </c>
      <c r="D55" s="74" t="s">
        <v>39</v>
      </c>
      <c r="E55" s="69">
        <v>700000</v>
      </c>
      <c r="F55" s="69"/>
      <c r="G55" s="195">
        <f t="shared" si="3"/>
        <v>700000</v>
      </c>
      <c r="H55" s="69"/>
      <c r="I55" s="195">
        <f t="shared" si="45"/>
        <v>700000</v>
      </c>
      <c r="J55" s="69"/>
      <c r="K55" s="195">
        <f t="shared" si="46"/>
        <v>700000</v>
      </c>
      <c r="L55" s="69">
        <v>14000</v>
      </c>
      <c r="M55" s="195">
        <f t="shared" si="47"/>
        <v>714000</v>
      </c>
      <c r="N55" s="69"/>
      <c r="O55" s="195">
        <f t="shared" si="48"/>
        <v>714000</v>
      </c>
      <c r="P55" s="69"/>
      <c r="Q55" s="195">
        <f t="shared" si="49"/>
        <v>714000</v>
      </c>
      <c r="R55" s="69"/>
      <c r="S55" s="195">
        <f t="shared" si="50"/>
        <v>714000</v>
      </c>
      <c r="T55" s="69"/>
      <c r="U55" s="195">
        <f t="shared" si="51"/>
        <v>714000</v>
      </c>
      <c r="V55" s="69"/>
      <c r="W55" s="195">
        <f t="shared" si="52"/>
        <v>714000</v>
      </c>
      <c r="X55" s="69"/>
      <c r="Y55" s="195">
        <f t="shared" si="53"/>
        <v>714000</v>
      </c>
    </row>
    <row r="56" spans="1:25" s="26" customFormat="1" ht="24" customHeight="1">
      <c r="A56" s="70"/>
      <c r="B56" s="71"/>
      <c r="C56" s="72" t="s">
        <v>171</v>
      </c>
      <c r="D56" s="74" t="s">
        <v>209</v>
      </c>
      <c r="E56" s="69">
        <v>50000</v>
      </c>
      <c r="F56" s="69"/>
      <c r="G56" s="195">
        <f t="shared" si="3"/>
        <v>50000</v>
      </c>
      <c r="H56" s="69"/>
      <c r="I56" s="195">
        <f t="shared" si="45"/>
        <v>50000</v>
      </c>
      <c r="J56" s="69"/>
      <c r="K56" s="195">
        <f t="shared" si="46"/>
        <v>50000</v>
      </c>
      <c r="L56" s="69"/>
      <c r="M56" s="195">
        <f t="shared" si="47"/>
        <v>50000</v>
      </c>
      <c r="N56" s="69"/>
      <c r="O56" s="195">
        <f t="shared" si="48"/>
        <v>50000</v>
      </c>
      <c r="P56" s="69"/>
      <c r="Q56" s="195">
        <f t="shared" si="49"/>
        <v>50000</v>
      </c>
      <c r="R56" s="69"/>
      <c r="S56" s="195">
        <f t="shared" si="50"/>
        <v>50000</v>
      </c>
      <c r="T56" s="69"/>
      <c r="U56" s="195">
        <f t="shared" si="51"/>
        <v>50000</v>
      </c>
      <c r="V56" s="69"/>
      <c r="W56" s="195">
        <f t="shared" si="52"/>
        <v>50000</v>
      </c>
      <c r="X56" s="69"/>
      <c r="Y56" s="195">
        <f t="shared" si="53"/>
        <v>50000</v>
      </c>
    </row>
    <row r="57" spans="1:25" s="26" customFormat="1" ht="33.75">
      <c r="A57" s="70"/>
      <c r="B57" s="71" t="s">
        <v>40</v>
      </c>
      <c r="C57" s="77"/>
      <c r="D57" s="74" t="s">
        <v>41</v>
      </c>
      <c r="E57" s="69">
        <f aca="true" t="shared" si="54" ref="E57:K57">SUM(E58:E61)</f>
        <v>670000</v>
      </c>
      <c r="F57" s="69">
        <f t="shared" si="54"/>
        <v>0</v>
      </c>
      <c r="G57" s="69">
        <f t="shared" si="54"/>
        <v>670000</v>
      </c>
      <c r="H57" s="69">
        <f t="shared" si="54"/>
        <v>0</v>
      </c>
      <c r="I57" s="69">
        <f t="shared" si="54"/>
        <v>670000</v>
      </c>
      <c r="J57" s="69">
        <f t="shared" si="54"/>
        <v>0</v>
      </c>
      <c r="K57" s="69">
        <f t="shared" si="54"/>
        <v>670000</v>
      </c>
      <c r="L57" s="69">
        <f aca="true" t="shared" si="55" ref="L57:Q57">SUM(L58:L61)</f>
        <v>0</v>
      </c>
      <c r="M57" s="69">
        <f t="shared" si="55"/>
        <v>670000</v>
      </c>
      <c r="N57" s="69">
        <f t="shared" si="55"/>
        <v>0</v>
      </c>
      <c r="O57" s="69">
        <f t="shared" si="55"/>
        <v>670000</v>
      </c>
      <c r="P57" s="69">
        <f t="shared" si="55"/>
        <v>0</v>
      </c>
      <c r="Q57" s="69">
        <f t="shared" si="55"/>
        <v>670000</v>
      </c>
      <c r="R57" s="69">
        <f aca="true" t="shared" si="56" ref="R57:W57">SUM(R58:R61)</f>
        <v>0</v>
      </c>
      <c r="S57" s="69">
        <f t="shared" si="56"/>
        <v>670000</v>
      </c>
      <c r="T57" s="69">
        <f t="shared" si="56"/>
        <v>0</v>
      </c>
      <c r="U57" s="69">
        <f t="shared" si="56"/>
        <v>670000</v>
      </c>
      <c r="V57" s="69">
        <f t="shared" si="56"/>
        <v>0</v>
      </c>
      <c r="W57" s="69">
        <f t="shared" si="56"/>
        <v>670000</v>
      </c>
      <c r="X57" s="69">
        <f>SUM(X58:X61)</f>
        <v>0</v>
      </c>
      <c r="Y57" s="69">
        <f>SUM(Y58:Y61)</f>
        <v>670000</v>
      </c>
    </row>
    <row r="58" spans="1:25" s="26" customFormat="1" ht="21.75" customHeight="1">
      <c r="A58" s="70"/>
      <c r="B58" s="71"/>
      <c r="C58" s="72" t="s">
        <v>179</v>
      </c>
      <c r="D58" s="74" t="s">
        <v>42</v>
      </c>
      <c r="E58" s="69">
        <v>120000</v>
      </c>
      <c r="F58" s="69"/>
      <c r="G58" s="195">
        <f t="shared" si="3"/>
        <v>120000</v>
      </c>
      <c r="H58" s="69"/>
      <c r="I58" s="195">
        <f>SUM(G58:H58)</f>
        <v>120000</v>
      </c>
      <c r="J58" s="69"/>
      <c r="K58" s="195">
        <f>SUM(I58:J58)</f>
        <v>120000</v>
      </c>
      <c r="L58" s="69"/>
      <c r="M58" s="195">
        <f>SUM(K58:L58)</f>
        <v>120000</v>
      </c>
      <c r="N58" s="69"/>
      <c r="O58" s="195">
        <f>SUM(M58:N58)</f>
        <v>120000</v>
      </c>
      <c r="P58" s="69"/>
      <c r="Q58" s="195">
        <f>SUM(O58:P58)</f>
        <v>120000</v>
      </c>
      <c r="R58" s="69"/>
      <c r="S58" s="195">
        <f>SUM(Q58:R58)</f>
        <v>120000</v>
      </c>
      <c r="T58" s="69"/>
      <c r="U58" s="195">
        <f>SUM(S58:T58)</f>
        <v>120000</v>
      </c>
      <c r="V58" s="69"/>
      <c r="W58" s="195">
        <f>SUM(U58:V58)</f>
        <v>120000</v>
      </c>
      <c r="X58" s="69"/>
      <c r="Y58" s="195">
        <f>SUM(W58:X58)</f>
        <v>120000</v>
      </c>
    </row>
    <row r="59" spans="1:25" s="26" customFormat="1" ht="21.75" customHeight="1">
      <c r="A59" s="70"/>
      <c r="B59" s="71"/>
      <c r="C59" s="72" t="s">
        <v>177</v>
      </c>
      <c r="D59" s="74" t="s">
        <v>36</v>
      </c>
      <c r="E59" s="69">
        <v>20000</v>
      </c>
      <c r="F59" s="69"/>
      <c r="G59" s="195">
        <f t="shared" si="3"/>
        <v>20000</v>
      </c>
      <c r="H59" s="69"/>
      <c r="I59" s="195">
        <f>SUM(G59:H59)</f>
        <v>20000</v>
      </c>
      <c r="J59" s="69"/>
      <c r="K59" s="195">
        <f>SUM(I59:J59)</f>
        <v>20000</v>
      </c>
      <c r="L59" s="69"/>
      <c r="M59" s="195">
        <f>SUM(K59:L59)</f>
        <v>20000</v>
      </c>
      <c r="N59" s="69"/>
      <c r="O59" s="195">
        <f>SUM(M59:N59)</f>
        <v>20000</v>
      </c>
      <c r="P59" s="69"/>
      <c r="Q59" s="195">
        <f>SUM(O59:P59)</f>
        <v>20000</v>
      </c>
      <c r="R59" s="69"/>
      <c r="S59" s="195">
        <f>SUM(Q59:R59)</f>
        <v>20000</v>
      </c>
      <c r="T59" s="69"/>
      <c r="U59" s="195">
        <f>SUM(S59:T59)</f>
        <v>20000</v>
      </c>
      <c r="V59" s="69"/>
      <c r="W59" s="195">
        <f>SUM(U59:V59)</f>
        <v>20000</v>
      </c>
      <c r="X59" s="69"/>
      <c r="Y59" s="195">
        <f>SUM(W59:X59)</f>
        <v>20000</v>
      </c>
    </row>
    <row r="60" spans="1:25" s="26" customFormat="1" ht="24" customHeight="1">
      <c r="A60" s="70"/>
      <c r="B60" s="71"/>
      <c r="C60" s="72" t="s">
        <v>183</v>
      </c>
      <c r="D60" s="74" t="s">
        <v>233</v>
      </c>
      <c r="E60" s="69">
        <v>330000</v>
      </c>
      <c r="F60" s="69"/>
      <c r="G60" s="195">
        <f t="shared" si="3"/>
        <v>330000</v>
      </c>
      <c r="H60" s="69"/>
      <c r="I60" s="195">
        <f>SUM(G60:H60)</f>
        <v>330000</v>
      </c>
      <c r="J60" s="69"/>
      <c r="K60" s="195">
        <f>SUM(I60:J60)</f>
        <v>330000</v>
      </c>
      <c r="L60" s="69"/>
      <c r="M60" s="195">
        <f>SUM(K60:L60)</f>
        <v>330000</v>
      </c>
      <c r="N60" s="69"/>
      <c r="O60" s="195">
        <f>SUM(M60:N60)</f>
        <v>330000</v>
      </c>
      <c r="P60" s="69"/>
      <c r="Q60" s="195">
        <f>SUM(O60:P60)</f>
        <v>330000</v>
      </c>
      <c r="R60" s="69"/>
      <c r="S60" s="195">
        <f>SUM(Q60:R60)</f>
        <v>330000</v>
      </c>
      <c r="T60" s="69"/>
      <c r="U60" s="195">
        <f>SUM(S60:T60)</f>
        <v>330000</v>
      </c>
      <c r="V60" s="69"/>
      <c r="W60" s="195">
        <f>SUM(U60:V60)</f>
        <v>330000</v>
      </c>
      <c r="X60" s="69"/>
      <c r="Y60" s="195">
        <f>SUM(W60:X60)</f>
        <v>330000</v>
      </c>
    </row>
    <row r="61" spans="1:25" s="26" customFormat="1" ht="45">
      <c r="A61" s="70"/>
      <c r="B61" s="71"/>
      <c r="C61" s="72" t="s">
        <v>164</v>
      </c>
      <c r="D61" s="74" t="s">
        <v>7</v>
      </c>
      <c r="E61" s="69">
        <f>170000+30000</f>
        <v>200000</v>
      </c>
      <c r="F61" s="69"/>
      <c r="G61" s="195">
        <f t="shared" si="3"/>
        <v>200000</v>
      </c>
      <c r="H61" s="69"/>
      <c r="I61" s="195">
        <f>SUM(G61:H61)</f>
        <v>200000</v>
      </c>
      <c r="J61" s="69"/>
      <c r="K61" s="195">
        <f>SUM(I61:J61)</f>
        <v>200000</v>
      </c>
      <c r="L61" s="69"/>
      <c r="M61" s="195">
        <f>SUM(K61:L61)</f>
        <v>200000</v>
      </c>
      <c r="N61" s="69"/>
      <c r="O61" s="195">
        <f>SUM(M61:N61)</f>
        <v>200000</v>
      </c>
      <c r="P61" s="69"/>
      <c r="Q61" s="195">
        <f>SUM(O61:P61)</f>
        <v>200000</v>
      </c>
      <c r="R61" s="69"/>
      <c r="S61" s="195">
        <f>SUM(Q61:R61)</f>
        <v>200000</v>
      </c>
      <c r="T61" s="69"/>
      <c r="U61" s="195">
        <f>SUM(S61:T61)</f>
        <v>200000</v>
      </c>
      <c r="V61" s="69"/>
      <c r="W61" s="195">
        <f>SUM(U61:V61)</f>
        <v>200000</v>
      </c>
      <c r="X61" s="69"/>
      <c r="Y61" s="195">
        <f>SUM(W61:X61)</f>
        <v>200000</v>
      </c>
    </row>
    <row r="62" spans="1:25" s="26" customFormat="1" ht="24" customHeight="1">
      <c r="A62" s="70"/>
      <c r="B62" s="71" t="s">
        <v>43</v>
      </c>
      <c r="C62" s="77"/>
      <c r="D62" s="74" t="s">
        <v>44</v>
      </c>
      <c r="E62" s="69">
        <f aca="true" t="shared" si="57" ref="E62:K62">SUM(E63:E64)</f>
        <v>11030735</v>
      </c>
      <c r="F62" s="69">
        <f t="shared" si="57"/>
        <v>0</v>
      </c>
      <c r="G62" s="69">
        <f t="shared" si="57"/>
        <v>11030735</v>
      </c>
      <c r="H62" s="69">
        <f t="shared" si="57"/>
        <v>0</v>
      </c>
      <c r="I62" s="69">
        <f t="shared" si="57"/>
        <v>11030735</v>
      </c>
      <c r="J62" s="69">
        <f t="shared" si="57"/>
        <v>-329</v>
      </c>
      <c r="K62" s="69">
        <f t="shared" si="57"/>
        <v>11030406</v>
      </c>
      <c r="L62" s="69">
        <f aca="true" t="shared" si="58" ref="L62:Q62">SUM(L63:L64)</f>
        <v>0</v>
      </c>
      <c r="M62" s="69">
        <f t="shared" si="58"/>
        <v>11030406</v>
      </c>
      <c r="N62" s="69">
        <f t="shared" si="58"/>
        <v>0</v>
      </c>
      <c r="O62" s="69">
        <f t="shared" si="58"/>
        <v>11030406</v>
      </c>
      <c r="P62" s="69">
        <f t="shared" si="58"/>
        <v>0</v>
      </c>
      <c r="Q62" s="69">
        <f t="shared" si="58"/>
        <v>11030406</v>
      </c>
      <c r="R62" s="69">
        <f aca="true" t="shared" si="59" ref="R62:W62">SUM(R63:R64)</f>
        <v>0</v>
      </c>
      <c r="S62" s="69">
        <f t="shared" si="59"/>
        <v>11030406</v>
      </c>
      <c r="T62" s="69">
        <f t="shared" si="59"/>
        <v>0</v>
      </c>
      <c r="U62" s="69">
        <f t="shared" si="59"/>
        <v>11030406</v>
      </c>
      <c r="V62" s="69">
        <f t="shared" si="59"/>
        <v>0</v>
      </c>
      <c r="W62" s="69">
        <f t="shared" si="59"/>
        <v>11030406</v>
      </c>
      <c r="X62" s="69">
        <f>SUM(X63:X64)</f>
        <v>0</v>
      </c>
      <c r="Y62" s="69">
        <f>SUM(Y63:Y64)</f>
        <v>11030406</v>
      </c>
    </row>
    <row r="63" spans="1:25" s="26" customFormat="1" ht="21.75" customHeight="1">
      <c r="A63" s="70"/>
      <c r="B63" s="71"/>
      <c r="C63" s="72" t="s">
        <v>180</v>
      </c>
      <c r="D63" s="74" t="s">
        <v>45</v>
      </c>
      <c r="E63" s="69">
        <v>10030735</v>
      </c>
      <c r="F63" s="69"/>
      <c r="G63" s="195">
        <f t="shared" si="3"/>
        <v>10030735</v>
      </c>
      <c r="H63" s="69"/>
      <c r="I63" s="195">
        <f>SUM(G63:H63)</f>
        <v>10030735</v>
      </c>
      <c r="J63" s="69">
        <v>-329</v>
      </c>
      <c r="K63" s="195">
        <f>SUM(I63:J63)</f>
        <v>10030406</v>
      </c>
      <c r="L63" s="69"/>
      <c r="M63" s="195">
        <f>SUM(K63:L63)</f>
        <v>10030406</v>
      </c>
      <c r="N63" s="69"/>
      <c r="O63" s="195">
        <f>SUM(M63:N63)</f>
        <v>10030406</v>
      </c>
      <c r="P63" s="69"/>
      <c r="Q63" s="195">
        <f>SUM(O63:P63)</f>
        <v>10030406</v>
      </c>
      <c r="R63" s="69"/>
      <c r="S63" s="195">
        <f>SUM(Q63:R63)</f>
        <v>10030406</v>
      </c>
      <c r="T63" s="69"/>
      <c r="U63" s="195">
        <f>SUM(S63:T63)</f>
        <v>10030406</v>
      </c>
      <c r="V63" s="69"/>
      <c r="W63" s="195">
        <f>SUM(U63:V63)</f>
        <v>10030406</v>
      </c>
      <c r="X63" s="69"/>
      <c r="Y63" s="195">
        <f>SUM(W63:X63)</f>
        <v>10030406</v>
      </c>
    </row>
    <row r="64" spans="1:25" s="26" customFormat="1" ht="21.75" customHeight="1">
      <c r="A64" s="70"/>
      <c r="B64" s="71"/>
      <c r="C64" s="72" t="s">
        <v>181</v>
      </c>
      <c r="D64" s="74" t="s">
        <v>46</v>
      </c>
      <c r="E64" s="69">
        <v>1000000</v>
      </c>
      <c r="F64" s="69"/>
      <c r="G64" s="195">
        <f t="shared" si="3"/>
        <v>1000000</v>
      </c>
      <c r="H64" s="69"/>
      <c r="I64" s="195">
        <f>SUM(G64:H64)</f>
        <v>1000000</v>
      </c>
      <c r="J64" s="69"/>
      <c r="K64" s="195">
        <f>SUM(I64:J64)</f>
        <v>1000000</v>
      </c>
      <c r="L64" s="69"/>
      <c r="M64" s="195">
        <f>SUM(K64:L64)</f>
        <v>1000000</v>
      </c>
      <c r="N64" s="69"/>
      <c r="O64" s="195">
        <f>SUM(M64:N64)</f>
        <v>1000000</v>
      </c>
      <c r="P64" s="69"/>
      <c r="Q64" s="195">
        <f>SUM(O64:P64)</f>
        <v>1000000</v>
      </c>
      <c r="R64" s="69"/>
      <c r="S64" s="195">
        <f>SUM(Q64:R64)</f>
        <v>1000000</v>
      </c>
      <c r="T64" s="69"/>
      <c r="U64" s="195">
        <f>SUM(S64:T64)</f>
        <v>1000000</v>
      </c>
      <c r="V64" s="69"/>
      <c r="W64" s="195">
        <f>SUM(U64:V64)</f>
        <v>1000000</v>
      </c>
      <c r="X64" s="69"/>
      <c r="Y64" s="195">
        <f>SUM(W64:X64)</f>
        <v>1000000</v>
      </c>
    </row>
    <row r="65" spans="1:25" s="8" customFormat="1" ht="24" customHeight="1">
      <c r="A65" s="31" t="s">
        <v>47</v>
      </c>
      <c r="B65" s="4"/>
      <c r="C65" s="5"/>
      <c r="D65" s="32" t="s">
        <v>48</v>
      </c>
      <c r="E65" s="56">
        <f>SUM(E66,E68,E70,E72)</f>
        <v>19119259</v>
      </c>
      <c r="F65" s="56">
        <f>SUM(F66,F68,F70,F72)</f>
        <v>0</v>
      </c>
      <c r="G65" s="19">
        <f t="shared" si="3"/>
        <v>19119259</v>
      </c>
      <c r="H65" s="56">
        <f>SUM(H66,H68,H70,H72)</f>
        <v>0</v>
      </c>
      <c r="I65" s="19">
        <f>SUM(G65:H65)</f>
        <v>19119259</v>
      </c>
      <c r="J65" s="56">
        <f>SUM(J66,J68,J70,J72)</f>
        <v>-175597</v>
      </c>
      <c r="K65" s="19">
        <f>SUM(I65:J65)</f>
        <v>18943662</v>
      </c>
      <c r="L65" s="56">
        <f>SUM(L66,L68,L70,L72)</f>
        <v>0</v>
      </c>
      <c r="M65" s="19">
        <f>SUM(K65:L65)</f>
        <v>18943662</v>
      </c>
      <c r="N65" s="56">
        <f>SUM(N66,N68,N70,N72)</f>
        <v>0</v>
      </c>
      <c r="O65" s="19">
        <f>SUM(M65:N65)</f>
        <v>18943662</v>
      </c>
      <c r="P65" s="56">
        <f>SUM(P66,P68,P70,P72)</f>
        <v>0</v>
      </c>
      <c r="Q65" s="19">
        <f>SUM(O65:P65)</f>
        <v>18943662</v>
      </c>
      <c r="R65" s="56">
        <f>SUM(R66,R68,R70,R72)</f>
        <v>0</v>
      </c>
      <c r="S65" s="19">
        <f>SUM(Q65:R65)</f>
        <v>18943662</v>
      </c>
      <c r="T65" s="56">
        <f>SUM(T66,T68,T70,T72)</f>
        <v>0</v>
      </c>
      <c r="U65" s="19">
        <f>SUM(S65:T65)</f>
        <v>18943662</v>
      </c>
      <c r="V65" s="56">
        <f>SUM(V66,V68,V70,V72)</f>
        <v>0</v>
      </c>
      <c r="W65" s="19">
        <f>SUM(U65:V65)</f>
        <v>18943662</v>
      </c>
      <c r="X65" s="56">
        <f>SUM(X66,X68,X70,X72)</f>
        <v>0</v>
      </c>
      <c r="Y65" s="19">
        <f>SUM(W65:X65)</f>
        <v>18943662</v>
      </c>
    </row>
    <row r="66" spans="1:25" s="26" customFormat="1" ht="24" customHeight="1">
      <c r="A66" s="70"/>
      <c r="B66" s="71" t="s">
        <v>49</v>
      </c>
      <c r="C66" s="77"/>
      <c r="D66" s="74" t="s">
        <v>50</v>
      </c>
      <c r="E66" s="69">
        <f aca="true" t="shared" si="60" ref="E66:Y66">SUM(E67)</f>
        <v>14073448</v>
      </c>
      <c r="F66" s="69">
        <f t="shared" si="60"/>
        <v>0</v>
      </c>
      <c r="G66" s="69">
        <f t="shared" si="60"/>
        <v>14073448</v>
      </c>
      <c r="H66" s="69">
        <f t="shared" si="60"/>
        <v>0</v>
      </c>
      <c r="I66" s="69">
        <f t="shared" si="60"/>
        <v>14073448</v>
      </c>
      <c r="J66" s="69">
        <f t="shared" si="60"/>
        <v>-175597</v>
      </c>
      <c r="K66" s="69">
        <f t="shared" si="60"/>
        <v>13897851</v>
      </c>
      <c r="L66" s="69">
        <f t="shared" si="60"/>
        <v>0</v>
      </c>
      <c r="M66" s="69">
        <f t="shared" si="60"/>
        <v>13897851</v>
      </c>
      <c r="N66" s="69">
        <f t="shared" si="60"/>
        <v>0</v>
      </c>
      <c r="O66" s="69">
        <f t="shared" si="60"/>
        <v>13897851</v>
      </c>
      <c r="P66" s="69">
        <f t="shared" si="60"/>
        <v>0</v>
      </c>
      <c r="Q66" s="69">
        <f t="shared" si="60"/>
        <v>13897851</v>
      </c>
      <c r="R66" s="69">
        <f t="shared" si="60"/>
        <v>0</v>
      </c>
      <c r="S66" s="69">
        <f t="shared" si="60"/>
        <v>13897851</v>
      </c>
      <c r="T66" s="69">
        <f t="shared" si="60"/>
        <v>0</v>
      </c>
      <c r="U66" s="69">
        <f t="shared" si="60"/>
        <v>13897851</v>
      </c>
      <c r="V66" s="69">
        <f t="shared" si="60"/>
        <v>0</v>
      </c>
      <c r="W66" s="69">
        <f t="shared" si="60"/>
        <v>13897851</v>
      </c>
      <c r="X66" s="69">
        <f t="shared" si="60"/>
        <v>0</v>
      </c>
      <c r="Y66" s="69">
        <f t="shared" si="60"/>
        <v>13897851</v>
      </c>
    </row>
    <row r="67" spans="1:25" s="26" customFormat="1" ht="21.75" customHeight="1">
      <c r="A67" s="70"/>
      <c r="B67" s="71"/>
      <c r="C67" s="72">
        <v>2920</v>
      </c>
      <c r="D67" s="74" t="s">
        <v>51</v>
      </c>
      <c r="E67" s="69">
        <v>14073448</v>
      </c>
      <c r="F67" s="69"/>
      <c r="G67" s="195">
        <f t="shared" si="3"/>
        <v>14073448</v>
      </c>
      <c r="H67" s="69"/>
      <c r="I67" s="195">
        <f>SUM(G67:H67)</f>
        <v>14073448</v>
      </c>
      <c r="J67" s="69">
        <v>-175597</v>
      </c>
      <c r="K67" s="195">
        <f>SUM(I67:J67)</f>
        <v>13897851</v>
      </c>
      <c r="L67" s="69"/>
      <c r="M67" s="195">
        <f>SUM(K67:L67)</f>
        <v>13897851</v>
      </c>
      <c r="N67" s="69"/>
      <c r="O67" s="195">
        <f>SUM(M67:N67)</f>
        <v>13897851</v>
      </c>
      <c r="P67" s="69"/>
      <c r="Q67" s="195">
        <f>SUM(O67:P67)</f>
        <v>13897851</v>
      </c>
      <c r="R67" s="69"/>
      <c r="S67" s="195">
        <f>SUM(Q67:R67)</f>
        <v>13897851</v>
      </c>
      <c r="T67" s="69"/>
      <c r="U67" s="195">
        <f>SUM(S67:T67)</f>
        <v>13897851</v>
      </c>
      <c r="V67" s="69"/>
      <c r="W67" s="195">
        <f>SUM(U67:V67)</f>
        <v>13897851</v>
      </c>
      <c r="X67" s="69"/>
      <c r="Y67" s="195">
        <f>SUM(W67:X67)</f>
        <v>13897851</v>
      </c>
    </row>
    <row r="68" spans="1:25" s="26" customFormat="1" ht="21.75" customHeight="1">
      <c r="A68" s="70"/>
      <c r="B68" s="71" t="s">
        <v>193</v>
      </c>
      <c r="C68" s="77"/>
      <c r="D68" s="74" t="s">
        <v>192</v>
      </c>
      <c r="E68" s="69">
        <f aca="true" t="shared" si="61" ref="E68:Y68">SUM(E69)</f>
        <v>4225670</v>
      </c>
      <c r="F68" s="69">
        <f t="shared" si="61"/>
        <v>0</v>
      </c>
      <c r="G68" s="69">
        <f t="shared" si="61"/>
        <v>4225670</v>
      </c>
      <c r="H68" s="69">
        <f t="shared" si="61"/>
        <v>0</v>
      </c>
      <c r="I68" s="69">
        <f t="shared" si="61"/>
        <v>4225670</v>
      </c>
      <c r="J68" s="69">
        <f t="shared" si="61"/>
        <v>0</v>
      </c>
      <c r="K68" s="69">
        <f t="shared" si="61"/>
        <v>4225670</v>
      </c>
      <c r="L68" s="69">
        <f t="shared" si="61"/>
        <v>0</v>
      </c>
      <c r="M68" s="69">
        <f t="shared" si="61"/>
        <v>4225670</v>
      </c>
      <c r="N68" s="69">
        <f t="shared" si="61"/>
        <v>0</v>
      </c>
      <c r="O68" s="69">
        <f t="shared" si="61"/>
        <v>4225670</v>
      </c>
      <c r="P68" s="69">
        <f t="shared" si="61"/>
        <v>0</v>
      </c>
      <c r="Q68" s="69">
        <f t="shared" si="61"/>
        <v>4225670</v>
      </c>
      <c r="R68" s="69">
        <f t="shared" si="61"/>
        <v>0</v>
      </c>
      <c r="S68" s="69">
        <f t="shared" si="61"/>
        <v>4225670</v>
      </c>
      <c r="T68" s="69">
        <f t="shared" si="61"/>
        <v>0</v>
      </c>
      <c r="U68" s="69">
        <f t="shared" si="61"/>
        <v>4225670</v>
      </c>
      <c r="V68" s="69">
        <f t="shared" si="61"/>
        <v>0</v>
      </c>
      <c r="W68" s="69">
        <f t="shared" si="61"/>
        <v>4225670</v>
      </c>
      <c r="X68" s="69">
        <f t="shared" si="61"/>
        <v>0</v>
      </c>
      <c r="Y68" s="69">
        <f t="shared" si="61"/>
        <v>4225670</v>
      </c>
    </row>
    <row r="69" spans="1:25" s="26" customFormat="1" ht="21.75" customHeight="1">
      <c r="A69" s="70"/>
      <c r="B69" s="71"/>
      <c r="C69" s="72">
        <v>2920</v>
      </c>
      <c r="D69" s="74" t="s">
        <v>51</v>
      </c>
      <c r="E69" s="69">
        <v>4225670</v>
      </c>
      <c r="F69" s="69"/>
      <c r="G69" s="209">
        <f t="shared" si="3"/>
        <v>4225670</v>
      </c>
      <c r="H69" s="69"/>
      <c r="I69" s="209">
        <f>SUM(G69:H69)</f>
        <v>4225670</v>
      </c>
      <c r="J69" s="69"/>
      <c r="K69" s="209">
        <f>SUM(I69:J69)</f>
        <v>4225670</v>
      </c>
      <c r="L69" s="69"/>
      <c r="M69" s="209">
        <f>SUM(K69:L69)</f>
        <v>4225670</v>
      </c>
      <c r="N69" s="69"/>
      <c r="O69" s="209">
        <f>SUM(M69:N69)</f>
        <v>4225670</v>
      </c>
      <c r="P69" s="69"/>
      <c r="Q69" s="209">
        <f>SUM(O69:P69)</f>
        <v>4225670</v>
      </c>
      <c r="R69" s="69"/>
      <c r="S69" s="209">
        <f>SUM(Q69:R69)</f>
        <v>4225670</v>
      </c>
      <c r="T69" s="69"/>
      <c r="U69" s="209">
        <f>SUM(S69:T69)</f>
        <v>4225670</v>
      </c>
      <c r="V69" s="69"/>
      <c r="W69" s="209">
        <f>SUM(U69:V69)</f>
        <v>4225670</v>
      </c>
      <c r="X69" s="69"/>
      <c r="Y69" s="209">
        <f>SUM(W69:X69)</f>
        <v>4225670</v>
      </c>
    </row>
    <row r="70" spans="1:25" s="26" customFormat="1" ht="21" customHeight="1">
      <c r="A70" s="70"/>
      <c r="B70" s="71">
        <v>75814</v>
      </c>
      <c r="C70" s="77"/>
      <c r="D70" s="74" t="s">
        <v>52</v>
      </c>
      <c r="E70" s="69">
        <f aca="true" t="shared" si="62" ref="E70:Y70">SUM(E71)</f>
        <v>50000</v>
      </c>
      <c r="F70" s="69">
        <f t="shared" si="62"/>
        <v>0</v>
      </c>
      <c r="G70" s="69">
        <f t="shared" si="62"/>
        <v>50000</v>
      </c>
      <c r="H70" s="69">
        <f t="shared" si="62"/>
        <v>0</v>
      </c>
      <c r="I70" s="69">
        <f t="shared" si="62"/>
        <v>50000</v>
      </c>
      <c r="J70" s="69">
        <f t="shared" si="62"/>
        <v>0</v>
      </c>
      <c r="K70" s="69">
        <f t="shared" si="62"/>
        <v>50000</v>
      </c>
      <c r="L70" s="69">
        <f t="shared" si="62"/>
        <v>0</v>
      </c>
      <c r="M70" s="69">
        <f t="shared" si="62"/>
        <v>50000</v>
      </c>
      <c r="N70" s="69">
        <f t="shared" si="62"/>
        <v>0</v>
      </c>
      <c r="O70" s="69">
        <f t="shared" si="62"/>
        <v>50000</v>
      </c>
      <c r="P70" s="69">
        <f t="shared" si="62"/>
        <v>0</v>
      </c>
      <c r="Q70" s="69">
        <f t="shared" si="62"/>
        <v>50000</v>
      </c>
      <c r="R70" s="69">
        <f t="shared" si="62"/>
        <v>0</v>
      </c>
      <c r="S70" s="69">
        <f t="shared" si="62"/>
        <v>50000</v>
      </c>
      <c r="T70" s="69">
        <f t="shared" si="62"/>
        <v>0</v>
      </c>
      <c r="U70" s="69">
        <f t="shared" si="62"/>
        <v>50000</v>
      </c>
      <c r="V70" s="69">
        <f t="shared" si="62"/>
        <v>0</v>
      </c>
      <c r="W70" s="69">
        <f t="shared" si="62"/>
        <v>50000</v>
      </c>
      <c r="X70" s="69">
        <f t="shared" si="62"/>
        <v>0</v>
      </c>
      <c r="Y70" s="69">
        <f t="shared" si="62"/>
        <v>50000</v>
      </c>
    </row>
    <row r="71" spans="1:25" s="26" customFormat="1" ht="21.75" customHeight="1">
      <c r="A71" s="70"/>
      <c r="B71" s="71"/>
      <c r="C71" s="72" t="s">
        <v>167</v>
      </c>
      <c r="D71" s="74" t="s">
        <v>11</v>
      </c>
      <c r="E71" s="69">
        <v>50000</v>
      </c>
      <c r="F71" s="69"/>
      <c r="G71" s="195">
        <f t="shared" si="3"/>
        <v>50000</v>
      </c>
      <c r="H71" s="69"/>
      <c r="I71" s="195">
        <f>SUM(G71:H71)</f>
        <v>50000</v>
      </c>
      <c r="J71" s="69"/>
      <c r="K71" s="195">
        <f>SUM(I71:J71)</f>
        <v>50000</v>
      </c>
      <c r="L71" s="69"/>
      <c r="M71" s="195">
        <f>SUM(K71:L71)</f>
        <v>50000</v>
      </c>
      <c r="N71" s="69"/>
      <c r="O71" s="195">
        <f>SUM(M71:N71)</f>
        <v>50000</v>
      </c>
      <c r="P71" s="69"/>
      <c r="Q71" s="195">
        <f>SUM(O71:P71)</f>
        <v>50000</v>
      </c>
      <c r="R71" s="69"/>
      <c r="S71" s="195">
        <f>SUM(Q71:R71)</f>
        <v>50000</v>
      </c>
      <c r="T71" s="69"/>
      <c r="U71" s="195">
        <f>SUM(S71:T71)</f>
        <v>50000</v>
      </c>
      <c r="V71" s="69"/>
      <c r="W71" s="195">
        <f>SUM(U71:V71)</f>
        <v>50000</v>
      </c>
      <c r="X71" s="69"/>
      <c r="Y71" s="195">
        <f>SUM(W71:X71)</f>
        <v>50000</v>
      </c>
    </row>
    <row r="72" spans="1:25" s="26" customFormat="1" ht="22.5">
      <c r="A72" s="70"/>
      <c r="B72" s="71" t="s">
        <v>223</v>
      </c>
      <c r="C72" s="77"/>
      <c r="D72" s="74" t="s">
        <v>224</v>
      </c>
      <c r="E72" s="69">
        <f aca="true" t="shared" si="63" ref="E72:Y72">SUM(E73)</f>
        <v>770141</v>
      </c>
      <c r="F72" s="69">
        <f t="shared" si="63"/>
        <v>0</v>
      </c>
      <c r="G72" s="69">
        <f t="shared" si="63"/>
        <v>770141</v>
      </c>
      <c r="H72" s="69">
        <f t="shared" si="63"/>
        <v>0</v>
      </c>
      <c r="I72" s="69">
        <f t="shared" si="63"/>
        <v>770141</v>
      </c>
      <c r="J72" s="69">
        <f t="shared" si="63"/>
        <v>0</v>
      </c>
      <c r="K72" s="69">
        <f t="shared" si="63"/>
        <v>770141</v>
      </c>
      <c r="L72" s="69">
        <f t="shared" si="63"/>
        <v>0</v>
      </c>
      <c r="M72" s="69">
        <f t="shared" si="63"/>
        <v>770141</v>
      </c>
      <c r="N72" s="69">
        <f t="shared" si="63"/>
        <v>0</v>
      </c>
      <c r="O72" s="69">
        <f t="shared" si="63"/>
        <v>770141</v>
      </c>
      <c r="P72" s="69">
        <f t="shared" si="63"/>
        <v>0</v>
      </c>
      <c r="Q72" s="69">
        <f t="shared" si="63"/>
        <v>770141</v>
      </c>
      <c r="R72" s="69">
        <f t="shared" si="63"/>
        <v>0</v>
      </c>
      <c r="S72" s="69">
        <f t="shared" si="63"/>
        <v>770141</v>
      </c>
      <c r="T72" s="69">
        <f t="shared" si="63"/>
        <v>0</v>
      </c>
      <c r="U72" s="69">
        <f t="shared" si="63"/>
        <v>770141</v>
      </c>
      <c r="V72" s="69">
        <f t="shared" si="63"/>
        <v>0</v>
      </c>
      <c r="W72" s="69">
        <f t="shared" si="63"/>
        <v>770141</v>
      </c>
      <c r="X72" s="69">
        <f t="shared" si="63"/>
        <v>0</v>
      </c>
      <c r="Y72" s="69">
        <f t="shared" si="63"/>
        <v>770141</v>
      </c>
    </row>
    <row r="73" spans="1:25" s="26" customFormat="1" ht="21.75" customHeight="1">
      <c r="A73" s="70"/>
      <c r="B73" s="71"/>
      <c r="C73" s="72">
        <v>2920</v>
      </c>
      <c r="D73" s="74" t="s">
        <v>51</v>
      </c>
      <c r="E73" s="69">
        <v>770141</v>
      </c>
      <c r="F73" s="69"/>
      <c r="G73" s="195">
        <f t="shared" si="3"/>
        <v>770141</v>
      </c>
      <c r="H73" s="69"/>
      <c r="I73" s="195">
        <f>SUM(G73:H73)</f>
        <v>770141</v>
      </c>
      <c r="J73" s="69"/>
      <c r="K73" s="195">
        <f>SUM(I73:J73)</f>
        <v>770141</v>
      </c>
      <c r="L73" s="69"/>
      <c r="M73" s="195">
        <f>SUM(K73:L73)</f>
        <v>770141</v>
      </c>
      <c r="N73" s="69"/>
      <c r="O73" s="195">
        <f>SUM(M73:N73)</f>
        <v>770141</v>
      </c>
      <c r="P73" s="69"/>
      <c r="Q73" s="195">
        <f>SUM(O73:P73)</f>
        <v>770141</v>
      </c>
      <c r="R73" s="69"/>
      <c r="S73" s="195">
        <f>SUM(Q73:R73)</f>
        <v>770141</v>
      </c>
      <c r="T73" s="69"/>
      <c r="U73" s="195">
        <f>SUM(S73:T73)</f>
        <v>770141</v>
      </c>
      <c r="V73" s="69"/>
      <c r="W73" s="195">
        <f>SUM(U73:V73)</f>
        <v>770141</v>
      </c>
      <c r="X73" s="69"/>
      <c r="Y73" s="195">
        <f>SUM(W73:X73)</f>
        <v>770141</v>
      </c>
    </row>
    <row r="74" spans="1:25" s="26" customFormat="1" ht="24" customHeight="1">
      <c r="A74" s="36" t="s">
        <v>112</v>
      </c>
      <c r="B74" s="37"/>
      <c r="C74" s="38"/>
      <c r="D74" s="39" t="s">
        <v>113</v>
      </c>
      <c r="E74" s="56">
        <f aca="true" t="shared" si="64" ref="E74:K74">SUM(E75,E82,E84,E92,E89)</f>
        <v>268995</v>
      </c>
      <c r="F74" s="56">
        <f t="shared" si="64"/>
        <v>0</v>
      </c>
      <c r="G74" s="56">
        <f t="shared" si="64"/>
        <v>268995</v>
      </c>
      <c r="H74" s="56">
        <f t="shared" si="64"/>
        <v>0</v>
      </c>
      <c r="I74" s="56">
        <f t="shared" si="64"/>
        <v>268995</v>
      </c>
      <c r="J74" s="56">
        <f t="shared" si="64"/>
        <v>0</v>
      </c>
      <c r="K74" s="56">
        <f t="shared" si="64"/>
        <v>268995</v>
      </c>
      <c r="L74" s="56">
        <f aca="true" t="shared" si="65" ref="L74:Q74">SUM(L75,L82,L84,L92,L89)</f>
        <v>0</v>
      </c>
      <c r="M74" s="56">
        <f t="shared" si="65"/>
        <v>268995</v>
      </c>
      <c r="N74" s="56">
        <f t="shared" si="65"/>
        <v>0</v>
      </c>
      <c r="O74" s="56">
        <f t="shared" si="65"/>
        <v>268995</v>
      </c>
      <c r="P74" s="56">
        <f t="shared" si="65"/>
        <v>0</v>
      </c>
      <c r="Q74" s="56">
        <f t="shared" si="65"/>
        <v>268995</v>
      </c>
      <c r="R74" s="56">
        <f aca="true" t="shared" si="66" ref="R74:W74">SUM(R75,R82,R84,R92,R89)</f>
        <v>6100</v>
      </c>
      <c r="S74" s="56">
        <f t="shared" si="66"/>
        <v>275095</v>
      </c>
      <c r="T74" s="56">
        <f t="shared" si="66"/>
        <v>0</v>
      </c>
      <c r="U74" s="56">
        <f t="shared" si="66"/>
        <v>275095</v>
      </c>
      <c r="V74" s="56">
        <f t="shared" si="66"/>
        <v>1251</v>
      </c>
      <c r="W74" s="56">
        <f t="shared" si="66"/>
        <v>276346</v>
      </c>
      <c r="X74" s="56">
        <f>SUM(X75,X82,X84,X92,X89)</f>
        <v>0</v>
      </c>
      <c r="Y74" s="56">
        <f>SUM(Y75,Y82,Y84,Y92,Y89)</f>
        <v>276346</v>
      </c>
    </row>
    <row r="75" spans="1:25" s="26" customFormat="1" ht="24" customHeight="1">
      <c r="A75" s="65"/>
      <c r="B75" s="79" t="s">
        <v>114</v>
      </c>
      <c r="C75" s="83"/>
      <c r="D75" s="41" t="s">
        <v>53</v>
      </c>
      <c r="E75" s="69">
        <f aca="true" t="shared" si="67" ref="E75:K75">SUM(E76:E80)</f>
        <v>77684</v>
      </c>
      <c r="F75" s="69">
        <f t="shared" si="67"/>
        <v>0</v>
      </c>
      <c r="G75" s="69">
        <f t="shared" si="67"/>
        <v>77684</v>
      </c>
      <c r="H75" s="69">
        <f t="shared" si="67"/>
        <v>0</v>
      </c>
      <c r="I75" s="69">
        <f t="shared" si="67"/>
        <v>77684</v>
      </c>
      <c r="J75" s="69">
        <f t="shared" si="67"/>
        <v>0</v>
      </c>
      <c r="K75" s="69">
        <f t="shared" si="67"/>
        <v>77684</v>
      </c>
      <c r="L75" s="69">
        <f aca="true" t="shared" si="68" ref="L75:Q75">SUM(L76:L80)</f>
        <v>0</v>
      </c>
      <c r="M75" s="69">
        <f t="shared" si="68"/>
        <v>77684</v>
      </c>
      <c r="N75" s="69">
        <f t="shared" si="68"/>
        <v>0</v>
      </c>
      <c r="O75" s="69">
        <f t="shared" si="68"/>
        <v>77684</v>
      </c>
      <c r="P75" s="69">
        <f t="shared" si="68"/>
        <v>0</v>
      </c>
      <c r="Q75" s="69">
        <f t="shared" si="68"/>
        <v>77684</v>
      </c>
      <c r="R75" s="69">
        <f>SUM(R76:R80)</f>
        <v>6100</v>
      </c>
      <c r="S75" s="69">
        <f>SUM(S76:S80)</f>
        <v>83784</v>
      </c>
      <c r="T75" s="69">
        <f>SUM(T76:T80)</f>
        <v>0</v>
      </c>
      <c r="U75" s="69">
        <f>SUM(U76:U81)</f>
        <v>83784</v>
      </c>
      <c r="V75" s="69">
        <f>SUM(V76:V81)</f>
        <v>930</v>
      </c>
      <c r="W75" s="69">
        <f>SUM(W76:W81)</f>
        <v>84714</v>
      </c>
      <c r="X75" s="69">
        <f>SUM(X76:X81)</f>
        <v>0</v>
      </c>
      <c r="Y75" s="69">
        <f>SUM(Y76:Y81)</f>
        <v>84714</v>
      </c>
    </row>
    <row r="76" spans="1:25" s="26" customFormat="1" ht="24" customHeight="1">
      <c r="A76" s="79"/>
      <c r="B76" s="79"/>
      <c r="C76" s="80" t="s">
        <v>189</v>
      </c>
      <c r="D76" s="41" t="s">
        <v>148</v>
      </c>
      <c r="E76" s="69">
        <v>400</v>
      </c>
      <c r="F76" s="69"/>
      <c r="G76" s="195">
        <f t="shared" si="3"/>
        <v>400</v>
      </c>
      <c r="H76" s="69"/>
      <c r="I76" s="195">
        <f>SUM(G76:H76)</f>
        <v>400</v>
      </c>
      <c r="J76" s="69"/>
      <c r="K76" s="195">
        <f>SUM(I76:J76)</f>
        <v>400</v>
      </c>
      <c r="L76" s="69"/>
      <c r="M76" s="195">
        <f>SUM(K76:L76)</f>
        <v>400</v>
      </c>
      <c r="N76" s="69"/>
      <c r="O76" s="195">
        <f>SUM(M76:N76)</f>
        <v>400</v>
      </c>
      <c r="P76" s="69"/>
      <c r="Q76" s="195">
        <f>SUM(O76:P76)</f>
        <v>400</v>
      </c>
      <c r="R76" s="69"/>
      <c r="S76" s="195">
        <f>SUM(Q76:R76)</f>
        <v>400</v>
      </c>
      <c r="T76" s="69"/>
      <c r="U76" s="195">
        <f>SUM(S76:T76)</f>
        <v>400</v>
      </c>
      <c r="V76" s="69"/>
      <c r="W76" s="195">
        <f aca="true" t="shared" si="69" ref="W76:W81">SUM(U76:V76)</f>
        <v>400</v>
      </c>
      <c r="X76" s="69"/>
      <c r="Y76" s="195">
        <f aca="true" t="shared" si="70" ref="Y76:Y81">SUM(W76:X76)</f>
        <v>400</v>
      </c>
    </row>
    <row r="77" spans="1:25" s="26" customFormat="1" ht="67.5">
      <c r="A77" s="79"/>
      <c r="B77" s="65"/>
      <c r="C77" s="80" t="s">
        <v>166</v>
      </c>
      <c r="D77" s="41" t="s">
        <v>57</v>
      </c>
      <c r="E77" s="69">
        <v>48899</v>
      </c>
      <c r="F77" s="69"/>
      <c r="G77" s="195">
        <f t="shared" si="3"/>
        <v>48899</v>
      </c>
      <c r="H77" s="69"/>
      <c r="I77" s="195">
        <f>SUM(G77:H77)</f>
        <v>48899</v>
      </c>
      <c r="J77" s="69"/>
      <c r="K77" s="195">
        <f>SUM(I77:J77)</f>
        <v>48899</v>
      </c>
      <c r="L77" s="69"/>
      <c r="M77" s="195">
        <f>SUM(K77:L77)</f>
        <v>48899</v>
      </c>
      <c r="N77" s="69"/>
      <c r="O77" s="195">
        <f>SUM(M77:N77)</f>
        <v>48899</v>
      </c>
      <c r="P77" s="69"/>
      <c r="Q77" s="195">
        <f>SUM(O77:P77)</f>
        <v>48899</v>
      </c>
      <c r="R77" s="69"/>
      <c r="S77" s="195">
        <f>SUM(Q77:R77)</f>
        <v>48899</v>
      </c>
      <c r="T77" s="69"/>
      <c r="U77" s="195">
        <f>SUM(S77:T77)</f>
        <v>48899</v>
      </c>
      <c r="V77" s="69"/>
      <c r="W77" s="195">
        <f t="shared" si="69"/>
        <v>48899</v>
      </c>
      <c r="X77" s="69"/>
      <c r="Y77" s="195">
        <f t="shared" si="70"/>
        <v>48899</v>
      </c>
    </row>
    <row r="78" spans="1:25" s="26" customFormat="1" ht="23.25" customHeight="1">
      <c r="A78" s="79"/>
      <c r="B78" s="65"/>
      <c r="C78" s="122" t="s">
        <v>167</v>
      </c>
      <c r="D78" s="64" t="s">
        <v>11</v>
      </c>
      <c r="E78" s="69">
        <v>853</v>
      </c>
      <c r="F78" s="69"/>
      <c r="G78" s="195">
        <f>SUM(E78:F78)</f>
        <v>853</v>
      </c>
      <c r="H78" s="69"/>
      <c r="I78" s="195">
        <f>SUM(G78:H78)</f>
        <v>853</v>
      </c>
      <c r="J78" s="69"/>
      <c r="K78" s="195">
        <f>SUM(I78:J78)</f>
        <v>853</v>
      </c>
      <c r="L78" s="69"/>
      <c r="M78" s="195">
        <f>SUM(K78:L78)</f>
        <v>853</v>
      </c>
      <c r="N78" s="69"/>
      <c r="O78" s="195">
        <f>SUM(M78:N78)</f>
        <v>853</v>
      </c>
      <c r="P78" s="69"/>
      <c r="Q78" s="195">
        <f>SUM(O78:P78)</f>
        <v>853</v>
      </c>
      <c r="R78" s="69"/>
      <c r="S78" s="195">
        <f>SUM(Q78:R78)</f>
        <v>853</v>
      </c>
      <c r="T78" s="69"/>
      <c r="U78" s="195">
        <f>SUM(S78:T78)</f>
        <v>853</v>
      </c>
      <c r="V78" s="69"/>
      <c r="W78" s="195">
        <f t="shared" si="69"/>
        <v>853</v>
      </c>
      <c r="X78" s="69"/>
      <c r="Y78" s="195">
        <f t="shared" si="70"/>
        <v>853</v>
      </c>
    </row>
    <row r="79" spans="1:25" s="26" customFormat="1" ht="22.5" customHeight="1">
      <c r="A79" s="79"/>
      <c r="B79" s="65"/>
      <c r="C79" s="122" t="s">
        <v>168</v>
      </c>
      <c r="D79" s="41" t="s">
        <v>12</v>
      </c>
      <c r="E79" s="69">
        <v>22750</v>
      </c>
      <c r="F79" s="69"/>
      <c r="G79" s="195">
        <f>SUM(E79:F79)</f>
        <v>22750</v>
      </c>
      <c r="H79" s="69"/>
      <c r="I79" s="195">
        <f>SUM(G79:H79)</f>
        <v>22750</v>
      </c>
      <c r="J79" s="69"/>
      <c r="K79" s="195">
        <f>SUM(I79:J79)</f>
        <v>22750</v>
      </c>
      <c r="L79" s="69"/>
      <c r="M79" s="195">
        <f>SUM(K79:L79)</f>
        <v>22750</v>
      </c>
      <c r="N79" s="69"/>
      <c r="O79" s="195">
        <f>SUM(M79:N79)</f>
        <v>22750</v>
      </c>
      <c r="P79" s="69"/>
      <c r="Q79" s="195">
        <f>SUM(O79:P79)</f>
        <v>22750</v>
      </c>
      <c r="R79" s="69">
        <v>6100</v>
      </c>
      <c r="S79" s="195">
        <f>SUM(Q79:R79)</f>
        <v>28850</v>
      </c>
      <c r="T79" s="69"/>
      <c r="U79" s="195">
        <f>SUM(S79:T79)</f>
        <v>28850</v>
      </c>
      <c r="V79" s="69">
        <v>600</v>
      </c>
      <c r="W79" s="195">
        <f t="shared" si="69"/>
        <v>29450</v>
      </c>
      <c r="X79" s="69"/>
      <c r="Y79" s="195">
        <f t="shared" si="70"/>
        <v>29450</v>
      </c>
    </row>
    <row r="80" spans="1:25" s="26" customFormat="1" ht="45">
      <c r="A80" s="79"/>
      <c r="B80" s="65"/>
      <c r="C80" s="122">
        <v>2310</v>
      </c>
      <c r="D80" s="41" t="s">
        <v>241</v>
      </c>
      <c r="E80" s="69">
        <v>4782</v>
      </c>
      <c r="F80" s="69"/>
      <c r="G80" s="195">
        <f>SUM(E80:F80)</f>
        <v>4782</v>
      </c>
      <c r="H80" s="69"/>
      <c r="I80" s="195">
        <f>SUM(G80:H80)</f>
        <v>4782</v>
      </c>
      <c r="J80" s="69"/>
      <c r="K80" s="195">
        <f>SUM(I80:J80)</f>
        <v>4782</v>
      </c>
      <c r="L80" s="69"/>
      <c r="M80" s="195">
        <f>SUM(K80:L80)</f>
        <v>4782</v>
      </c>
      <c r="N80" s="69"/>
      <c r="O80" s="195">
        <f>SUM(M80:N80)</f>
        <v>4782</v>
      </c>
      <c r="P80" s="69"/>
      <c r="Q80" s="195">
        <f>SUM(O80:P80)</f>
        <v>4782</v>
      </c>
      <c r="R80" s="69"/>
      <c r="S80" s="195">
        <f>SUM(Q80:R80)</f>
        <v>4782</v>
      </c>
      <c r="T80" s="69"/>
      <c r="U80" s="195">
        <f>SUM(S80:T80)</f>
        <v>4782</v>
      </c>
      <c r="V80" s="69"/>
      <c r="W80" s="195">
        <f t="shared" si="69"/>
        <v>4782</v>
      </c>
      <c r="X80" s="69"/>
      <c r="Y80" s="195">
        <f t="shared" si="70"/>
        <v>4782</v>
      </c>
    </row>
    <row r="81" spans="1:25" s="26" customFormat="1" ht="21.75" customHeight="1">
      <c r="A81" s="79"/>
      <c r="B81" s="65"/>
      <c r="C81" s="122">
        <v>2400</v>
      </c>
      <c r="D81" s="41" t="s">
        <v>465</v>
      </c>
      <c r="E81" s="69"/>
      <c r="F81" s="69"/>
      <c r="G81" s="195"/>
      <c r="H81" s="69"/>
      <c r="I81" s="195"/>
      <c r="J81" s="69"/>
      <c r="K81" s="195"/>
      <c r="L81" s="69"/>
      <c r="M81" s="195"/>
      <c r="N81" s="69"/>
      <c r="O81" s="195"/>
      <c r="P81" s="69"/>
      <c r="Q81" s="195"/>
      <c r="R81" s="69"/>
      <c r="S81" s="195"/>
      <c r="T81" s="69"/>
      <c r="U81" s="195">
        <v>0</v>
      </c>
      <c r="V81" s="69">
        <v>330</v>
      </c>
      <c r="W81" s="195">
        <f t="shared" si="69"/>
        <v>330</v>
      </c>
      <c r="X81" s="69"/>
      <c r="Y81" s="195">
        <f t="shared" si="70"/>
        <v>330</v>
      </c>
    </row>
    <row r="82" spans="1:25" s="26" customFormat="1" ht="24" customHeight="1">
      <c r="A82" s="70"/>
      <c r="B82" s="71">
        <v>80104</v>
      </c>
      <c r="C82" s="72"/>
      <c r="D82" s="41" t="s">
        <v>127</v>
      </c>
      <c r="E82" s="69">
        <f aca="true" t="shared" si="71" ref="E82:Y82">SUM(E83)</f>
        <v>2000</v>
      </c>
      <c r="F82" s="69">
        <f t="shared" si="71"/>
        <v>0</v>
      </c>
      <c r="G82" s="69">
        <f t="shared" si="71"/>
        <v>2000</v>
      </c>
      <c r="H82" s="69">
        <f t="shared" si="71"/>
        <v>0</v>
      </c>
      <c r="I82" s="69">
        <f t="shared" si="71"/>
        <v>2000</v>
      </c>
      <c r="J82" s="69">
        <f t="shared" si="71"/>
        <v>0</v>
      </c>
      <c r="K82" s="69">
        <f t="shared" si="71"/>
        <v>2000</v>
      </c>
      <c r="L82" s="69">
        <f t="shared" si="71"/>
        <v>0</v>
      </c>
      <c r="M82" s="69">
        <f t="shared" si="71"/>
        <v>2000</v>
      </c>
      <c r="N82" s="69">
        <f t="shared" si="71"/>
        <v>0</v>
      </c>
      <c r="O82" s="69">
        <f t="shared" si="71"/>
        <v>2000</v>
      </c>
      <c r="P82" s="69">
        <f t="shared" si="71"/>
        <v>0</v>
      </c>
      <c r="Q82" s="69">
        <f t="shared" si="71"/>
        <v>2000</v>
      </c>
      <c r="R82" s="69">
        <f t="shared" si="71"/>
        <v>0</v>
      </c>
      <c r="S82" s="69">
        <f t="shared" si="71"/>
        <v>2000</v>
      </c>
      <c r="T82" s="69">
        <f t="shared" si="71"/>
        <v>0</v>
      </c>
      <c r="U82" s="69">
        <f t="shared" si="71"/>
        <v>2000</v>
      </c>
      <c r="V82" s="69">
        <f t="shared" si="71"/>
        <v>0</v>
      </c>
      <c r="W82" s="69">
        <f t="shared" si="71"/>
        <v>2000</v>
      </c>
      <c r="X82" s="69">
        <f t="shared" si="71"/>
        <v>0</v>
      </c>
      <c r="Y82" s="69">
        <f t="shared" si="71"/>
        <v>2000</v>
      </c>
    </row>
    <row r="83" spans="1:25" s="26" customFormat="1" ht="67.5">
      <c r="A83" s="70"/>
      <c r="B83" s="71"/>
      <c r="C83" s="72" t="s">
        <v>166</v>
      </c>
      <c r="D83" s="41" t="s">
        <v>57</v>
      </c>
      <c r="E83" s="69">
        <v>2000</v>
      </c>
      <c r="F83" s="69"/>
      <c r="G83" s="195">
        <f>SUM(E83:F83)</f>
        <v>2000</v>
      </c>
      <c r="H83" s="69"/>
      <c r="I83" s="195">
        <f>SUM(G83:H83)</f>
        <v>2000</v>
      </c>
      <c r="J83" s="69"/>
      <c r="K83" s="195">
        <f>SUM(I83:J83)</f>
        <v>2000</v>
      </c>
      <c r="L83" s="69"/>
      <c r="M83" s="195">
        <f>SUM(K83:L83)</f>
        <v>2000</v>
      </c>
      <c r="N83" s="69"/>
      <c r="O83" s="195">
        <f>SUM(M83:N83)</f>
        <v>2000</v>
      </c>
      <c r="P83" s="69"/>
      <c r="Q83" s="195">
        <f>SUM(O83:P83)</f>
        <v>2000</v>
      </c>
      <c r="R83" s="69"/>
      <c r="S83" s="195">
        <f>SUM(Q83:R83)</f>
        <v>2000</v>
      </c>
      <c r="T83" s="69"/>
      <c r="U83" s="195">
        <f>SUM(S83:T83)</f>
        <v>2000</v>
      </c>
      <c r="V83" s="69"/>
      <c r="W83" s="195">
        <f>SUM(U83:V83)</f>
        <v>2000</v>
      </c>
      <c r="X83" s="69"/>
      <c r="Y83" s="195">
        <f>SUM(W83:X83)</f>
        <v>2000</v>
      </c>
    </row>
    <row r="84" spans="1:25" s="26" customFormat="1" ht="24" customHeight="1">
      <c r="A84" s="70"/>
      <c r="B84" s="71">
        <v>80110</v>
      </c>
      <c r="C84" s="72"/>
      <c r="D84" s="41" t="s">
        <v>54</v>
      </c>
      <c r="E84" s="69">
        <f aca="true" t="shared" si="72" ref="E84:K84">SUM(E85:E86)</f>
        <v>8519</v>
      </c>
      <c r="F84" s="69">
        <f t="shared" si="72"/>
        <v>0</v>
      </c>
      <c r="G84" s="69">
        <f t="shared" si="72"/>
        <v>8519</v>
      </c>
      <c r="H84" s="69">
        <f t="shared" si="72"/>
        <v>0</v>
      </c>
      <c r="I84" s="69">
        <f t="shared" si="72"/>
        <v>8519</v>
      </c>
      <c r="J84" s="69">
        <f t="shared" si="72"/>
        <v>0</v>
      </c>
      <c r="K84" s="69">
        <f t="shared" si="72"/>
        <v>8519</v>
      </c>
      <c r="L84" s="69">
        <f aca="true" t="shared" si="73" ref="L84:Q84">SUM(L85:L86)</f>
        <v>0</v>
      </c>
      <c r="M84" s="69">
        <f t="shared" si="73"/>
        <v>8519</v>
      </c>
      <c r="N84" s="69">
        <f t="shared" si="73"/>
        <v>0</v>
      </c>
      <c r="O84" s="69">
        <f t="shared" si="73"/>
        <v>8519</v>
      </c>
      <c r="P84" s="69">
        <f t="shared" si="73"/>
        <v>0</v>
      </c>
      <c r="Q84" s="69">
        <f t="shared" si="73"/>
        <v>8519</v>
      </c>
      <c r="R84" s="69">
        <f>SUM(R85:R86)</f>
        <v>0</v>
      </c>
      <c r="S84" s="69">
        <f>SUM(S85:S86)</f>
        <v>8519</v>
      </c>
      <c r="T84" s="69">
        <f>SUM(T85:T86)</f>
        <v>0</v>
      </c>
      <c r="U84" s="69">
        <f>SUM(U85:U88)</f>
        <v>8519</v>
      </c>
      <c r="V84" s="69">
        <f>SUM(V85:V88)</f>
        <v>321</v>
      </c>
      <c r="W84" s="69">
        <f>SUM(W85:W88)</f>
        <v>8840</v>
      </c>
      <c r="X84" s="69">
        <f>SUM(X85:X88)</f>
        <v>0</v>
      </c>
      <c r="Y84" s="69">
        <f>SUM(Y85:Y88)</f>
        <v>8840</v>
      </c>
    </row>
    <row r="85" spans="1:25" s="26" customFormat="1" ht="67.5">
      <c r="A85" s="70"/>
      <c r="B85" s="71"/>
      <c r="C85" s="72" t="s">
        <v>166</v>
      </c>
      <c r="D85" s="41" t="s">
        <v>57</v>
      </c>
      <c r="E85" s="69">
        <v>8510</v>
      </c>
      <c r="F85" s="69"/>
      <c r="G85" s="195">
        <f>SUM(E85:F85)</f>
        <v>8510</v>
      </c>
      <c r="H85" s="69"/>
      <c r="I85" s="195">
        <f>SUM(G85:H85)</f>
        <v>8510</v>
      </c>
      <c r="J85" s="69"/>
      <c r="K85" s="195">
        <f>SUM(I85:J85)</f>
        <v>8510</v>
      </c>
      <c r="L85" s="69"/>
      <c r="M85" s="195">
        <f>SUM(K85:L85)</f>
        <v>8510</v>
      </c>
      <c r="N85" s="69"/>
      <c r="O85" s="195">
        <f>SUM(M85:N85)</f>
        <v>8510</v>
      </c>
      <c r="P85" s="69"/>
      <c r="Q85" s="195">
        <f>SUM(O85:P85)</f>
        <v>8510</v>
      </c>
      <c r="R85" s="69"/>
      <c r="S85" s="195">
        <f>SUM(Q85:R85)</f>
        <v>8510</v>
      </c>
      <c r="T85" s="69"/>
      <c r="U85" s="195">
        <f>SUM(S85:T85)</f>
        <v>8510</v>
      </c>
      <c r="V85" s="69"/>
      <c r="W85" s="195">
        <f>SUM(U85:V85)</f>
        <v>8510</v>
      </c>
      <c r="X85" s="69"/>
      <c r="Y85" s="195">
        <f>SUM(W85:X85)</f>
        <v>8510</v>
      </c>
    </row>
    <row r="86" spans="1:25" s="26" customFormat="1" ht="22.5" customHeight="1">
      <c r="A86" s="70"/>
      <c r="B86" s="71"/>
      <c r="C86" s="72" t="s">
        <v>167</v>
      </c>
      <c r="D86" s="64" t="s">
        <v>11</v>
      </c>
      <c r="E86" s="69">
        <v>9</v>
      </c>
      <c r="F86" s="69"/>
      <c r="G86" s="195">
        <f>SUM(E86:F86)</f>
        <v>9</v>
      </c>
      <c r="H86" s="69"/>
      <c r="I86" s="195">
        <f>SUM(G86:H86)</f>
        <v>9</v>
      </c>
      <c r="J86" s="69"/>
      <c r="K86" s="195">
        <f>SUM(I86:J86)</f>
        <v>9</v>
      </c>
      <c r="L86" s="69"/>
      <c r="M86" s="195">
        <f>SUM(K86:L86)</f>
        <v>9</v>
      </c>
      <c r="N86" s="69"/>
      <c r="O86" s="195">
        <f>SUM(M86:N86)</f>
        <v>9</v>
      </c>
      <c r="P86" s="69"/>
      <c r="Q86" s="195">
        <f>SUM(O86:P86)</f>
        <v>9</v>
      </c>
      <c r="R86" s="69"/>
      <c r="S86" s="195">
        <f>SUM(Q86:R86)</f>
        <v>9</v>
      </c>
      <c r="T86" s="69"/>
      <c r="U86" s="195">
        <f>SUM(S86:T86)</f>
        <v>9</v>
      </c>
      <c r="V86" s="69"/>
      <c r="W86" s="195">
        <f>SUM(U86:V86)</f>
        <v>9</v>
      </c>
      <c r="X86" s="69"/>
      <c r="Y86" s="195">
        <f>SUM(W86:X86)</f>
        <v>9</v>
      </c>
    </row>
    <row r="87" spans="1:25" s="26" customFormat="1" ht="22.5" customHeight="1">
      <c r="A87" s="70"/>
      <c r="B87" s="71"/>
      <c r="C87" s="72" t="s">
        <v>168</v>
      </c>
      <c r="D87" s="41" t="s">
        <v>12</v>
      </c>
      <c r="E87" s="69"/>
      <c r="F87" s="69"/>
      <c r="G87" s="195"/>
      <c r="H87" s="69"/>
      <c r="I87" s="195"/>
      <c r="J87" s="69"/>
      <c r="K87" s="195"/>
      <c r="L87" s="69"/>
      <c r="M87" s="195"/>
      <c r="N87" s="69"/>
      <c r="O87" s="195"/>
      <c r="P87" s="69"/>
      <c r="Q87" s="195"/>
      <c r="R87" s="69"/>
      <c r="S87" s="195"/>
      <c r="T87" s="69"/>
      <c r="U87" s="195">
        <v>0</v>
      </c>
      <c r="V87" s="69">
        <v>320</v>
      </c>
      <c r="W87" s="195">
        <f>SUM(U87:V87)</f>
        <v>320</v>
      </c>
      <c r="X87" s="69"/>
      <c r="Y87" s="195">
        <f>SUM(W87:X87)</f>
        <v>320</v>
      </c>
    </row>
    <row r="88" spans="1:25" s="26" customFormat="1" ht="22.5" customHeight="1">
      <c r="A88" s="70"/>
      <c r="B88" s="71"/>
      <c r="C88" s="72">
        <v>2400</v>
      </c>
      <c r="D88" s="41" t="s">
        <v>465</v>
      </c>
      <c r="E88" s="69"/>
      <c r="F88" s="69"/>
      <c r="G88" s="195"/>
      <c r="H88" s="69"/>
      <c r="I88" s="195"/>
      <c r="J88" s="69"/>
      <c r="K88" s="195"/>
      <c r="L88" s="69"/>
      <c r="M88" s="195"/>
      <c r="N88" s="69"/>
      <c r="O88" s="195"/>
      <c r="P88" s="69"/>
      <c r="Q88" s="195"/>
      <c r="R88" s="69"/>
      <c r="S88" s="195"/>
      <c r="T88" s="69"/>
      <c r="U88" s="195">
        <v>0</v>
      </c>
      <c r="V88" s="69">
        <v>1</v>
      </c>
      <c r="W88" s="195">
        <f>SUM(U88:V88)</f>
        <v>1</v>
      </c>
      <c r="X88" s="69"/>
      <c r="Y88" s="195">
        <f>SUM(W88:X88)</f>
        <v>1</v>
      </c>
    </row>
    <row r="89" spans="1:25" s="26" customFormat="1" ht="22.5" customHeight="1">
      <c r="A89" s="70"/>
      <c r="B89" s="71">
        <v>80148</v>
      </c>
      <c r="C89" s="72"/>
      <c r="D89" s="64" t="s">
        <v>269</v>
      </c>
      <c r="E89" s="69">
        <f aca="true" t="shared" si="74" ref="E89:K89">SUM(E90:E91)</f>
        <v>129806</v>
      </c>
      <c r="F89" s="69">
        <f t="shared" si="74"/>
        <v>0</v>
      </c>
      <c r="G89" s="69">
        <f t="shared" si="74"/>
        <v>129806</v>
      </c>
      <c r="H89" s="69">
        <f t="shared" si="74"/>
        <v>0</v>
      </c>
      <c r="I89" s="69">
        <f t="shared" si="74"/>
        <v>129806</v>
      </c>
      <c r="J89" s="69">
        <f t="shared" si="74"/>
        <v>0</v>
      </c>
      <c r="K89" s="69">
        <f t="shared" si="74"/>
        <v>129806</v>
      </c>
      <c r="L89" s="69">
        <f aca="true" t="shared" si="75" ref="L89:Q89">SUM(L90:L91)</f>
        <v>0</v>
      </c>
      <c r="M89" s="69">
        <f t="shared" si="75"/>
        <v>129806</v>
      </c>
      <c r="N89" s="69">
        <f t="shared" si="75"/>
        <v>0</v>
      </c>
      <c r="O89" s="69">
        <f t="shared" si="75"/>
        <v>129806</v>
      </c>
      <c r="P89" s="69">
        <f t="shared" si="75"/>
        <v>0</v>
      </c>
      <c r="Q89" s="69">
        <f t="shared" si="75"/>
        <v>129806</v>
      </c>
      <c r="R89" s="69">
        <f aca="true" t="shared" si="76" ref="R89:W89">SUM(R90:R91)</f>
        <v>0</v>
      </c>
      <c r="S89" s="69">
        <f t="shared" si="76"/>
        <v>129806</v>
      </c>
      <c r="T89" s="69">
        <f t="shared" si="76"/>
        <v>0</v>
      </c>
      <c r="U89" s="69">
        <f t="shared" si="76"/>
        <v>129806</v>
      </c>
      <c r="V89" s="69">
        <f t="shared" si="76"/>
        <v>0</v>
      </c>
      <c r="W89" s="69">
        <f t="shared" si="76"/>
        <v>129806</v>
      </c>
      <c r="X89" s="69">
        <f>SUM(X90:X91)</f>
        <v>0</v>
      </c>
      <c r="Y89" s="69">
        <f>SUM(Y90:Y91)</f>
        <v>129806</v>
      </c>
    </row>
    <row r="90" spans="1:25" s="26" customFormat="1" ht="22.5" customHeight="1">
      <c r="A90" s="70"/>
      <c r="B90" s="71"/>
      <c r="C90" s="72" t="s">
        <v>203</v>
      </c>
      <c r="D90" s="64" t="s">
        <v>204</v>
      </c>
      <c r="E90" s="69">
        <v>129800</v>
      </c>
      <c r="F90" s="69"/>
      <c r="G90" s="195">
        <f>SUM(E90:F90)</f>
        <v>129800</v>
      </c>
      <c r="H90" s="69"/>
      <c r="I90" s="195">
        <f>SUM(G90:H90)</f>
        <v>129800</v>
      </c>
      <c r="J90" s="69"/>
      <c r="K90" s="195">
        <f>SUM(I90:J90)</f>
        <v>129800</v>
      </c>
      <c r="L90" s="69"/>
      <c r="M90" s="195">
        <f>SUM(K90:L90)</f>
        <v>129800</v>
      </c>
      <c r="N90" s="69"/>
      <c r="O90" s="195">
        <f>SUM(M90:N90)</f>
        <v>129800</v>
      </c>
      <c r="P90" s="69"/>
      <c r="Q90" s="195">
        <f>SUM(O90:P90)</f>
        <v>129800</v>
      </c>
      <c r="R90" s="69"/>
      <c r="S90" s="195">
        <f>SUM(Q90:R90)</f>
        <v>129800</v>
      </c>
      <c r="T90" s="69"/>
      <c r="U90" s="195">
        <f>SUM(S90:T90)</f>
        <v>129800</v>
      </c>
      <c r="V90" s="69"/>
      <c r="W90" s="195">
        <f>SUM(U90:V90)</f>
        <v>129800</v>
      </c>
      <c r="X90" s="69"/>
      <c r="Y90" s="195">
        <f>SUM(W90:X90)</f>
        <v>129800</v>
      </c>
    </row>
    <row r="91" spans="1:25" s="26" customFormat="1" ht="22.5" customHeight="1">
      <c r="A91" s="70"/>
      <c r="B91" s="71"/>
      <c r="C91" s="72" t="s">
        <v>167</v>
      </c>
      <c r="D91" s="64" t="s">
        <v>11</v>
      </c>
      <c r="E91" s="69">
        <v>6</v>
      </c>
      <c r="F91" s="69"/>
      <c r="G91" s="195">
        <f>SUM(E91:F91)</f>
        <v>6</v>
      </c>
      <c r="H91" s="69"/>
      <c r="I91" s="195">
        <f>SUM(G91:H91)</f>
        <v>6</v>
      </c>
      <c r="J91" s="69"/>
      <c r="K91" s="195">
        <f>SUM(I91:J91)</f>
        <v>6</v>
      </c>
      <c r="L91" s="69"/>
      <c r="M91" s="195">
        <f>SUM(K91:L91)</f>
        <v>6</v>
      </c>
      <c r="N91" s="69"/>
      <c r="O91" s="195">
        <f>SUM(M91:N91)</f>
        <v>6</v>
      </c>
      <c r="P91" s="69"/>
      <c r="Q91" s="195">
        <f>SUM(O91:P91)</f>
        <v>6</v>
      </c>
      <c r="R91" s="69"/>
      <c r="S91" s="195">
        <f>SUM(Q91:R91)</f>
        <v>6</v>
      </c>
      <c r="T91" s="69"/>
      <c r="U91" s="195">
        <f>SUM(S91:T91)</f>
        <v>6</v>
      </c>
      <c r="V91" s="69"/>
      <c r="W91" s="195">
        <f>SUM(U91:V91)</f>
        <v>6</v>
      </c>
      <c r="X91" s="69"/>
      <c r="Y91" s="195">
        <f>SUM(W91:X91)</f>
        <v>6</v>
      </c>
    </row>
    <row r="92" spans="1:25" s="26" customFormat="1" ht="24" customHeight="1">
      <c r="A92" s="70"/>
      <c r="B92" s="71">
        <v>80195</v>
      </c>
      <c r="C92" s="72"/>
      <c r="D92" s="64" t="s">
        <v>6</v>
      </c>
      <c r="E92" s="69">
        <f aca="true" t="shared" si="77" ref="E92:Y92">SUM(E93)</f>
        <v>50986</v>
      </c>
      <c r="F92" s="69">
        <f t="shared" si="77"/>
        <v>0</v>
      </c>
      <c r="G92" s="69">
        <f t="shared" si="77"/>
        <v>50986</v>
      </c>
      <c r="H92" s="69">
        <f t="shared" si="77"/>
        <v>0</v>
      </c>
      <c r="I92" s="69">
        <f t="shared" si="77"/>
        <v>50986</v>
      </c>
      <c r="J92" s="69">
        <f t="shared" si="77"/>
        <v>0</v>
      </c>
      <c r="K92" s="69">
        <f t="shared" si="77"/>
        <v>50986</v>
      </c>
      <c r="L92" s="69">
        <f t="shared" si="77"/>
        <v>0</v>
      </c>
      <c r="M92" s="69">
        <f t="shared" si="77"/>
        <v>50986</v>
      </c>
      <c r="N92" s="69">
        <f t="shared" si="77"/>
        <v>0</v>
      </c>
      <c r="O92" s="69">
        <f t="shared" si="77"/>
        <v>50986</v>
      </c>
      <c r="P92" s="69">
        <f t="shared" si="77"/>
        <v>0</v>
      </c>
      <c r="Q92" s="69">
        <f t="shared" si="77"/>
        <v>50986</v>
      </c>
      <c r="R92" s="69">
        <f t="shared" si="77"/>
        <v>0</v>
      </c>
      <c r="S92" s="69">
        <f t="shared" si="77"/>
        <v>50986</v>
      </c>
      <c r="T92" s="69">
        <f t="shared" si="77"/>
        <v>0</v>
      </c>
      <c r="U92" s="69">
        <f t="shared" si="77"/>
        <v>50986</v>
      </c>
      <c r="V92" s="69">
        <f t="shared" si="77"/>
        <v>0</v>
      </c>
      <c r="W92" s="69">
        <f t="shared" si="77"/>
        <v>50986</v>
      </c>
      <c r="X92" s="69">
        <f t="shared" si="77"/>
        <v>0</v>
      </c>
      <c r="Y92" s="69">
        <f t="shared" si="77"/>
        <v>50986</v>
      </c>
    </row>
    <row r="93" spans="1:25" s="26" customFormat="1" ht="33.75">
      <c r="A93" s="70"/>
      <c r="B93" s="71"/>
      <c r="C93" s="72">
        <v>2030</v>
      </c>
      <c r="D93" s="74" t="s">
        <v>221</v>
      </c>
      <c r="E93" s="69">
        <v>50986</v>
      </c>
      <c r="F93" s="69"/>
      <c r="G93" s="195">
        <f>SUM(E93:F93)</f>
        <v>50986</v>
      </c>
      <c r="H93" s="69"/>
      <c r="I93" s="195">
        <f>SUM(G93:H93)</f>
        <v>50986</v>
      </c>
      <c r="J93" s="69"/>
      <c r="K93" s="195">
        <f>SUM(I93:J93)</f>
        <v>50986</v>
      </c>
      <c r="L93" s="69"/>
      <c r="M93" s="195">
        <f>SUM(K93:L93)</f>
        <v>50986</v>
      </c>
      <c r="N93" s="69"/>
      <c r="O93" s="195">
        <f>SUM(M93:N93)</f>
        <v>50986</v>
      </c>
      <c r="P93" s="69"/>
      <c r="Q93" s="195">
        <f>SUM(O93:P93)</f>
        <v>50986</v>
      </c>
      <c r="R93" s="69"/>
      <c r="S93" s="195">
        <f>SUM(Q93:R93)</f>
        <v>50986</v>
      </c>
      <c r="T93" s="69"/>
      <c r="U93" s="195">
        <f>SUM(S93:T93)</f>
        <v>50986</v>
      </c>
      <c r="V93" s="69"/>
      <c r="W93" s="195">
        <f>SUM(U93:V93)</f>
        <v>50986</v>
      </c>
      <c r="X93" s="69"/>
      <c r="Y93" s="195">
        <f>SUM(W93:X93)</f>
        <v>50986</v>
      </c>
    </row>
    <row r="94" spans="1:25" s="8" customFormat="1" ht="24.75" customHeight="1">
      <c r="A94" s="31" t="s">
        <v>159</v>
      </c>
      <c r="B94" s="4"/>
      <c r="C94" s="5"/>
      <c r="D94" s="32" t="s">
        <v>195</v>
      </c>
      <c r="E94" s="56">
        <f aca="true" t="shared" si="78" ref="E94:K94">SUM(E95,E97,E99,E103,E108,)</f>
        <v>9133600</v>
      </c>
      <c r="F94" s="56">
        <f t="shared" si="78"/>
        <v>0</v>
      </c>
      <c r="G94" s="56">
        <f t="shared" si="78"/>
        <v>9133600</v>
      </c>
      <c r="H94" s="56">
        <f t="shared" si="78"/>
        <v>0</v>
      </c>
      <c r="I94" s="56">
        <f t="shared" si="78"/>
        <v>9133600</v>
      </c>
      <c r="J94" s="56">
        <f t="shared" si="78"/>
        <v>312600</v>
      </c>
      <c r="K94" s="56">
        <f t="shared" si="78"/>
        <v>9446200</v>
      </c>
      <c r="L94" s="56">
        <f aca="true" t="shared" si="79" ref="L94:Q94">SUM(L95,L97,L99,L103,L108,)</f>
        <v>13050</v>
      </c>
      <c r="M94" s="56">
        <f t="shared" si="79"/>
        <v>9459250</v>
      </c>
      <c r="N94" s="56">
        <f t="shared" si="79"/>
        <v>75000</v>
      </c>
      <c r="O94" s="56">
        <f t="shared" si="79"/>
        <v>9534250</v>
      </c>
      <c r="P94" s="56">
        <f t="shared" si="79"/>
        <v>0</v>
      </c>
      <c r="Q94" s="56">
        <f t="shared" si="79"/>
        <v>9534250</v>
      </c>
      <c r="R94" s="56">
        <f aca="true" t="shared" si="80" ref="R94:W94">SUM(R95,R97,R99,R103,R108,)</f>
        <v>0</v>
      </c>
      <c r="S94" s="56">
        <f t="shared" si="80"/>
        <v>9534250</v>
      </c>
      <c r="T94" s="56">
        <f t="shared" si="80"/>
        <v>0</v>
      </c>
      <c r="U94" s="56">
        <f t="shared" si="80"/>
        <v>9534250</v>
      </c>
      <c r="V94" s="56">
        <f t="shared" si="80"/>
        <v>2750</v>
      </c>
      <c r="W94" s="56">
        <f t="shared" si="80"/>
        <v>9537000</v>
      </c>
      <c r="X94" s="56">
        <f>SUM(X95,X97,X99,X103,X108,)</f>
        <v>0</v>
      </c>
      <c r="Y94" s="56">
        <f>SUM(Y95,Y97,Y99,Y103,Y108,)</f>
        <v>9537000</v>
      </c>
    </row>
    <row r="95" spans="1:25" s="26" customFormat="1" ht="45">
      <c r="A95" s="70"/>
      <c r="B95" s="48">
        <v>85212</v>
      </c>
      <c r="C95" s="76"/>
      <c r="D95" s="74" t="s">
        <v>388</v>
      </c>
      <c r="E95" s="69">
        <f aca="true" t="shared" si="81" ref="E95:Y95">SUM(E96:E96)</f>
        <v>6479100</v>
      </c>
      <c r="F95" s="69">
        <f t="shared" si="81"/>
        <v>0</v>
      </c>
      <c r="G95" s="69">
        <f t="shared" si="81"/>
        <v>6479100</v>
      </c>
      <c r="H95" s="69">
        <f t="shared" si="81"/>
        <v>0</v>
      </c>
      <c r="I95" s="69">
        <f t="shared" si="81"/>
        <v>6479100</v>
      </c>
      <c r="J95" s="69">
        <f t="shared" si="81"/>
        <v>334300</v>
      </c>
      <c r="K95" s="69">
        <f t="shared" si="81"/>
        <v>6813400</v>
      </c>
      <c r="L95" s="69">
        <f t="shared" si="81"/>
        <v>0</v>
      </c>
      <c r="M95" s="69">
        <f t="shared" si="81"/>
        <v>6813400</v>
      </c>
      <c r="N95" s="69">
        <f t="shared" si="81"/>
        <v>0</v>
      </c>
      <c r="O95" s="69">
        <f t="shared" si="81"/>
        <v>6813400</v>
      </c>
      <c r="P95" s="69">
        <f t="shared" si="81"/>
        <v>0</v>
      </c>
      <c r="Q95" s="69">
        <f t="shared" si="81"/>
        <v>6813400</v>
      </c>
      <c r="R95" s="69">
        <f t="shared" si="81"/>
        <v>0</v>
      </c>
      <c r="S95" s="69">
        <f t="shared" si="81"/>
        <v>6813400</v>
      </c>
      <c r="T95" s="69">
        <f t="shared" si="81"/>
        <v>0</v>
      </c>
      <c r="U95" s="69">
        <f t="shared" si="81"/>
        <v>6813400</v>
      </c>
      <c r="V95" s="69">
        <f t="shared" si="81"/>
        <v>0</v>
      </c>
      <c r="W95" s="69">
        <f t="shared" si="81"/>
        <v>6813400</v>
      </c>
      <c r="X95" s="69">
        <f t="shared" si="81"/>
        <v>0</v>
      </c>
      <c r="Y95" s="69">
        <f t="shared" si="81"/>
        <v>6813400</v>
      </c>
    </row>
    <row r="96" spans="1:25" s="26" customFormat="1" ht="56.25">
      <c r="A96" s="70"/>
      <c r="B96" s="48"/>
      <c r="C96" s="76">
        <v>2010</v>
      </c>
      <c r="D96" s="74" t="s">
        <v>220</v>
      </c>
      <c r="E96" s="69">
        <v>6479100</v>
      </c>
      <c r="F96" s="69"/>
      <c r="G96" s="195">
        <f>SUM(E96:F96)</f>
        <v>6479100</v>
      </c>
      <c r="H96" s="69"/>
      <c r="I96" s="195">
        <f>SUM(G96:H96)</f>
        <v>6479100</v>
      </c>
      <c r="J96" s="69">
        <v>334300</v>
      </c>
      <c r="K96" s="195">
        <f>SUM(I96:J96)</f>
        <v>6813400</v>
      </c>
      <c r="L96" s="69"/>
      <c r="M96" s="195">
        <f>SUM(K96:L96)</f>
        <v>6813400</v>
      </c>
      <c r="N96" s="69"/>
      <c r="O96" s="195">
        <f>SUM(M96:N96)</f>
        <v>6813400</v>
      </c>
      <c r="P96" s="69"/>
      <c r="Q96" s="195">
        <f>SUM(O96:P96)</f>
        <v>6813400</v>
      </c>
      <c r="R96" s="69"/>
      <c r="S96" s="195">
        <f>SUM(Q96:R96)</f>
        <v>6813400</v>
      </c>
      <c r="T96" s="69"/>
      <c r="U96" s="195">
        <f>SUM(S96:T96)</f>
        <v>6813400</v>
      </c>
      <c r="V96" s="69"/>
      <c r="W96" s="195">
        <f>SUM(U96:V96)</f>
        <v>6813400</v>
      </c>
      <c r="X96" s="69"/>
      <c r="Y96" s="195">
        <f>SUM(W96:X96)</f>
        <v>6813400</v>
      </c>
    </row>
    <row r="97" spans="1:25" s="26" customFormat="1" ht="46.5" customHeight="1">
      <c r="A97" s="70"/>
      <c r="B97" s="48">
        <v>85213</v>
      </c>
      <c r="C97" s="77"/>
      <c r="D97" s="74" t="s">
        <v>337</v>
      </c>
      <c r="E97" s="69">
        <f aca="true" t="shared" si="82" ref="E97:Y97">SUM(E98)</f>
        <v>59100</v>
      </c>
      <c r="F97" s="69">
        <f t="shared" si="82"/>
        <v>0</v>
      </c>
      <c r="G97" s="69">
        <f t="shared" si="82"/>
        <v>59100</v>
      </c>
      <c r="H97" s="69">
        <f t="shared" si="82"/>
        <v>0</v>
      </c>
      <c r="I97" s="69">
        <f t="shared" si="82"/>
        <v>59100</v>
      </c>
      <c r="J97" s="69">
        <f t="shared" si="82"/>
        <v>-4100</v>
      </c>
      <c r="K97" s="69">
        <f t="shared" si="82"/>
        <v>55000</v>
      </c>
      <c r="L97" s="69">
        <f t="shared" si="82"/>
        <v>0</v>
      </c>
      <c r="M97" s="69">
        <f t="shared" si="82"/>
        <v>55000</v>
      </c>
      <c r="N97" s="69">
        <f t="shared" si="82"/>
        <v>0</v>
      </c>
      <c r="O97" s="69">
        <f t="shared" si="82"/>
        <v>55000</v>
      </c>
      <c r="P97" s="69">
        <f t="shared" si="82"/>
        <v>0</v>
      </c>
      <c r="Q97" s="69">
        <f t="shared" si="82"/>
        <v>55000</v>
      </c>
      <c r="R97" s="69">
        <f t="shared" si="82"/>
        <v>0</v>
      </c>
      <c r="S97" s="69">
        <f t="shared" si="82"/>
        <v>55000</v>
      </c>
      <c r="T97" s="69">
        <f t="shared" si="82"/>
        <v>0</v>
      </c>
      <c r="U97" s="69">
        <f t="shared" si="82"/>
        <v>55000</v>
      </c>
      <c r="V97" s="69">
        <f t="shared" si="82"/>
        <v>0</v>
      </c>
      <c r="W97" s="69">
        <f t="shared" si="82"/>
        <v>55000</v>
      </c>
      <c r="X97" s="69">
        <f t="shared" si="82"/>
        <v>0</v>
      </c>
      <c r="Y97" s="69">
        <f t="shared" si="82"/>
        <v>55000</v>
      </c>
    </row>
    <row r="98" spans="1:25" s="26" customFormat="1" ht="56.25">
      <c r="A98" s="70"/>
      <c r="B98" s="48"/>
      <c r="C98" s="77">
        <v>2010</v>
      </c>
      <c r="D98" s="74" t="s">
        <v>220</v>
      </c>
      <c r="E98" s="69">
        <v>59100</v>
      </c>
      <c r="F98" s="69"/>
      <c r="G98" s="195">
        <f>SUM(E98:F98)</f>
        <v>59100</v>
      </c>
      <c r="H98" s="69"/>
      <c r="I98" s="195">
        <f>SUM(G98:H98)</f>
        <v>59100</v>
      </c>
      <c r="J98" s="69">
        <v>-4100</v>
      </c>
      <c r="K98" s="195">
        <f>SUM(I98:J98)</f>
        <v>55000</v>
      </c>
      <c r="L98" s="69"/>
      <c r="M98" s="195">
        <f>SUM(K98:L98)</f>
        <v>55000</v>
      </c>
      <c r="N98" s="69"/>
      <c r="O98" s="195">
        <f>SUM(M98:N98)</f>
        <v>55000</v>
      </c>
      <c r="P98" s="69"/>
      <c r="Q98" s="195">
        <f>SUM(O98:P98)</f>
        <v>55000</v>
      </c>
      <c r="R98" s="69"/>
      <c r="S98" s="195">
        <f>SUM(Q98:R98)</f>
        <v>55000</v>
      </c>
      <c r="T98" s="69"/>
      <c r="U98" s="195">
        <f>SUM(S98:T98)</f>
        <v>55000</v>
      </c>
      <c r="V98" s="69"/>
      <c r="W98" s="195">
        <f>SUM(U98:V98)</f>
        <v>55000</v>
      </c>
      <c r="X98" s="69"/>
      <c r="Y98" s="195">
        <f>SUM(W98:X98)</f>
        <v>55000</v>
      </c>
    </row>
    <row r="99" spans="1:25" s="26" customFormat="1" ht="26.25" customHeight="1">
      <c r="A99" s="70"/>
      <c r="B99" s="71" t="s">
        <v>160</v>
      </c>
      <c r="C99" s="77"/>
      <c r="D99" s="74" t="s">
        <v>58</v>
      </c>
      <c r="E99" s="69">
        <f aca="true" t="shared" si="83" ref="E99:K99">SUM(E100:E102)</f>
        <v>1126700</v>
      </c>
      <c r="F99" s="69">
        <f t="shared" si="83"/>
        <v>0</v>
      </c>
      <c r="G99" s="69">
        <f t="shared" si="83"/>
        <v>1126700</v>
      </c>
      <c r="H99" s="69">
        <f t="shared" si="83"/>
        <v>0</v>
      </c>
      <c r="I99" s="69">
        <f t="shared" si="83"/>
        <v>1126700</v>
      </c>
      <c r="J99" s="69">
        <f t="shared" si="83"/>
        <v>-17600</v>
      </c>
      <c r="K99" s="69">
        <f t="shared" si="83"/>
        <v>1109100</v>
      </c>
      <c r="L99" s="69">
        <f aca="true" t="shared" si="84" ref="L99:Q99">SUM(L100:L102)</f>
        <v>0</v>
      </c>
      <c r="M99" s="69">
        <f t="shared" si="84"/>
        <v>1109100</v>
      </c>
      <c r="N99" s="69">
        <f t="shared" si="84"/>
        <v>0</v>
      </c>
      <c r="O99" s="69">
        <f t="shared" si="84"/>
        <v>1109100</v>
      </c>
      <c r="P99" s="69">
        <f t="shared" si="84"/>
        <v>0</v>
      </c>
      <c r="Q99" s="69">
        <f t="shared" si="84"/>
        <v>1109100</v>
      </c>
      <c r="R99" s="69">
        <f aca="true" t="shared" si="85" ref="R99:W99">SUM(R100:R102)</f>
        <v>0</v>
      </c>
      <c r="S99" s="69">
        <f t="shared" si="85"/>
        <v>1109100</v>
      </c>
      <c r="T99" s="69">
        <f t="shared" si="85"/>
        <v>0</v>
      </c>
      <c r="U99" s="69">
        <f t="shared" si="85"/>
        <v>1109100</v>
      </c>
      <c r="V99" s="69">
        <f t="shared" si="85"/>
        <v>1400</v>
      </c>
      <c r="W99" s="69">
        <f t="shared" si="85"/>
        <v>1110500</v>
      </c>
      <c r="X99" s="69">
        <f>SUM(X100:X102)</f>
        <v>0</v>
      </c>
      <c r="Y99" s="69">
        <f>SUM(Y100:Y102)</f>
        <v>1110500</v>
      </c>
    </row>
    <row r="100" spans="1:25" s="26" customFormat="1" ht="26.25" customHeight="1">
      <c r="A100" s="70"/>
      <c r="B100" s="71"/>
      <c r="C100" s="76" t="s">
        <v>203</v>
      </c>
      <c r="D100" s="74" t="s">
        <v>204</v>
      </c>
      <c r="E100" s="69">
        <v>2600</v>
      </c>
      <c r="F100" s="69"/>
      <c r="G100" s="195">
        <f>SUM(E100:F100)</f>
        <v>2600</v>
      </c>
      <c r="H100" s="69"/>
      <c r="I100" s="195">
        <f>SUM(G100:H100)</f>
        <v>2600</v>
      </c>
      <c r="J100" s="69"/>
      <c r="K100" s="195">
        <f>SUM(I100:J100)</f>
        <v>2600</v>
      </c>
      <c r="L100" s="69"/>
      <c r="M100" s="195">
        <f>SUM(K100:L100)</f>
        <v>2600</v>
      </c>
      <c r="N100" s="69"/>
      <c r="O100" s="195">
        <f>SUM(M100:N100)</f>
        <v>2600</v>
      </c>
      <c r="P100" s="69"/>
      <c r="Q100" s="195">
        <f>SUM(O100:P100)</f>
        <v>2600</v>
      </c>
      <c r="R100" s="69"/>
      <c r="S100" s="195">
        <f>SUM(Q100:R100)</f>
        <v>2600</v>
      </c>
      <c r="T100" s="69"/>
      <c r="U100" s="195">
        <f>SUM(S100:T100)</f>
        <v>2600</v>
      </c>
      <c r="V100" s="69">
        <v>1400</v>
      </c>
      <c r="W100" s="195">
        <f>SUM(U100:V100)</f>
        <v>4000</v>
      </c>
      <c r="X100" s="69"/>
      <c r="Y100" s="195">
        <f>SUM(W100:X100)</f>
        <v>4000</v>
      </c>
    </row>
    <row r="101" spans="1:25" s="26" customFormat="1" ht="67.5" customHeight="1">
      <c r="A101" s="70"/>
      <c r="B101" s="71"/>
      <c r="C101" s="72">
        <v>2010</v>
      </c>
      <c r="D101" s="74" t="s">
        <v>220</v>
      </c>
      <c r="E101" s="69">
        <v>468000</v>
      </c>
      <c r="F101" s="69"/>
      <c r="G101" s="195">
        <f>SUM(E101:F101)</f>
        <v>468000</v>
      </c>
      <c r="H101" s="69"/>
      <c r="I101" s="195">
        <f>SUM(G101:H101)</f>
        <v>468000</v>
      </c>
      <c r="J101" s="69">
        <v>50700</v>
      </c>
      <c r="K101" s="195">
        <f>SUM(I101:J101)</f>
        <v>518700</v>
      </c>
      <c r="L101" s="69"/>
      <c r="M101" s="195">
        <f>SUM(K101:L101)</f>
        <v>518700</v>
      </c>
      <c r="N101" s="69"/>
      <c r="O101" s="195">
        <f>SUM(M101:N101)</f>
        <v>518700</v>
      </c>
      <c r="P101" s="69"/>
      <c r="Q101" s="195">
        <f>SUM(O101:P101)</f>
        <v>518700</v>
      </c>
      <c r="R101" s="69"/>
      <c r="S101" s="195">
        <f>SUM(Q101:R101)</f>
        <v>518700</v>
      </c>
      <c r="T101" s="69"/>
      <c r="U101" s="195">
        <f>SUM(S101:T101)</f>
        <v>518700</v>
      </c>
      <c r="V101" s="69"/>
      <c r="W101" s="195">
        <f>SUM(U101:V101)</f>
        <v>518700</v>
      </c>
      <c r="X101" s="69"/>
      <c r="Y101" s="195">
        <f>SUM(W101:X101)</f>
        <v>518700</v>
      </c>
    </row>
    <row r="102" spans="1:25" s="26" customFormat="1" ht="48.75" customHeight="1">
      <c r="A102" s="70"/>
      <c r="B102" s="71"/>
      <c r="C102" s="72">
        <v>2030</v>
      </c>
      <c r="D102" s="74" t="s">
        <v>221</v>
      </c>
      <c r="E102" s="69">
        <v>656100</v>
      </c>
      <c r="F102" s="69"/>
      <c r="G102" s="195">
        <f>SUM(E102:F102)</f>
        <v>656100</v>
      </c>
      <c r="H102" s="69"/>
      <c r="I102" s="195">
        <f>SUM(G102:H102)</f>
        <v>656100</v>
      </c>
      <c r="J102" s="69">
        <v>-68300</v>
      </c>
      <c r="K102" s="195">
        <f>SUM(I102:J102)</f>
        <v>587800</v>
      </c>
      <c r="L102" s="69"/>
      <c r="M102" s="195">
        <f>SUM(K102:L102)</f>
        <v>587800</v>
      </c>
      <c r="N102" s="69"/>
      <c r="O102" s="195">
        <f>SUM(M102:N102)</f>
        <v>587800</v>
      </c>
      <c r="P102" s="69"/>
      <c r="Q102" s="195">
        <f>SUM(O102:P102)</f>
        <v>587800</v>
      </c>
      <c r="R102" s="69"/>
      <c r="S102" s="195">
        <f>SUM(Q102:R102)</f>
        <v>587800</v>
      </c>
      <c r="T102" s="69"/>
      <c r="U102" s="195">
        <f>SUM(S102:T102)</f>
        <v>587800</v>
      </c>
      <c r="V102" s="69"/>
      <c r="W102" s="195">
        <f>SUM(U102:V102)</f>
        <v>587800</v>
      </c>
      <c r="X102" s="69"/>
      <c r="Y102" s="195">
        <f>SUM(W102:X102)</f>
        <v>587800</v>
      </c>
    </row>
    <row r="103" spans="1:25" s="26" customFormat="1" ht="24" customHeight="1">
      <c r="A103" s="70"/>
      <c r="B103" s="71" t="s">
        <v>161</v>
      </c>
      <c r="C103" s="77"/>
      <c r="D103" s="74" t="s">
        <v>60</v>
      </c>
      <c r="E103" s="69">
        <f aca="true" t="shared" si="86" ref="E103:K103">SUM(E104:E107)</f>
        <v>602400</v>
      </c>
      <c r="F103" s="69">
        <f t="shared" si="86"/>
        <v>0</v>
      </c>
      <c r="G103" s="69">
        <f t="shared" si="86"/>
        <v>602400</v>
      </c>
      <c r="H103" s="69">
        <f t="shared" si="86"/>
        <v>0</v>
      </c>
      <c r="I103" s="69">
        <f t="shared" si="86"/>
        <v>602400</v>
      </c>
      <c r="J103" s="69">
        <f t="shared" si="86"/>
        <v>0</v>
      </c>
      <c r="K103" s="69">
        <f t="shared" si="86"/>
        <v>602400</v>
      </c>
      <c r="L103" s="69">
        <f aca="true" t="shared" si="87" ref="L103:Q103">SUM(L104:L107)</f>
        <v>13050</v>
      </c>
      <c r="M103" s="69">
        <f t="shared" si="87"/>
        <v>615450</v>
      </c>
      <c r="N103" s="69">
        <f t="shared" si="87"/>
        <v>0</v>
      </c>
      <c r="O103" s="69">
        <f t="shared" si="87"/>
        <v>615450</v>
      </c>
      <c r="P103" s="69">
        <f t="shared" si="87"/>
        <v>0</v>
      </c>
      <c r="Q103" s="69">
        <f t="shared" si="87"/>
        <v>615450</v>
      </c>
      <c r="R103" s="69">
        <f aca="true" t="shared" si="88" ref="R103:W103">SUM(R104:R107)</f>
        <v>0</v>
      </c>
      <c r="S103" s="69">
        <f t="shared" si="88"/>
        <v>615450</v>
      </c>
      <c r="T103" s="69">
        <f t="shared" si="88"/>
        <v>0</v>
      </c>
      <c r="U103" s="69">
        <f t="shared" si="88"/>
        <v>615450</v>
      </c>
      <c r="V103" s="69">
        <f t="shared" si="88"/>
        <v>1350</v>
      </c>
      <c r="W103" s="69">
        <f t="shared" si="88"/>
        <v>616800</v>
      </c>
      <c r="X103" s="69">
        <f>SUM(X104:X107)</f>
        <v>0</v>
      </c>
      <c r="Y103" s="69">
        <f>SUM(Y104:Y107)</f>
        <v>616800</v>
      </c>
    </row>
    <row r="104" spans="1:25" s="26" customFormat="1" ht="76.5" customHeight="1">
      <c r="A104" s="70"/>
      <c r="B104" s="71"/>
      <c r="C104" s="76" t="s">
        <v>166</v>
      </c>
      <c r="D104" s="41" t="s">
        <v>57</v>
      </c>
      <c r="E104" s="69">
        <v>2800</v>
      </c>
      <c r="F104" s="69"/>
      <c r="G104" s="195">
        <f>SUM(E104:F104)</f>
        <v>2800</v>
      </c>
      <c r="H104" s="69"/>
      <c r="I104" s="195">
        <f>SUM(G104:H104)</f>
        <v>2800</v>
      </c>
      <c r="J104" s="69"/>
      <c r="K104" s="195">
        <f>SUM(I104:J104)</f>
        <v>2800</v>
      </c>
      <c r="L104" s="69"/>
      <c r="M104" s="195">
        <f>SUM(K104:L104)</f>
        <v>2800</v>
      </c>
      <c r="N104" s="69"/>
      <c r="O104" s="195">
        <f>SUM(M104:N104)</f>
        <v>2800</v>
      </c>
      <c r="P104" s="69"/>
      <c r="Q104" s="195">
        <f>SUM(O104:P104)</f>
        <v>2800</v>
      </c>
      <c r="R104" s="69"/>
      <c r="S104" s="195">
        <f>SUM(Q104:R104)</f>
        <v>2800</v>
      </c>
      <c r="T104" s="69"/>
      <c r="U104" s="195">
        <f>SUM(S104:T104)</f>
        <v>2800</v>
      </c>
      <c r="V104" s="69"/>
      <c r="W104" s="195">
        <f>SUM(U104:V104)</f>
        <v>2800</v>
      </c>
      <c r="X104" s="69"/>
      <c r="Y104" s="195">
        <f>SUM(W104:X104)</f>
        <v>2800</v>
      </c>
    </row>
    <row r="105" spans="1:25" s="26" customFormat="1" ht="21.75" customHeight="1">
      <c r="A105" s="70"/>
      <c r="B105" s="71"/>
      <c r="C105" s="76" t="s">
        <v>167</v>
      </c>
      <c r="D105" s="74" t="s">
        <v>11</v>
      </c>
      <c r="E105" s="69">
        <v>1800</v>
      </c>
      <c r="F105" s="69"/>
      <c r="G105" s="195">
        <f>SUM(E105:F105)</f>
        <v>1800</v>
      </c>
      <c r="H105" s="69"/>
      <c r="I105" s="195">
        <f>SUM(G105:H105)</f>
        <v>1800</v>
      </c>
      <c r="J105" s="69"/>
      <c r="K105" s="195">
        <f>SUM(I105:J105)</f>
        <v>1800</v>
      </c>
      <c r="L105" s="69"/>
      <c r="M105" s="195">
        <f>SUM(K105:L105)</f>
        <v>1800</v>
      </c>
      <c r="N105" s="69"/>
      <c r="O105" s="195">
        <f>SUM(M105:N105)</f>
        <v>1800</v>
      </c>
      <c r="P105" s="69"/>
      <c r="Q105" s="195">
        <f>SUM(O105:P105)</f>
        <v>1800</v>
      </c>
      <c r="R105" s="69"/>
      <c r="S105" s="195">
        <f>SUM(Q105:R105)</f>
        <v>1800</v>
      </c>
      <c r="T105" s="69"/>
      <c r="U105" s="195">
        <f>SUM(S105:T105)</f>
        <v>1800</v>
      </c>
      <c r="V105" s="69"/>
      <c r="W105" s="195">
        <f>SUM(U105:V105)</f>
        <v>1800</v>
      </c>
      <c r="X105" s="69"/>
      <c r="Y105" s="195">
        <f>SUM(W105:X105)</f>
        <v>1800</v>
      </c>
    </row>
    <row r="106" spans="1:25" s="26" customFormat="1" ht="21.75" customHeight="1">
      <c r="A106" s="70"/>
      <c r="B106" s="71"/>
      <c r="C106" s="76" t="s">
        <v>168</v>
      </c>
      <c r="D106" s="41" t="s">
        <v>12</v>
      </c>
      <c r="E106" s="69"/>
      <c r="F106" s="69"/>
      <c r="G106" s="195"/>
      <c r="H106" s="69"/>
      <c r="I106" s="195"/>
      <c r="J106" s="69"/>
      <c r="K106" s="195"/>
      <c r="L106" s="69"/>
      <c r="M106" s="195"/>
      <c r="N106" s="69"/>
      <c r="O106" s="195"/>
      <c r="P106" s="69"/>
      <c r="Q106" s="195"/>
      <c r="R106" s="69"/>
      <c r="S106" s="195"/>
      <c r="T106" s="69"/>
      <c r="U106" s="195">
        <v>0</v>
      </c>
      <c r="V106" s="69">
        <v>1350</v>
      </c>
      <c r="W106" s="195">
        <f>SUM(U106:V106)</f>
        <v>1350</v>
      </c>
      <c r="X106" s="69"/>
      <c r="Y106" s="195">
        <f>SUM(W106:X106)</f>
        <v>1350</v>
      </c>
    </row>
    <row r="107" spans="1:25" s="26" customFormat="1" ht="33.75">
      <c r="A107" s="70"/>
      <c r="B107" s="71"/>
      <c r="C107" s="72">
        <v>2030</v>
      </c>
      <c r="D107" s="74" t="s">
        <v>221</v>
      </c>
      <c r="E107" s="69">
        <v>597800</v>
      </c>
      <c r="F107" s="69"/>
      <c r="G107" s="195">
        <f>SUM(E107:F107)</f>
        <v>597800</v>
      </c>
      <c r="H107" s="69"/>
      <c r="I107" s="195">
        <f>SUM(G107:H107)</f>
        <v>597800</v>
      </c>
      <c r="J107" s="69"/>
      <c r="K107" s="195">
        <f>SUM(I107:J107)</f>
        <v>597800</v>
      </c>
      <c r="L107" s="69">
        <v>13050</v>
      </c>
      <c r="M107" s="195">
        <f>SUM(K107:L107)</f>
        <v>610850</v>
      </c>
      <c r="N107" s="69"/>
      <c r="O107" s="195">
        <f>SUM(M107:N107)</f>
        <v>610850</v>
      </c>
      <c r="P107" s="69"/>
      <c r="Q107" s="195">
        <f>SUM(O107:P107)</f>
        <v>610850</v>
      </c>
      <c r="R107" s="69"/>
      <c r="S107" s="195">
        <f>SUM(Q107:R107)</f>
        <v>610850</v>
      </c>
      <c r="T107" s="69"/>
      <c r="U107" s="195">
        <f>SUM(S107:T107)</f>
        <v>610850</v>
      </c>
      <c r="V107" s="69"/>
      <c r="W107" s="195">
        <f>SUM(U107:V107)</f>
        <v>610850</v>
      </c>
      <c r="X107" s="69"/>
      <c r="Y107" s="195">
        <f>SUM(W107:X107)</f>
        <v>610850</v>
      </c>
    </row>
    <row r="108" spans="1:25" s="26" customFormat="1" ht="24" customHeight="1">
      <c r="A108" s="70"/>
      <c r="B108" s="71">
        <v>85295</v>
      </c>
      <c r="C108" s="72"/>
      <c r="D108" s="74" t="s">
        <v>211</v>
      </c>
      <c r="E108" s="69">
        <f aca="true" t="shared" si="89" ref="E108:K108">SUM(E109:E110)</f>
        <v>866300</v>
      </c>
      <c r="F108" s="69">
        <f t="shared" si="89"/>
        <v>0</v>
      </c>
      <c r="G108" s="69">
        <f t="shared" si="89"/>
        <v>866300</v>
      </c>
      <c r="H108" s="69">
        <f t="shared" si="89"/>
        <v>0</v>
      </c>
      <c r="I108" s="69">
        <f t="shared" si="89"/>
        <v>866300</v>
      </c>
      <c r="J108" s="69">
        <f t="shared" si="89"/>
        <v>0</v>
      </c>
      <c r="K108" s="69">
        <f t="shared" si="89"/>
        <v>866300</v>
      </c>
      <c r="L108" s="69">
        <f aca="true" t="shared" si="90" ref="L108:Q108">SUM(L109:L110)</f>
        <v>0</v>
      </c>
      <c r="M108" s="69">
        <f t="shared" si="90"/>
        <v>866300</v>
      </c>
      <c r="N108" s="69">
        <f t="shared" si="90"/>
        <v>75000</v>
      </c>
      <c r="O108" s="69">
        <f t="shared" si="90"/>
        <v>941300</v>
      </c>
      <c r="P108" s="69">
        <f t="shared" si="90"/>
        <v>0</v>
      </c>
      <c r="Q108" s="69">
        <f t="shared" si="90"/>
        <v>941300</v>
      </c>
      <c r="R108" s="69">
        <f aca="true" t="shared" si="91" ref="R108:W108">SUM(R109:R110)</f>
        <v>0</v>
      </c>
      <c r="S108" s="69">
        <f t="shared" si="91"/>
        <v>941300</v>
      </c>
      <c r="T108" s="69">
        <f t="shared" si="91"/>
        <v>0</v>
      </c>
      <c r="U108" s="69">
        <f t="shared" si="91"/>
        <v>941300</v>
      </c>
      <c r="V108" s="69">
        <f t="shared" si="91"/>
        <v>0</v>
      </c>
      <c r="W108" s="69">
        <f t="shared" si="91"/>
        <v>941300</v>
      </c>
      <c r="X108" s="69">
        <f>SUM(X109:X110)</f>
        <v>0</v>
      </c>
      <c r="Y108" s="69">
        <f>SUM(Y109:Y110)</f>
        <v>941300</v>
      </c>
    </row>
    <row r="109" spans="1:25" s="26" customFormat="1" ht="24" customHeight="1">
      <c r="A109" s="70"/>
      <c r="B109" s="71"/>
      <c r="C109" s="76" t="s">
        <v>203</v>
      </c>
      <c r="D109" s="74" t="s">
        <v>204</v>
      </c>
      <c r="E109" s="69">
        <v>325000</v>
      </c>
      <c r="F109" s="69"/>
      <c r="G109" s="195">
        <f>SUM(E109:F109)</f>
        <v>325000</v>
      </c>
      <c r="H109" s="69"/>
      <c r="I109" s="195">
        <f>SUM(G109:H109)</f>
        <v>325000</v>
      </c>
      <c r="J109" s="69"/>
      <c r="K109" s="195">
        <f>SUM(I109:J109)</f>
        <v>325000</v>
      </c>
      <c r="L109" s="69"/>
      <c r="M109" s="195">
        <f>SUM(K109:L109)</f>
        <v>325000</v>
      </c>
      <c r="N109" s="69"/>
      <c r="O109" s="195">
        <f>SUM(M109:N109)</f>
        <v>325000</v>
      </c>
      <c r="P109" s="69"/>
      <c r="Q109" s="195">
        <f>SUM(O109:P109)</f>
        <v>325000</v>
      </c>
      <c r="R109" s="69"/>
      <c r="S109" s="195">
        <f>SUM(Q109:R109)</f>
        <v>325000</v>
      </c>
      <c r="T109" s="69"/>
      <c r="U109" s="195">
        <f>SUM(S109:T109)</f>
        <v>325000</v>
      </c>
      <c r="V109" s="69"/>
      <c r="W109" s="195">
        <f>SUM(U109:V109)</f>
        <v>325000</v>
      </c>
      <c r="X109" s="69"/>
      <c r="Y109" s="195">
        <f>SUM(W109:X109)</f>
        <v>325000</v>
      </c>
    </row>
    <row r="110" spans="1:25" s="26" customFormat="1" ht="33.75">
      <c r="A110" s="70"/>
      <c r="B110" s="71"/>
      <c r="C110" s="72">
        <v>2030</v>
      </c>
      <c r="D110" s="74" t="s">
        <v>221</v>
      </c>
      <c r="E110" s="69">
        <v>541300</v>
      </c>
      <c r="F110" s="69"/>
      <c r="G110" s="195">
        <f>SUM(E110:F110)</f>
        <v>541300</v>
      </c>
      <c r="H110" s="69"/>
      <c r="I110" s="195">
        <f>SUM(G110:H110)</f>
        <v>541300</v>
      </c>
      <c r="J110" s="69"/>
      <c r="K110" s="195">
        <f>SUM(I110:J110)</f>
        <v>541300</v>
      </c>
      <c r="L110" s="69"/>
      <c r="M110" s="195">
        <f>SUM(K110:L110)</f>
        <v>541300</v>
      </c>
      <c r="N110" s="69">
        <v>75000</v>
      </c>
      <c r="O110" s="195">
        <f>SUM(M110:N110)</f>
        <v>616300</v>
      </c>
      <c r="P110" s="69"/>
      <c r="Q110" s="195">
        <f>SUM(O110:P110)</f>
        <v>616300</v>
      </c>
      <c r="R110" s="69"/>
      <c r="S110" s="195">
        <f>SUM(Q110:R110)</f>
        <v>616300</v>
      </c>
      <c r="T110" s="69"/>
      <c r="U110" s="195">
        <f>SUM(S110:T110)</f>
        <v>616300</v>
      </c>
      <c r="V110" s="69"/>
      <c r="W110" s="195">
        <f>SUM(U110:V110)</f>
        <v>616300</v>
      </c>
      <c r="X110" s="69"/>
      <c r="Y110" s="195">
        <f>SUM(W110:X110)</f>
        <v>616300</v>
      </c>
    </row>
    <row r="111" spans="1:25" s="145" customFormat="1" ht="24" customHeight="1">
      <c r="A111" s="227">
        <v>853</v>
      </c>
      <c r="B111" s="245"/>
      <c r="C111" s="246"/>
      <c r="D111" s="251" t="s">
        <v>323</v>
      </c>
      <c r="E111" s="247"/>
      <c r="F111" s="247"/>
      <c r="G111" s="248"/>
      <c r="H111" s="247"/>
      <c r="I111" s="248"/>
      <c r="J111" s="247"/>
      <c r="K111" s="248"/>
      <c r="L111" s="247"/>
      <c r="M111" s="248"/>
      <c r="N111" s="247"/>
      <c r="O111" s="248"/>
      <c r="P111" s="247"/>
      <c r="Q111" s="248"/>
      <c r="R111" s="247"/>
      <c r="S111" s="248"/>
      <c r="T111" s="247"/>
      <c r="U111" s="248">
        <f>SUM(U112)</f>
        <v>0</v>
      </c>
      <c r="V111" s="248">
        <f>SUM(V112)</f>
        <v>175585</v>
      </c>
      <c r="W111" s="248">
        <f>SUM(W112)</f>
        <v>175585</v>
      </c>
      <c r="X111" s="248">
        <f>SUM(X112)</f>
        <v>0</v>
      </c>
      <c r="Y111" s="248">
        <f>SUM(Y112)</f>
        <v>175585</v>
      </c>
    </row>
    <row r="112" spans="1:25" s="26" customFormat="1" ht="23.25" customHeight="1">
      <c r="A112" s="70"/>
      <c r="B112" s="71">
        <v>85395</v>
      </c>
      <c r="C112" s="72"/>
      <c r="D112" s="74" t="s">
        <v>6</v>
      </c>
      <c r="E112" s="69"/>
      <c r="F112" s="69"/>
      <c r="G112" s="195"/>
      <c r="H112" s="69"/>
      <c r="I112" s="195"/>
      <c r="J112" s="69"/>
      <c r="K112" s="195"/>
      <c r="L112" s="69"/>
      <c r="M112" s="195"/>
      <c r="N112" s="69"/>
      <c r="O112" s="195"/>
      <c r="P112" s="69"/>
      <c r="Q112" s="195"/>
      <c r="R112" s="69"/>
      <c r="S112" s="195"/>
      <c r="T112" s="69"/>
      <c r="U112" s="195">
        <f>SUM(U113:U114)</f>
        <v>0</v>
      </c>
      <c r="V112" s="195">
        <f>SUM(V113:V114)</f>
        <v>175585</v>
      </c>
      <c r="W112" s="195">
        <f>SUM(W113:W114)</f>
        <v>175585</v>
      </c>
      <c r="X112" s="195">
        <f>SUM(X113:X114)</f>
        <v>0</v>
      </c>
      <c r="Y112" s="195">
        <f>SUM(Y113:Y114)</f>
        <v>175585</v>
      </c>
    </row>
    <row r="113" spans="1:25" s="26" customFormat="1" ht="56.25">
      <c r="A113" s="70"/>
      <c r="B113" s="71"/>
      <c r="C113" s="72">
        <v>2708</v>
      </c>
      <c r="D113" s="74" t="s">
        <v>455</v>
      </c>
      <c r="E113" s="69"/>
      <c r="F113" s="69"/>
      <c r="G113" s="195"/>
      <c r="H113" s="69"/>
      <c r="I113" s="195"/>
      <c r="J113" s="69"/>
      <c r="K113" s="195"/>
      <c r="L113" s="69"/>
      <c r="M113" s="195"/>
      <c r="N113" s="69"/>
      <c r="O113" s="195"/>
      <c r="P113" s="69"/>
      <c r="Q113" s="195"/>
      <c r="R113" s="69"/>
      <c r="S113" s="195"/>
      <c r="T113" s="69"/>
      <c r="U113" s="195">
        <v>0</v>
      </c>
      <c r="V113" s="69">
        <f>166757</f>
        <v>166757</v>
      </c>
      <c r="W113" s="195">
        <f>SUM(U113:V113)</f>
        <v>166757</v>
      </c>
      <c r="X113" s="69"/>
      <c r="Y113" s="195">
        <f>SUM(W113:X113)</f>
        <v>166757</v>
      </c>
    </row>
    <row r="114" spans="1:25" s="26" customFormat="1" ht="56.25">
      <c r="A114" s="70"/>
      <c r="B114" s="71"/>
      <c r="C114" s="72">
        <v>2709</v>
      </c>
      <c r="D114" s="74" t="s">
        <v>455</v>
      </c>
      <c r="E114" s="69"/>
      <c r="F114" s="69"/>
      <c r="G114" s="195"/>
      <c r="H114" s="69"/>
      <c r="I114" s="195"/>
      <c r="J114" s="69"/>
      <c r="K114" s="195"/>
      <c r="L114" s="69"/>
      <c r="M114" s="195"/>
      <c r="N114" s="69"/>
      <c r="O114" s="195"/>
      <c r="P114" s="69"/>
      <c r="Q114" s="195"/>
      <c r="R114" s="69"/>
      <c r="S114" s="195"/>
      <c r="T114" s="69"/>
      <c r="U114" s="195">
        <v>0</v>
      </c>
      <c r="V114" s="69">
        <v>8828</v>
      </c>
      <c r="W114" s="195">
        <f>SUM(U114:V114)</f>
        <v>8828</v>
      </c>
      <c r="X114" s="69"/>
      <c r="Y114" s="195">
        <f>SUM(W114:X114)</f>
        <v>8828</v>
      </c>
    </row>
    <row r="115" spans="1:25" s="145" customFormat="1" ht="22.5" customHeight="1">
      <c r="A115" s="227">
        <v>854</v>
      </c>
      <c r="B115" s="245"/>
      <c r="C115" s="246"/>
      <c r="D115" s="39" t="s">
        <v>61</v>
      </c>
      <c r="E115" s="247"/>
      <c r="F115" s="247"/>
      <c r="G115" s="248">
        <f aca="true" t="shared" si="92" ref="G115:X116">SUM(G116)</f>
        <v>0</v>
      </c>
      <c r="H115" s="248">
        <f t="shared" si="92"/>
        <v>252163</v>
      </c>
      <c r="I115" s="248">
        <f t="shared" si="92"/>
        <v>252163</v>
      </c>
      <c r="J115" s="248">
        <f t="shared" si="92"/>
        <v>0</v>
      </c>
      <c r="K115" s="248">
        <f t="shared" si="92"/>
        <v>252163</v>
      </c>
      <c r="L115" s="248">
        <f t="shared" si="92"/>
        <v>0</v>
      </c>
      <c r="M115" s="248">
        <f t="shared" si="92"/>
        <v>252163</v>
      </c>
      <c r="N115" s="248">
        <f t="shared" si="92"/>
        <v>0</v>
      </c>
      <c r="O115" s="248">
        <f t="shared" si="92"/>
        <v>252163</v>
      </c>
      <c r="P115" s="248">
        <f t="shared" si="92"/>
        <v>0</v>
      </c>
      <c r="Q115" s="248">
        <f t="shared" si="92"/>
        <v>252163</v>
      </c>
      <c r="R115" s="248">
        <f t="shared" si="92"/>
        <v>0</v>
      </c>
      <c r="S115" s="248">
        <f t="shared" si="92"/>
        <v>252163</v>
      </c>
      <c r="T115" s="248">
        <f t="shared" si="92"/>
        <v>0</v>
      </c>
      <c r="U115" s="248">
        <f t="shared" si="92"/>
        <v>252163</v>
      </c>
      <c r="V115" s="248">
        <f t="shared" si="92"/>
        <v>0</v>
      </c>
      <c r="W115" s="248">
        <f>SUM(W116)</f>
        <v>252163</v>
      </c>
      <c r="X115" s="248">
        <f t="shared" si="92"/>
        <v>51940</v>
      </c>
      <c r="Y115" s="248">
        <f>SUM(Y116)</f>
        <v>304103</v>
      </c>
    </row>
    <row r="116" spans="1:25" s="26" customFormat="1" ht="22.5" customHeight="1">
      <c r="A116" s="70"/>
      <c r="B116" s="71">
        <v>85415</v>
      </c>
      <c r="C116" s="72"/>
      <c r="D116" s="41" t="s">
        <v>239</v>
      </c>
      <c r="E116" s="69"/>
      <c r="F116" s="69"/>
      <c r="G116" s="82">
        <f t="shared" si="92"/>
        <v>0</v>
      </c>
      <c r="H116" s="82">
        <f t="shared" si="92"/>
        <v>252163</v>
      </c>
      <c r="I116" s="82">
        <f t="shared" si="92"/>
        <v>252163</v>
      </c>
      <c r="J116" s="82">
        <f t="shared" si="92"/>
        <v>0</v>
      </c>
      <c r="K116" s="82">
        <f t="shared" si="92"/>
        <v>252163</v>
      </c>
      <c r="L116" s="82">
        <f t="shared" si="92"/>
        <v>0</v>
      </c>
      <c r="M116" s="82">
        <f t="shared" si="92"/>
        <v>252163</v>
      </c>
      <c r="N116" s="82">
        <f t="shared" si="92"/>
        <v>0</v>
      </c>
      <c r="O116" s="82">
        <f t="shared" si="92"/>
        <v>252163</v>
      </c>
      <c r="P116" s="82">
        <f t="shared" si="92"/>
        <v>0</v>
      </c>
      <c r="Q116" s="82">
        <f t="shared" si="92"/>
        <v>252163</v>
      </c>
      <c r="R116" s="82">
        <f t="shared" si="92"/>
        <v>0</v>
      </c>
      <c r="S116" s="82">
        <f t="shared" si="92"/>
        <v>252163</v>
      </c>
      <c r="T116" s="82">
        <f t="shared" si="92"/>
        <v>0</v>
      </c>
      <c r="U116" s="82">
        <f t="shared" si="92"/>
        <v>252163</v>
      </c>
      <c r="V116" s="82">
        <f>SUM(V117)</f>
        <v>0</v>
      </c>
      <c r="W116" s="82">
        <f>SUM(W117)</f>
        <v>252163</v>
      </c>
      <c r="X116" s="82">
        <f>SUM(X117)</f>
        <v>51940</v>
      </c>
      <c r="Y116" s="82">
        <f>SUM(Y117)</f>
        <v>304103</v>
      </c>
    </row>
    <row r="117" spans="1:25" s="26" customFormat="1" ht="33.75">
      <c r="A117" s="70"/>
      <c r="B117" s="71"/>
      <c r="C117" s="72">
        <v>2030</v>
      </c>
      <c r="D117" s="74" t="s">
        <v>221</v>
      </c>
      <c r="E117" s="69"/>
      <c r="F117" s="69"/>
      <c r="G117" s="82">
        <v>0</v>
      </c>
      <c r="H117" s="69">
        <v>252163</v>
      </c>
      <c r="I117" s="82">
        <f>SUM(G117:H117)</f>
        <v>252163</v>
      </c>
      <c r="J117" s="69"/>
      <c r="K117" s="82">
        <f>SUM(I117:J117)</f>
        <v>252163</v>
      </c>
      <c r="L117" s="69"/>
      <c r="M117" s="82">
        <f>SUM(K117:L117)</f>
        <v>252163</v>
      </c>
      <c r="N117" s="69"/>
      <c r="O117" s="82">
        <f>SUM(M117:N117)</f>
        <v>252163</v>
      </c>
      <c r="P117" s="69"/>
      <c r="Q117" s="82">
        <f>SUM(O117:P117)</f>
        <v>252163</v>
      </c>
      <c r="R117" s="69"/>
      <c r="S117" s="82">
        <f>SUM(Q117:R117)</f>
        <v>252163</v>
      </c>
      <c r="T117" s="69"/>
      <c r="U117" s="82">
        <f>SUM(S117:T117)</f>
        <v>252163</v>
      </c>
      <c r="V117" s="69"/>
      <c r="W117" s="82">
        <f>SUM(U117:V117)</f>
        <v>252163</v>
      </c>
      <c r="X117" s="69">
        <v>51940</v>
      </c>
      <c r="Y117" s="82">
        <f>SUM(W117:X117)</f>
        <v>304103</v>
      </c>
    </row>
    <row r="118" spans="1:25" s="9" customFormat="1" ht="24" customHeight="1">
      <c r="A118" s="31">
        <v>900</v>
      </c>
      <c r="B118" s="34"/>
      <c r="C118" s="35"/>
      <c r="D118" s="32" t="s">
        <v>63</v>
      </c>
      <c r="E118" s="56">
        <f aca="true" t="shared" si="93" ref="E118:K118">SUM(E121,E119)</f>
        <v>16000</v>
      </c>
      <c r="F118" s="56">
        <f t="shared" si="93"/>
        <v>0</v>
      </c>
      <c r="G118" s="56">
        <f t="shared" si="93"/>
        <v>16000</v>
      </c>
      <c r="H118" s="56">
        <f t="shared" si="93"/>
        <v>0</v>
      </c>
      <c r="I118" s="56">
        <f t="shared" si="93"/>
        <v>16000</v>
      </c>
      <c r="J118" s="56">
        <f t="shared" si="93"/>
        <v>0</v>
      </c>
      <c r="K118" s="56">
        <f t="shared" si="93"/>
        <v>16000</v>
      </c>
      <c r="L118" s="56">
        <f aca="true" t="shared" si="94" ref="L118:Q118">SUM(L121,L119)</f>
        <v>0</v>
      </c>
      <c r="M118" s="56">
        <f t="shared" si="94"/>
        <v>16000</v>
      </c>
      <c r="N118" s="56">
        <f t="shared" si="94"/>
        <v>0</v>
      </c>
      <c r="O118" s="56">
        <f t="shared" si="94"/>
        <v>16000</v>
      </c>
      <c r="P118" s="56">
        <f t="shared" si="94"/>
        <v>0</v>
      </c>
      <c r="Q118" s="56">
        <f t="shared" si="94"/>
        <v>16000</v>
      </c>
      <c r="R118" s="56">
        <f aca="true" t="shared" si="95" ref="R118:W118">SUM(R121,R119)</f>
        <v>0</v>
      </c>
      <c r="S118" s="56">
        <f t="shared" si="95"/>
        <v>16000</v>
      </c>
      <c r="T118" s="56">
        <f t="shared" si="95"/>
        <v>0</v>
      </c>
      <c r="U118" s="56">
        <f t="shared" si="95"/>
        <v>16000</v>
      </c>
      <c r="V118" s="56">
        <f t="shared" si="95"/>
        <v>0</v>
      </c>
      <c r="W118" s="56">
        <f t="shared" si="95"/>
        <v>16000</v>
      </c>
      <c r="X118" s="56">
        <f>SUM(X121,X119)</f>
        <v>0</v>
      </c>
      <c r="Y118" s="56">
        <f>SUM(Y121,Y119)</f>
        <v>16000</v>
      </c>
    </row>
    <row r="119" spans="1:25" s="185" customFormat="1" ht="24" customHeight="1">
      <c r="A119" s="188"/>
      <c r="B119" s="189">
        <v>90001</v>
      </c>
      <c r="C119" s="190"/>
      <c r="D119" s="41" t="s">
        <v>64</v>
      </c>
      <c r="E119" s="191">
        <f aca="true" t="shared" si="96" ref="E119:Y119">SUM(E120)</f>
        <v>10000</v>
      </c>
      <c r="F119" s="191">
        <f t="shared" si="96"/>
        <v>0</v>
      </c>
      <c r="G119" s="191">
        <f t="shared" si="96"/>
        <v>10000</v>
      </c>
      <c r="H119" s="191">
        <f t="shared" si="96"/>
        <v>0</v>
      </c>
      <c r="I119" s="191">
        <f t="shared" si="96"/>
        <v>10000</v>
      </c>
      <c r="J119" s="191">
        <f t="shared" si="96"/>
        <v>0</v>
      </c>
      <c r="K119" s="191">
        <f t="shared" si="96"/>
        <v>10000</v>
      </c>
      <c r="L119" s="191">
        <f t="shared" si="96"/>
        <v>0</v>
      </c>
      <c r="M119" s="191">
        <f t="shared" si="96"/>
        <v>10000</v>
      </c>
      <c r="N119" s="191">
        <f t="shared" si="96"/>
        <v>0</v>
      </c>
      <c r="O119" s="191">
        <f t="shared" si="96"/>
        <v>10000</v>
      </c>
      <c r="P119" s="191">
        <f t="shared" si="96"/>
        <v>0</v>
      </c>
      <c r="Q119" s="191">
        <f t="shared" si="96"/>
        <v>10000</v>
      </c>
      <c r="R119" s="191">
        <f t="shared" si="96"/>
        <v>0</v>
      </c>
      <c r="S119" s="191">
        <f t="shared" si="96"/>
        <v>10000</v>
      </c>
      <c r="T119" s="191">
        <f t="shared" si="96"/>
        <v>0</v>
      </c>
      <c r="U119" s="191">
        <f t="shared" si="96"/>
        <v>10000</v>
      </c>
      <c r="V119" s="191">
        <f t="shared" si="96"/>
        <v>0</v>
      </c>
      <c r="W119" s="191">
        <f t="shared" si="96"/>
        <v>10000</v>
      </c>
      <c r="X119" s="191">
        <f t="shared" si="96"/>
        <v>0</v>
      </c>
      <c r="Y119" s="191">
        <f t="shared" si="96"/>
        <v>10000</v>
      </c>
    </row>
    <row r="120" spans="1:25" s="185" customFormat="1" ht="24" customHeight="1">
      <c r="A120" s="192"/>
      <c r="B120" s="193"/>
      <c r="C120" s="76" t="s">
        <v>168</v>
      </c>
      <c r="D120" s="74" t="s">
        <v>12</v>
      </c>
      <c r="E120" s="191">
        <v>10000</v>
      </c>
      <c r="F120" s="191"/>
      <c r="G120" s="195">
        <f>SUM(E120:F120)</f>
        <v>10000</v>
      </c>
      <c r="H120" s="191"/>
      <c r="I120" s="195">
        <f>SUM(G120:H120)</f>
        <v>10000</v>
      </c>
      <c r="J120" s="191"/>
      <c r="K120" s="195">
        <f>SUM(I120:J120)</f>
        <v>10000</v>
      </c>
      <c r="L120" s="191"/>
      <c r="M120" s="195">
        <f>SUM(K120:L120)</f>
        <v>10000</v>
      </c>
      <c r="N120" s="191"/>
      <c r="O120" s="195">
        <f>SUM(M120:N120)</f>
        <v>10000</v>
      </c>
      <c r="P120" s="191"/>
      <c r="Q120" s="195">
        <f>SUM(O120:P120)</f>
        <v>10000</v>
      </c>
      <c r="R120" s="191"/>
      <c r="S120" s="195">
        <f>SUM(Q120:R120)</f>
        <v>10000</v>
      </c>
      <c r="T120" s="191"/>
      <c r="U120" s="195">
        <f>SUM(S120:T120)</f>
        <v>10000</v>
      </c>
      <c r="V120" s="191"/>
      <c r="W120" s="195">
        <f>SUM(U120:V120)</f>
        <v>10000</v>
      </c>
      <c r="X120" s="191"/>
      <c r="Y120" s="195">
        <f>SUM(W120:X120)</f>
        <v>10000</v>
      </c>
    </row>
    <row r="121" spans="1:25" s="26" customFormat="1" ht="24" customHeight="1">
      <c r="A121" s="70"/>
      <c r="B121" s="71">
        <v>90095</v>
      </c>
      <c r="C121" s="72"/>
      <c r="D121" s="74" t="s">
        <v>6</v>
      </c>
      <c r="E121" s="69">
        <f aca="true" t="shared" si="97" ref="E121:Y121">SUM(E122)</f>
        <v>6000</v>
      </c>
      <c r="F121" s="69">
        <f t="shared" si="97"/>
        <v>0</v>
      </c>
      <c r="G121" s="69">
        <f t="shared" si="97"/>
        <v>6000</v>
      </c>
      <c r="H121" s="69">
        <f t="shared" si="97"/>
        <v>0</v>
      </c>
      <c r="I121" s="69">
        <f t="shared" si="97"/>
        <v>6000</v>
      </c>
      <c r="J121" s="69">
        <f t="shared" si="97"/>
        <v>0</v>
      </c>
      <c r="K121" s="69">
        <f t="shared" si="97"/>
        <v>6000</v>
      </c>
      <c r="L121" s="69">
        <f t="shared" si="97"/>
        <v>0</v>
      </c>
      <c r="M121" s="69">
        <f t="shared" si="97"/>
        <v>6000</v>
      </c>
      <c r="N121" s="69">
        <f t="shared" si="97"/>
        <v>0</v>
      </c>
      <c r="O121" s="69">
        <f t="shared" si="97"/>
        <v>6000</v>
      </c>
      <c r="P121" s="69">
        <f t="shared" si="97"/>
        <v>0</v>
      </c>
      <c r="Q121" s="69">
        <f t="shared" si="97"/>
        <v>6000</v>
      </c>
      <c r="R121" s="69">
        <f t="shared" si="97"/>
        <v>0</v>
      </c>
      <c r="S121" s="69">
        <f t="shared" si="97"/>
        <v>6000</v>
      </c>
      <c r="T121" s="69">
        <f t="shared" si="97"/>
        <v>0</v>
      </c>
      <c r="U121" s="69">
        <f t="shared" si="97"/>
        <v>6000</v>
      </c>
      <c r="V121" s="69">
        <f t="shared" si="97"/>
        <v>0</v>
      </c>
      <c r="W121" s="69">
        <f t="shared" si="97"/>
        <v>6000</v>
      </c>
      <c r="X121" s="69">
        <f t="shared" si="97"/>
        <v>0</v>
      </c>
      <c r="Y121" s="69">
        <f t="shared" si="97"/>
        <v>6000</v>
      </c>
    </row>
    <row r="122" spans="1:25" s="26" customFormat="1" ht="21.75" customHeight="1">
      <c r="A122" s="70"/>
      <c r="B122" s="71"/>
      <c r="C122" s="72" t="s">
        <v>182</v>
      </c>
      <c r="D122" s="74" t="s">
        <v>267</v>
      </c>
      <c r="E122" s="69">
        <v>6000</v>
      </c>
      <c r="F122" s="69"/>
      <c r="G122" s="195">
        <f>SUM(E122:F122)</f>
        <v>6000</v>
      </c>
      <c r="H122" s="69"/>
      <c r="I122" s="195">
        <f>SUM(G122:H122)</f>
        <v>6000</v>
      </c>
      <c r="J122" s="69"/>
      <c r="K122" s="195">
        <f>SUM(I122:J122)</f>
        <v>6000</v>
      </c>
      <c r="L122" s="69"/>
      <c r="M122" s="195">
        <f>SUM(K122:L122)</f>
        <v>6000</v>
      </c>
      <c r="N122" s="69"/>
      <c r="O122" s="195">
        <f>SUM(M122:N122)</f>
        <v>6000</v>
      </c>
      <c r="P122" s="69"/>
      <c r="Q122" s="195">
        <f>SUM(O122:P122)</f>
        <v>6000</v>
      </c>
      <c r="R122" s="69"/>
      <c r="S122" s="195">
        <f>SUM(Q122:R122)</f>
        <v>6000</v>
      </c>
      <c r="T122" s="69"/>
      <c r="U122" s="195">
        <f>SUM(S122:T122)</f>
        <v>6000</v>
      </c>
      <c r="V122" s="69"/>
      <c r="W122" s="195">
        <f>SUM(U122:V122)</f>
        <v>6000</v>
      </c>
      <c r="X122" s="69"/>
      <c r="Y122" s="195">
        <f>SUM(W122:X122)</f>
        <v>6000</v>
      </c>
    </row>
    <row r="123" spans="1:25" s="9" customFormat="1" ht="24" customHeight="1">
      <c r="A123" s="31" t="s">
        <v>65</v>
      </c>
      <c r="B123" s="4"/>
      <c r="C123" s="5"/>
      <c r="D123" s="32" t="s">
        <v>71</v>
      </c>
      <c r="E123" s="56">
        <f>SUM(E126)</f>
        <v>60000</v>
      </c>
      <c r="F123" s="56">
        <f>SUM(F126)</f>
        <v>0</v>
      </c>
      <c r="G123" s="56">
        <f>SUM(G126)</f>
        <v>60000</v>
      </c>
      <c r="H123" s="56">
        <f>SUM(H126)</f>
        <v>0</v>
      </c>
      <c r="I123" s="56">
        <f aca="true" t="shared" si="98" ref="I123:O123">SUM(I124,I126)</f>
        <v>60000</v>
      </c>
      <c r="J123" s="56">
        <f t="shared" si="98"/>
        <v>9350</v>
      </c>
      <c r="K123" s="56">
        <f t="shared" si="98"/>
        <v>69350</v>
      </c>
      <c r="L123" s="56">
        <f t="shared" si="98"/>
        <v>0</v>
      </c>
      <c r="M123" s="56">
        <f t="shared" si="98"/>
        <v>69350</v>
      </c>
      <c r="N123" s="56">
        <f t="shared" si="98"/>
        <v>0</v>
      </c>
      <c r="O123" s="56">
        <f t="shared" si="98"/>
        <v>69350</v>
      </c>
      <c r="P123" s="56">
        <f aca="true" t="shared" si="99" ref="P123:U123">SUM(P124,P126)</f>
        <v>0</v>
      </c>
      <c r="Q123" s="56">
        <f t="shared" si="99"/>
        <v>69350</v>
      </c>
      <c r="R123" s="56">
        <f t="shared" si="99"/>
        <v>0</v>
      </c>
      <c r="S123" s="56">
        <f t="shared" si="99"/>
        <v>69350</v>
      </c>
      <c r="T123" s="56">
        <f t="shared" si="99"/>
        <v>0</v>
      </c>
      <c r="U123" s="56">
        <f t="shared" si="99"/>
        <v>69350</v>
      </c>
      <c r="V123" s="56">
        <f>SUM(V124,V126)</f>
        <v>0</v>
      </c>
      <c r="W123" s="56">
        <f>SUM(W124,W126)</f>
        <v>69350</v>
      </c>
      <c r="X123" s="56">
        <f>SUM(X124,X126)</f>
        <v>0</v>
      </c>
      <c r="Y123" s="56">
        <f>SUM(Y124,Y126)</f>
        <v>69350</v>
      </c>
    </row>
    <row r="124" spans="1:25" s="185" customFormat="1" ht="24" customHeight="1">
      <c r="A124" s="188"/>
      <c r="B124" s="194">
        <v>92105</v>
      </c>
      <c r="C124" s="198"/>
      <c r="D124" s="252" t="s">
        <v>391</v>
      </c>
      <c r="E124" s="191"/>
      <c r="F124" s="191"/>
      <c r="G124" s="191"/>
      <c r="H124" s="191"/>
      <c r="I124" s="191">
        <f aca="true" t="shared" si="100" ref="I124:Y124">SUM(I125)</f>
        <v>0</v>
      </c>
      <c r="J124" s="191">
        <f t="shared" si="100"/>
        <v>9350</v>
      </c>
      <c r="K124" s="191">
        <f t="shared" si="100"/>
        <v>9350</v>
      </c>
      <c r="L124" s="191">
        <f t="shared" si="100"/>
        <v>0</v>
      </c>
      <c r="M124" s="191">
        <f t="shared" si="100"/>
        <v>9350</v>
      </c>
      <c r="N124" s="191">
        <f t="shared" si="100"/>
        <v>0</v>
      </c>
      <c r="O124" s="191">
        <f t="shared" si="100"/>
        <v>9350</v>
      </c>
      <c r="P124" s="191">
        <f t="shared" si="100"/>
        <v>0</v>
      </c>
      <c r="Q124" s="191">
        <f t="shared" si="100"/>
        <v>9350</v>
      </c>
      <c r="R124" s="191">
        <f t="shared" si="100"/>
        <v>0</v>
      </c>
      <c r="S124" s="191">
        <f t="shared" si="100"/>
        <v>9350</v>
      </c>
      <c r="T124" s="191">
        <f t="shared" si="100"/>
        <v>0</v>
      </c>
      <c r="U124" s="191">
        <f t="shared" si="100"/>
        <v>9350</v>
      </c>
      <c r="V124" s="191">
        <f t="shared" si="100"/>
        <v>0</v>
      </c>
      <c r="W124" s="191">
        <f t="shared" si="100"/>
        <v>9350</v>
      </c>
      <c r="X124" s="191">
        <f t="shared" si="100"/>
        <v>0</v>
      </c>
      <c r="Y124" s="191">
        <f t="shared" si="100"/>
        <v>9350</v>
      </c>
    </row>
    <row r="125" spans="1:25" s="185" customFormat="1" ht="51" customHeight="1">
      <c r="A125" s="188"/>
      <c r="B125" s="194"/>
      <c r="C125" s="198">
        <v>2320</v>
      </c>
      <c r="D125" s="74" t="s">
        <v>222</v>
      </c>
      <c r="E125" s="191"/>
      <c r="F125" s="191"/>
      <c r="G125" s="191"/>
      <c r="H125" s="191"/>
      <c r="I125" s="191">
        <v>0</v>
      </c>
      <c r="J125" s="191">
        <f>2850+6500</f>
        <v>9350</v>
      </c>
      <c r="K125" s="191">
        <f>SUM(I125:J125)</f>
        <v>9350</v>
      </c>
      <c r="L125" s="191"/>
      <c r="M125" s="191">
        <f>SUM(K125:L125)</f>
        <v>9350</v>
      </c>
      <c r="N125" s="191"/>
      <c r="O125" s="191">
        <f>SUM(M125:N125)</f>
        <v>9350</v>
      </c>
      <c r="P125" s="191"/>
      <c r="Q125" s="191">
        <f>SUM(O125:P125)</f>
        <v>9350</v>
      </c>
      <c r="R125" s="191"/>
      <c r="S125" s="191">
        <f>SUM(Q125:R125)</f>
        <v>9350</v>
      </c>
      <c r="T125" s="191"/>
      <c r="U125" s="191">
        <f>SUM(S125:T125)</f>
        <v>9350</v>
      </c>
      <c r="V125" s="191"/>
      <c r="W125" s="191">
        <f>SUM(U125:V125)</f>
        <v>9350</v>
      </c>
      <c r="X125" s="191"/>
      <c r="Y125" s="191">
        <f>SUM(W125:X125)</f>
        <v>9350</v>
      </c>
    </row>
    <row r="126" spans="1:25" s="26" customFormat="1" ht="24" customHeight="1">
      <c r="A126" s="70"/>
      <c r="B126" s="71" t="s">
        <v>66</v>
      </c>
      <c r="C126" s="77"/>
      <c r="D126" s="74" t="s">
        <v>67</v>
      </c>
      <c r="E126" s="69">
        <f aca="true" t="shared" si="101" ref="E126:Y126">SUM(E127)</f>
        <v>60000</v>
      </c>
      <c r="F126" s="69">
        <f t="shared" si="101"/>
        <v>0</v>
      </c>
      <c r="G126" s="69">
        <f t="shared" si="101"/>
        <v>60000</v>
      </c>
      <c r="H126" s="69">
        <f t="shared" si="101"/>
        <v>0</v>
      </c>
      <c r="I126" s="69">
        <f t="shared" si="101"/>
        <v>60000</v>
      </c>
      <c r="J126" s="69">
        <f t="shared" si="101"/>
        <v>0</v>
      </c>
      <c r="K126" s="69">
        <f t="shared" si="101"/>
        <v>60000</v>
      </c>
      <c r="L126" s="69">
        <f t="shared" si="101"/>
        <v>0</v>
      </c>
      <c r="M126" s="69">
        <f t="shared" si="101"/>
        <v>60000</v>
      </c>
      <c r="N126" s="69">
        <f t="shared" si="101"/>
        <v>0</v>
      </c>
      <c r="O126" s="69">
        <f t="shared" si="101"/>
        <v>60000</v>
      </c>
      <c r="P126" s="69">
        <f t="shared" si="101"/>
        <v>0</v>
      </c>
      <c r="Q126" s="69">
        <f t="shared" si="101"/>
        <v>60000</v>
      </c>
      <c r="R126" s="69">
        <f t="shared" si="101"/>
        <v>0</v>
      </c>
      <c r="S126" s="69">
        <f t="shared" si="101"/>
        <v>60000</v>
      </c>
      <c r="T126" s="69">
        <f t="shared" si="101"/>
        <v>0</v>
      </c>
      <c r="U126" s="69">
        <f t="shared" si="101"/>
        <v>60000</v>
      </c>
      <c r="V126" s="69">
        <f t="shared" si="101"/>
        <v>0</v>
      </c>
      <c r="W126" s="69">
        <f t="shared" si="101"/>
        <v>60000</v>
      </c>
      <c r="X126" s="69">
        <f t="shared" si="101"/>
        <v>0</v>
      </c>
      <c r="Y126" s="69">
        <f t="shared" si="101"/>
        <v>60000</v>
      </c>
    </row>
    <row r="127" spans="1:25" s="26" customFormat="1" ht="54.75" customHeight="1">
      <c r="A127" s="71"/>
      <c r="B127" s="71"/>
      <c r="C127" s="72">
        <v>2320</v>
      </c>
      <c r="D127" s="74" t="s">
        <v>222</v>
      </c>
      <c r="E127" s="69">
        <v>60000</v>
      </c>
      <c r="F127" s="69"/>
      <c r="G127" s="195">
        <f>SUM(E127:F127)</f>
        <v>60000</v>
      </c>
      <c r="H127" s="69"/>
      <c r="I127" s="195">
        <f>SUM(G127:H127)</f>
        <v>60000</v>
      </c>
      <c r="J127" s="69"/>
      <c r="K127" s="195">
        <f>SUM(I127:J127)</f>
        <v>60000</v>
      </c>
      <c r="L127" s="69"/>
      <c r="M127" s="195">
        <f>SUM(K127:L127)</f>
        <v>60000</v>
      </c>
      <c r="N127" s="69"/>
      <c r="O127" s="195">
        <f>SUM(M127:N127)</f>
        <v>60000</v>
      </c>
      <c r="P127" s="69"/>
      <c r="Q127" s="195">
        <f>SUM(O127:P127)</f>
        <v>60000</v>
      </c>
      <c r="R127" s="69"/>
      <c r="S127" s="195">
        <f>SUM(Q127:R127)</f>
        <v>60000</v>
      </c>
      <c r="T127" s="69"/>
      <c r="U127" s="195">
        <f>SUM(S127:T127)</f>
        <v>60000</v>
      </c>
      <c r="V127" s="69"/>
      <c r="W127" s="195">
        <f>SUM(U127:V127)</f>
        <v>60000</v>
      </c>
      <c r="X127" s="69"/>
      <c r="Y127" s="195">
        <f>SUM(W127:X127)</f>
        <v>60000</v>
      </c>
    </row>
    <row r="128" spans="1:25" s="145" customFormat="1" ht="30" customHeight="1">
      <c r="A128" s="245">
        <v>926</v>
      </c>
      <c r="B128" s="245"/>
      <c r="C128" s="245"/>
      <c r="D128" s="39" t="s">
        <v>141</v>
      </c>
      <c r="E128" s="247"/>
      <c r="F128" s="247"/>
      <c r="G128" s="248"/>
      <c r="H128" s="247"/>
      <c r="I128" s="248">
        <f aca="true" t="shared" si="102" ref="I128:X129">SUM(I129)</f>
        <v>0</v>
      </c>
      <c r="J128" s="248">
        <f t="shared" si="102"/>
        <v>3200</v>
      </c>
      <c r="K128" s="248">
        <f t="shared" si="102"/>
        <v>3200</v>
      </c>
      <c r="L128" s="248">
        <f t="shared" si="102"/>
        <v>0</v>
      </c>
      <c r="M128" s="248">
        <f t="shared" si="102"/>
        <v>3200</v>
      </c>
      <c r="N128" s="248">
        <f t="shared" si="102"/>
        <v>0</v>
      </c>
      <c r="O128" s="248">
        <f t="shared" si="102"/>
        <v>3200</v>
      </c>
      <c r="P128" s="248">
        <f t="shared" si="102"/>
        <v>0</v>
      </c>
      <c r="Q128" s="248">
        <f t="shared" si="102"/>
        <v>3200</v>
      </c>
      <c r="R128" s="248">
        <f t="shared" si="102"/>
        <v>0</v>
      </c>
      <c r="S128" s="248">
        <f t="shared" si="102"/>
        <v>3200</v>
      </c>
      <c r="T128" s="248">
        <f t="shared" si="102"/>
        <v>0</v>
      </c>
      <c r="U128" s="248">
        <f t="shared" si="102"/>
        <v>3200</v>
      </c>
      <c r="V128" s="248">
        <f t="shared" si="102"/>
        <v>0</v>
      </c>
      <c r="W128" s="248">
        <f t="shared" si="102"/>
        <v>3200</v>
      </c>
      <c r="X128" s="248">
        <f t="shared" si="102"/>
        <v>0</v>
      </c>
      <c r="Y128" s="248">
        <f>SUM(Y129)</f>
        <v>3200</v>
      </c>
    </row>
    <row r="129" spans="1:25" s="26" customFormat="1" ht="30" customHeight="1">
      <c r="A129" s="71"/>
      <c r="B129" s="71">
        <v>92605</v>
      </c>
      <c r="C129" s="71"/>
      <c r="D129" s="41" t="s">
        <v>69</v>
      </c>
      <c r="E129" s="69"/>
      <c r="F129" s="69"/>
      <c r="G129" s="82"/>
      <c r="H129" s="69"/>
      <c r="I129" s="82">
        <f t="shared" si="102"/>
        <v>0</v>
      </c>
      <c r="J129" s="82">
        <f t="shared" si="102"/>
        <v>3200</v>
      </c>
      <c r="K129" s="82">
        <f t="shared" si="102"/>
        <v>3200</v>
      </c>
      <c r="L129" s="82">
        <f t="shared" si="102"/>
        <v>0</v>
      </c>
      <c r="M129" s="82">
        <f t="shared" si="102"/>
        <v>3200</v>
      </c>
      <c r="N129" s="82">
        <f t="shared" si="102"/>
        <v>0</v>
      </c>
      <c r="O129" s="82">
        <f t="shared" si="102"/>
        <v>3200</v>
      </c>
      <c r="P129" s="82">
        <f t="shared" si="102"/>
        <v>0</v>
      </c>
      <c r="Q129" s="82">
        <f t="shared" si="102"/>
        <v>3200</v>
      </c>
      <c r="R129" s="82">
        <f t="shared" si="102"/>
        <v>0</v>
      </c>
      <c r="S129" s="82">
        <f t="shared" si="102"/>
        <v>3200</v>
      </c>
      <c r="T129" s="82">
        <f t="shared" si="102"/>
        <v>0</v>
      </c>
      <c r="U129" s="82">
        <f t="shared" si="102"/>
        <v>3200</v>
      </c>
      <c r="V129" s="82">
        <f t="shared" si="102"/>
        <v>0</v>
      </c>
      <c r="W129" s="82">
        <f t="shared" si="102"/>
        <v>3200</v>
      </c>
      <c r="X129" s="82">
        <f>SUM(X130)</f>
        <v>0</v>
      </c>
      <c r="Y129" s="82">
        <f>SUM(Y130)</f>
        <v>3200</v>
      </c>
    </row>
    <row r="130" spans="1:25" s="26" customFormat="1" ht="52.5" customHeight="1">
      <c r="A130" s="71"/>
      <c r="B130" s="71"/>
      <c r="C130" s="71">
        <v>2320</v>
      </c>
      <c r="D130" s="74" t="s">
        <v>222</v>
      </c>
      <c r="E130" s="69"/>
      <c r="F130" s="69"/>
      <c r="G130" s="82"/>
      <c r="H130" s="69"/>
      <c r="I130" s="82">
        <v>0</v>
      </c>
      <c r="J130" s="69">
        <v>3200</v>
      </c>
      <c r="K130" s="82">
        <f>SUM(I130:J130)</f>
        <v>3200</v>
      </c>
      <c r="L130" s="69"/>
      <c r="M130" s="82">
        <f>SUM(K130:L130)</f>
        <v>3200</v>
      </c>
      <c r="N130" s="69"/>
      <c r="O130" s="82">
        <f>SUM(M130:N130)</f>
        <v>3200</v>
      </c>
      <c r="P130" s="69"/>
      <c r="Q130" s="82">
        <f>SUM(O130:P130)</f>
        <v>3200</v>
      </c>
      <c r="R130" s="69"/>
      <c r="S130" s="82">
        <f>SUM(Q130:R130)</f>
        <v>3200</v>
      </c>
      <c r="T130" s="69"/>
      <c r="U130" s="82">
        <f>SUM(S130:T130)</f>
        <v>3200</v>
      </c>
      <c r="V130" s="69"/>
      <c r="W130" s="82">
        <f>SUM(U130:V130)</f>
        <v>3200</v>
      </c>
      <c r="X130" s="69"/>
      <c r="Y130" s="82">
        <f>SUM(W130:X130)</f>
        <v>3200</v>
      </c>
    </row>
    <row r="131" spans="1:25" ht="26.25" customHeight="1">
      <c r="A131" s="15"/>
      <c r="B131" s="16"/>
      <c r="C131" s="17"/>
      <c r="D131" s="18" t="s">
        <v>70</v>
      </c>
      <c r="E131" s="56">
        <f>SUM(E7,E12,E22,E28,E33,E37,E65,E94,E118,E123,E74)</f>
        <v>56856085</v>
      </c>
      <c r="F131" s="56">
        <f>SUM(F7,F12,F22,F28,F33,F37,F65,F94,F118,F123,F74)</f>
        <v>600000</v>
      </c>
      <c r="G131" s="56">
        <f>SUM(G7,G12,G22,G28,G33,G37,G65,G94,G118,G123,G74,G115)</f>
        <v>57456085</v>
      </c>
      <c r="H131" s="56">
        <f>SUM(H7,H12,H22,H28,H33,H37,H65,H94,H118,H123,H74,H115)</f>
        <v>252163</v>
      </c>
      <c r="I131" s="56">
        <f aca="true" t="shared" si="103" ref="I131:O131">SUM(I7,I12,I22,I28,I33,I37,I65,I94,I118,I123,I74,I115,I19,I128)</f>
        <v>57708248</v>
      </c>
      <c r="J131" s="56">
        <f t="shared" si="103"/>
        <v>173624</v>
      </c>
      <c r="K131" s="56">
        <f t="shared" si="103"/>
        <v>57881872</v>
      </c>
      <c r="L131" s="56">
        <f t="shared" si="103"/>
        <v>46982</v>
      </c>
      <c r="M131" s="56">
        <f t="shared" si="103"/>
        <v>57928854</v>
      </c>
      <c r="N131" s="56">
        <f t="shared" si="103"/>
        <v>75000</v>
      </c>
      <c r="O131" s="56">
        <f t="shared" si="103"/>
        <v>58003854</v>
      </c>
      <c r="P131" s="56">
        <f>SUM(P7,P12,P22,P28,P33,P37,P65,P94,P118,P123,P74,P115,P19,P128)</f>
        <v>286502</v>
      </c>
      <c r="Q131" s="56">
        <f>SUM(Q7,Q12,Q22,Q28,Q33,Q37,Q65,Q94,Q118,Q123,Q74,Q115,Q19,Q128)</f>
        <v>58290356</v>
      </c>
      <c r="R131" s="56">
        <f>SUM(R7,R12,R22,R28,R33,R37,R65,R94,R118,R123,R74,R115,R19,R128)</f>
        <v>6100</v>
      </c>
      <c r="S131" s="56">
        <f>SUM(S7,S12,S22,S28,S33,S37,S65,S94,S118,S123,S74,S115,S19,S128)</f>
        <v>58296456</v>
      </c>
      <c r="T131" s="56">
        <f>SUM(T7,T12,T22,T28,T33,T37,T65,T94,T118,T123,T74,T115,T19,T128)</f>
        <v>21240</v>
      </c>
      <c r="U131" s="56">
        <f>SUM(U7,U12,U22,U28,U33,U37,U65,U94,U118,U123,U74,U115,U19,U128,U111)</f>
        <v>58317696</v>
      </c>
      <c r="V131" s="56">
        <f>SUM(V7,V12,V22,V28,V33,V37,V65,V94,V118,V123,V74,V115,V19,V128,V111)</f>
        <v>179586</v>
      </c>
      <c r="W131" s="56">
        <f>SUM(W7,W12,W22,W28,W33,W37,W65,W94,W118,W123,W74,W115,W19,W128,W111)</f>
        <v>58497282</v>
      </c>
      <c r="X131" s="56">
        <f>SUM(X7,X12,X22,X28,X33,X37,X65,X94,X118,X123,X74,X115,X19,X128,X111)</f>
        <v>51940</v>
      </c>
      <c r="Y131" s="56">
        <f>SUM(Y7,Y12,Y22,Y28,Y33,Y37,Y65,Y94,Y118,Y123,Y74,Y115,Y19,Y128,Y111)</f>
        <v>58549222</v>
      </c>
    </row>
    <row r="133" spans="4:6" ht="12.75">
      <c r="D133" s="99"/>
      <c r="E133" s="30">
        <f>SUM(E131-'wydatki 2009 zał.2'!E491)</f>
        <v>-11111691</v>
      </c>
      <c r="F133" s="30">
        <f>SUM(F131-'wydatki 2009 zał.2'!F491)</f>
        <v>1488500</v>
      </c>
    </row>
    <row r="134" ht="12.75">
      <c r="D134" s="99"/>
    </row>
    <row r="135" spans="4:22" ht="12.75">
      <c r="D135" s="99"/>
      <c r="J135" s="30">
        <v>12550</v>
      </c>
      <c r="K135" s="30" t="s">
        <v>392</v>
      </c>
      <c r="V135" s="30">
        <v>175585</v>
      </c>
    </row>
    <row r="136" spans="4:22" ht="12.75">
      <c r="D136" s="99"/>
      <c r="J136" s="30">
        <v>-175597</v>
      </c>
      <c r="K136" s="30" t="s">
        <v>393</v>
      </c>
      <c r="V136" s="30">
        <v>600</v>
      </c>
    </row>
    <row r="137" spans="4:22" ht="12.75">
      <c r="D137" s="99"/>
      <c r="E137" s="30">
        <v>19069259</v>
      </c>
      <c r="J137" s="30">
        <v>24400</v>
      </c>
      <c r="K137" s="30" t="s">
        <v>394</v>
      </c>
      <c r="V137" s="30">
        <v>320</v>
      </c>
    </row>
    <row r="138" spans="4:22" ht="12.75">
      <c r="D138" s="99"/>
      <c r="J138" s="30">
        <v>-329</v>
      </c>
      <c r="K138" s="30" t="s">
        <v>399</v>
      </c>
      <c r="V138" s="30">
        <v>331</v>
      </c>
    </row>
    <row r="139" spans="4:22" ht="12.75">
      <c r="D139" s="99"/>
      <c r="V139" s="30">
        <v>2750</v>
      </c>
    </row>
    <row r="140" spans="4:24" ht="12.75">
      <c r="D140" s="99"/>
      <c r="J140" s="30">
        <v>334300</v>
      </c>
      <c r="K140" s="30" t="s">
        <v>400</v>
      </c>
      <c r="V140" s="153">
        <f>SUM(V135:V139)</f>
        <v>179586</v>
      </c>
      <c r="X140" s="153"/>
    </row>
    <row r="141" spans="4:11" ht="12.75">
      <c r="D141" s="99"/>
      <c r="J141" s="30">
        <v>-4100</v>
      </c>
      <c r="K141" s="30" t="s">
        <v>401</v>
      </c>
    </row>
    <row r="142" spans="4:11" ht="12.75">
      <c r="D142" s="99"/>
      <c r="J142" s="30">
        <v>50700</v>
      </c>
      <c r="K142" s="30" t="s">
        <v>402</v>
      </c>
    </row>
    <row r="143" spans="4:11" ht="12.75">
      <c r="D143" s="99"/>
      <c r="J143" s="30">
        <v>-68300</v>
      </c>
      <c r="K143" s="30" t="s">
        <v>403</v>
      </c>
    </row>
    <row r="144" spans="4:24" ht="12.75">
      <c r="D144" s="99"/>
      <c r="E144" s="30">
        <v>10030735</v>
      </c>
      <c r="J144" s="153">
        <f>SUM(J135:J137)</f>
        <v>-138647</v>
      </c>
      <c r="L144" s="153"/>
      <c r="N144" s="153"/>
      <c r="P144" s="153"/>
      <c r="R144" s="153"/>
      <c r="T144" s="153"/>
      <c r="V144" s="153"/>
      <c r="X144" s="153"/>
    </row>
    <row r="145" spans="4:5" ht="12.75">
      <c r="D145" s="99"/>
      <c r="E145" s="30">
        <v>9008986</v>
      </c>
    </row>
    <row r="146" spans="4:5" ht="12.75">
      <c r="D146" s="99"/>
      <c r="E146" s="30">
        <v>330000</v>
      </c>
    </row>
    <row r="147" spans="4:5" ht="12.75">
      <c r="D147" s="99"/>
      <c r="E147" s="30">
        <v>211227</v>
      </c>
    </row>
    <row r="148" spans="4:5" ht="12.75">
      <c r="D148" s="99"/>
      <c r="E148" s="30">
        <v>3910</v>
      </c>
    </row>
    <row r="149" spans="4:5" ht="12.75">
      <c r="D149" s="99"/>
      <c r="E149" s="30">
        <v>3750</v>
      </c>
    </row>
    <row r="150" spans="4:5" ht="12.75">
      <c r="D150" s="99"/>
      <c r="E150" s="30">
        <v>60000</v>
      </c>
    </row>
    <row r="151" ht="12.75">
      <c r="D151" s="99"/>
    </row>
    <row r="152" ht="12.75">
      <c r="D152" s="99"/>
    </row>
    <row r="153" ht="12.75">
      <c r="D153" s="99"/>
    </row>
    <row r="154" ht="12.75">
      <c r="D154" s="99"/>
    </row>
    <row r="155" spans="4:25" ht="12.75">
      <c r="D155" s="99"/>
      <c r="E155" s="153">
        <f>SUM(E137:E150)</f>
        <v>38717867</v>
      </c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</row>
    <row r="156" ht="12.75">
      <c r="D156" s="99"/>
    </row>
    <row r="157" ht="12.75">
      <c r="D157" s="99"/>
    </row>
    <row r="158" spans="1:4" ht="12.75">
      <c r="A158" s="229"/>
      <c r="B158" s="229"/>
      <c r="C158" s="229"/>
      <c r="D158" s="98"/>
    </row>
    <row r="159" spans="3:4" ht="12.75">
      <c r="C159" s="229"/>
      <c r="D159" s="98"/>
    </row>
    <row r="160" ht="12.75">
      <c r="D160" s="99"/>
    </row>
    <row r="161" ht="12.75">
      <c r="D161" s="98"/>
    </row>
    <row r="174" spans="5:25" ht="12.75"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5:25" ht="12.75"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2"/>
  <sheetViews>
    <sheetView zoomScalePageLayoutView="0" workbookViewId="0" topLeftCell="A481">
      <selection activeCell="D502" sqref="D502"/>
    </sheetView>
  </sheetViews>
  <sheetFormatPr defaultColWidth="9.00390625" defaultRowHeight="12.75"/>
  <cols>
    <col min="1" max="1" width="5.75390625" style="9" customWidth="1"/>
    <col min="2" max="2" width="8.125" style="9" customWidth="1"/>
    <col min="3" max="3" width="6.625" style="9" customWidth="1"/>
    <col min="4" max="4" width="32.125" style="9" customWidth="1"/>
    <col min="5" max="5" width="13.875" style="30" hidden="1" customWidth="1"/>
    <col min="6" max="6" width="11.875" style="30" hidden="1" customWidth="1"/>
    <col min="7" max="7" width="41.00390625" style="30" hidden="1" customWidth="1"/>
    <col min="8" max="8" width="11.25390625" style="30" hidden="1" customWidth="1"/>
    <col min="9" max="9" width="43.375" style="30" hidden="1" customWidth="1"/>
    <col min="10" max="10" width="11.25390625" style="30" hidden="1" customWidth="1"/>
    <col min="11" max="11" width="44.875" style="30" hidden="1" customWidth="1"/>
    <col min="12" max="12" width="11.25390625" style="30" hidden="1" customWidth="1"/>
    <col min="13" max="13" width="0.12890625" style="30" hidden="1" customWidth="1"/>
    <col min="14" max="14" width="13.375" style="30" hidden="1" customWidth="1"/>
    <col min="15" max="15" width="0.12890625" style="30" hidden="1" customWidth="1"/>
    <col min="16" max="16" width="9.875" style="30" hidden="1" customWidth="1"/>
    <col min="17" max="17" width="13.00390625" style="30" hidden="1" customWidth="1"/>
    <col min="18" max="18" width="2.375" style="30" hidden="1" customWidth="1"/>
    <col min="19" max="19" width="13.00390625" style="30" hidden="1" customWidth="1"/>
    <col min="20" max="20" width="13.375" style="30" hidden="1" customWidth="1"/>
    <col min="21" max="21" width="0.12890625" style="30" hidden="1" customWidth="1"/>
    <col min="22" max="22" width="13.375" style="30" hidden="1" customWidth="1"/>
    <col min="23" max="23" width="13.00390625" style="30" customWidth="1"/>
    <col min="24" max="24" width="13.375" style="30" customWidth="1"/>
    <col min="25" max="25" width="13.00390625" style="30" customWidth="1"/>
    <col min="27" max="27" width="11.75390625" style="0" bestFit="1" customWidth="1"/>
  </cols>
  <sheetData>
    <row r="1" spans="1:25" ht="12.75">
      <c r="A1" s="103"/>
      <c r="B1" s="103"/>
      <c r="C1" s="103"/>
      <c r="D1" s="103"/>
      <c r="E1" s="55" t="s">
        <v>197</v>
      </c>
      <c r="F1" s="55"/>
      <c r="G1" s="55" t="s">
        <v>353</v>
      </c>
      <c r="H1" s="55"/>
      <c r="I1" s="55" t="s">
        <v>408</v>
      </c>
      <c r="J1" s="55"/>
      <c r="K1" s="55" t="s">
        <v>418</v>
      </c>
      <c r="L1" s="55"/>
      <c r="M1" s="55" t="s">
        <v>422</v>
      </c>
      <c r="N1" s="55"/>
      <c r="O1" s="55" t="s">
        <v>428</v>
      </c>
      <c r="P1" s="55"/>
      <c r="Q1" s="55" t="s">
        <v>441</v>
      </c>
      <c r="R1" s="55"/>
      <c r="S1" s="55" t="s">
        <v>448</v>
      </c>
      <c r="T1" s="55"/>
      <c r="U1" s="55" t="s">
        <v>464</v>
      </c>
      <c r="V1" s="55"/>
      <c r="W1" s="55" t="s">
        <v>470</v>
      </c>
      <c r="X1" s="55"/>
      <c r="Y1" s="55"/>
    </row>
    <row r="2" spans="1:25" ht="12.75">
      <c r="A2" s="103"/>
      <c r="B2" s="103"/>
      <c r="C2" s="103"/>
      <c r="D2" s="103"/>
      <c r="E2" s="55" t="s">
        <v>231</v>
      </c>
      <c r="F2" s="55"/>
      <c r="G2" s="55" t="s">
        <v>352</v>
      </c>
      <c r="H2" s="55"/>
      <c r="I2" s="55" t="s">
        <v>407</v>
      </c>
      <c r="J2" s="55"/>
      <c r="K2" s="55" t="s">
        <v>415</v>
      </c>
      <c r="L2" s="55"/>
      <c r="M2" s="55" t="s">
        <v>424</v>
      </c>
      <c r="N2" s="55"/>
      <c r="O2" s="55" t="s">
        <v>426</v>
      </c>
      <c r="P2" s="55"/>
      <c r="Q2" s="55" t="s">
        <v>439</v>
      </c>
      <c r="R2" s="55"/>
      <c r="S2" s="55" t="s">
        <v>449</v>
      </c>
      <c r="T2" s="55"/>
      <c r="U2" s="55" t="s">
        <v>458</v>
      </c>
      <c r="V2" s="55"/>
      <c r="W2" s="55" t="s">
        <v>471</v>
      </c>
      <c r="X2" s="55"/>
      <c r="Y2" s="55"/>
    </row>
    <row r="3" spans="1:25" ht="12.75">
      <c r="A3" s="103"/>
      <c r="B3" s="103"/>
      <c r="C3" s="103"/>
      <c r="D3" s="103"/>
      <c r="E3" s="55" t="s">
        <v>151</v>
      </c>
      <c r="F3" s="55"/>
      <c r="G3" s="55" t="s">
        <v>354</v>
      </c>
      <c r="H3" s="55"/>
      <c r="I3" s="55" t="s">
        <v>353</v>
      </c>
      <c r="J3" s="55"/>
      <c r="K3" s="55" t="s">
        <v>408</v>
      </c>
      <c r="L3" s="55"/>
      <c r="M3" s="55" t="s">
        <v>418</v>
      </c>
      <c r="N3" s="55"/>
      <c r="O3" s="55" t="s">
        <v>422</v>
      </c>
      <c r="P3" s="55"/>
      <c r="Q3" s="55" t="s">
        <v>428</v>
      </c>
      <c r="R3" s="55"/>
      <c r="S3" s="55" t="s">
        <v>441</v>
      </c>
      <c r="T3" s="55"/>
      <c r="U3" s="55" t="s">
        <v>448</v>
      </c>
      <c r="V3" s="55"/>
      <c r="W3" s="55" t="s">
        <v>464</v>
      </c>
      <c r="X3" s="55"/>
      <c r="Y3" s="55"/>
    </row>
    <row r="4" spans="1:25" ht="12.75">
      <c r="A4" s="103"/>
      <c r="B4" s="103"/>
      <c r="C4" s="103"/>
      <c r="D4" s="103"/>
      <c r="E4" s="55" t="s">
        <v>232</v>
      </c>
      <c r="F4" s="55"/>
      <c r="G4" s="55" t="s">
        <v>350</v>
      </c>
      <c r="H4" s="55"/>
      <c r="I4" s="55" t="s">
        <v>387</v>
      </c>
      <c r="J4" s="55"/>
      <c r="K4" s="55" t="s">
        <v>412</v>
      </c>
      <c r="L4" s="55"/>
      <c r="M4" s="55" t="s">
        <v>419</v>
      </c>
      <c r="N4" s="55"/>
      <c r="O4" s="55" t="s">
        <v>425</v>
      </c>
      <c r="P4" s="55"/>
      <c r="Q4" s="55" t="s">
        <v>430</v>
      </c>
      <c r="R4" s="55"/>
      <c r="S4" s="55" t="s">
        <v>446</v>
      </c>
      <c r="T4" s="55"/>
      <c r="U4" s="55" t="s">
        <v>451</v>
      </c>
      <c r="V4" s="55"/>
      <c r="W4" s="55" t="s">
        <v>466</v>
      </c>
      <c r="X4" s="55"/>
      <c r="Y4" s="55"/>
    </row>
    <row r="5" spans="1:25" ht="21" customHeight="1">
      <c r="A5" s="293" t="s">
        <v>361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9" customFormat="1" ht="24.75" customHeight="1">
      <c r="A6" s="38" t="s">
        <v>0</v>
      </c>
      <c r="B6" s="38" t="s">
        <v>1</v>
      </c>
      <c r="C6" s="38" t="s">
        <v>2</v>
      </c>
      <c r="D6" s="38" t="s">
        <v>3</v>
      </c>
      <c r="E6" s="57" t="s">
        <v>146</v>
      </c>
      <c r="F6" s="57" t="s">
        <v>340</v>
      </c>
      <c r="G6" s="57" t="s">
        <v>147</v>
      </c>
      <c r="H6" s="57" t="s">
        <v>340</v>
      </c>
      <c r="I6" s="57" t="s">
        <v>147</v>
      </c>
      <c r="J6" s="57" t="s">
        <v>340</v>
      </c>
      <c r="K6" s="57" t="s">
        <v>147</v>
      </c>
      <c r="L6" s="57" t="s">
        <v>340</v>
      </c>
      <c r="M6" s="57" t="s">
        <v>147</v>
      </c>
      <c r="N6" s="57" t="s">
        <v>340</v>
      </c>
      <c r="O6" s="57" t="s">
        <v>147</v>
      </c>
      <c r="P6" s="57" t="s">
        <v>340</v>
      </c>
      <c r="Q6" s="57" t="s">
        <v>147</v>
      </c>
      <c r="R6" s="57" t="s">
        <v>340</v>
      </c>
      <c r="S6" s="57" t="s">
        <v>147</v>
      </c>
      <c r="T6" s="57" t="s">
        <v>340</v>
      </c>
      <c r="U6" s="57" t="s">
        <v>147</v>
      </c>
      <c r="V6" s="57" t="s">
        <v>340</v>
      </c>
      <c r="W6" s="57" t="s">
        <v>147</v>
      </c>
      <c r="X6" s="57" t="s">
        <v>340</v>
      </c>
      <c r="Y6" s="57" t="s">
        <v>341</v>
      </c>
    </row>
    <row r="7" spans="1:25" s="13" customFormat="1" ht="21" customHeight="1">
      <c r="A7" s="36" t="s">
        <v>4</v>
      </c>
      <c r="B7" s="58"/>
      <c r="C7" s="59"/>
      <c r="D7" s="39" t="s">
        <v>5</v>
      </c>
      <c r="E7" s="40">
        <f>SUM(E8,E10)</f>
        <v>12000</v>
      </c>
      <c r="F7" s="40">
        <f>SUM(F8,F10)</f>
        <v>300000</v>
      </c>
      <c r="G7" s="40">
        <f>SUM(G8,G10)</f>
        <v>312000</v>
      </c>
      <c r="H7" s="40">
        <f>SUM(H8,H10)</f>
        <v>0</v>
      </c>
      <c r="I7" s="40">
        <f aca="true" t="shared" si="0" ref="I7:N7">SUM(I8,I10,I12)</f>
        <v>312000</v>
      </c>
      <c r="J7" s="40">
        <f t="shared" si="0"/>
        <v>45000</v>
      </c>
      <c r="K7" s="40">
        <f t="shared" si="0"/>
        <v>357000</v>
      </c>
      <c r="L7" s="40">
        <f t="shared" si="0"/>
        <v>0</v>
      </c>
      <c r="M7" s="40">
        <f t="shared" si="0"/>
        <v>357000</v>
      </c>
      <c r="N7" s="40">
        <f t="shared" si="0"/>
        <v>0</v>
      </c>
      <c r="O7" s="40">
        <f aca="true" t="shared" si="1" ref="O7:U7">SUM(O8,O10,O12,O14)</f>
        <v>357000</v>
      </c>
      <c r="P7" s="40">
        <f t="shared" si="1"/>
        <v>285502</v>
      </c>
      <c r="Q7" s="40">
        <f t="shared" si="1"/>
        <v>642502</v>
      </c>
      <c r="R7" s="40">
        <f t="shared" si="1"/>
        <v>0</v>
      </c>
      <c r="S7" s="40">
        <f t="shared" si="1"/>
        <v>642502</v>
      </c>
      <c r="T7" s="40">
        <f t="shared" si="1"/>
        <v>0</v>
      </c>
      <c r="U7" s="40">
        <f t="shared" si="1"/>
        <v>642502</v>
      </c>
      <c r="V7" s="40">
        <f>SUM(V8,V10,V12,V14)</f>
        <v>0</v>
      </c>
      <c r="W7" s="40">
        <f>SUM(W8,W10,W12,W14)</f>
        <v>642502</v>
      </c>
      <c r="X7" s="40">
        <f>SUM(X8,X10,X12,X14)</f>
        <v>0</v>
      </c>
      <c r="Y7" s="40">
        <f>SUM(Y8,Y10,Y12,Y14)</f>
        <v>642502</v>
      </c>
    </row>
    <row r="8" spans="1:25" s="26" customFormat="1" ht="21" customHeight="1">
      <c r="A8" s="65"/>
      <c r="B8" s="79" t="s">
        <v>72</v>
      </c>
      <c r="C8" s="68"/>
      <c r="D8" s="41" t="s">
        <v>73</v>
      </c>
      <c r="E8" s="78">
        <f aca="true" t="shared" si="2" ref="E8:Y8">SUM(E9)</f>
        <v>12000</v>
      </c>
      <c r="F8" s="78">
        <f t="shared" si="2"/>
        <v>0</v>
      </c>
      <c r="G8" s="78">
        <f t="shared" si="2"/>
        <v>12000</v>
      </c>
      <c r="H8" s="78">
        <f t="shared" si="2"/>
        <v>0</v>
      </c>
      <c r="I8" s="78">
        <f t="shared" si="2"/>
        <v>12000</v>
      </c>
      <c r="J8" s="78">
        <f t="shared" si="2"/>
        <v>0</v>
      </c>
      <c r="K8" s="78">
        <f t="shared" si="2"/>
        <v>12000</v>
      </c>
      <c r="L8" s="78">
        <f t="shared" si="2"/>
        <v>0</v>
      </c>
      <c r="M8" s="78">
        <f t="shared" si="2"/>
        <v>12000</v>
      </c>
      <c r="N8" s="78">
        <f t="shared" si="2"/>
        <v>0</v>
      </c>
      <c r="O8" s="78">
        <f t="shared" si="2"/>
        <v>12000</v>
      </c>
      <c r="P8" s="78">
        <f t="shared" si="2"/>
        <v>0</v>
      </c>
      <c r="Q8" s="78">
        <f t="shared" si="2"/>
        <v>12000</v>
      </c>
      <c r="R8" s="78">
        <f t="shared" si="2"/>
        <v>0</v>
      </c>
      <c r="S8" s="78">
        <f t="shared" si="2"/>
        <v>12000</v>
      </c>
      <c r="T8" s="78">
        <f t="shared" si="2"/>
        <v>0</v>
      </c>
      <c r="U8" s="78">
        <f t="shared" si="2"/>
        <v>12000</v>
      </c>
      <c r="V8" s="78">
        <f t="shared" si="2"/>
        <v>0</v>
      </c>
      <c r="W8" s="78">
        <f t="shared" si="2"/>
        <v>12000</v>
      </c>
      <c r="X8" s="78">
        <f t="shared" si="2"/>
        <v>0</v>
      </c>
      <c r="Y8" s="78">
        <f t="shared" si="2"/>
        <v>12000</v>
      </c>
    </row>
    <row r="9" spans="1:25" s="26" customFormat="1" ht="36">
      <c r="A9" s="80"/>
      <c r="B9" s="81"/>
      <c r="C9" s="68">
        <v>2850</v>
      </c>
      <c r="D9" s="41" t="s">
        <v>74</v>
      </c>
      <c r="E9" s="78">
        <v>12000</v>
      </c>
      <c r="F9" s="78"/>
      <c r="G9" s="78">
        <f>SUM(E9:F9)</f>
        <v>12000</v>
      </c>
      <c r="H9" s="78"/>
      <c r="I9" s="78">
        <f>SUM(G9:H9)</f>
        <v>12000</v>
      </c>
      <c r="J9" s="78"/>
      <c r="K9" s="78">
        <f>SUM(I9:J9)</f>
        <v>12000</v>
      </c>
      <c r="L9" s="78"/>
      <c r="M9" s="78">
        <f>SUM(K9:L9)</f>
        <v>12000</v>
      </c>
      <c r="N9" s="78"/>
      <c r="O9" s="78">
        <f>SUM(M9:N9)</f>
        <v>12000</v>
      </c>
      <c r="P9" s="78"/>
      <c r="Q9" s="78">
        <f>SUM(O9:P9)</f>
        <v>12000</v>
      </c>
      <c r="R9" s="78"/>
      <c r="S9" s="78">
        <f>SUM(Q9:R9)</f>
        <v>12000</v>
      </c>
      <c r="T9" s="78"/>
      <c r="U9" s="78">
        <f>SUM(S9:T9)</f>
        <v>12000</v>
      </c>
      <c r="V9" s="78"/>
      <c r="W9" s="78">
        <f>SUM(U9:V9)</f>
        <v>12000</v>
      </c>
      <c r="X9" s="78"/>
      <c r="Y9" s="78">
        <f>SUM(W9:X9)</f>
        <v>12000</v>
      </c>
    </row>
    <row r="10" spans="1:25" s="226" customFormat="1" ht="24" customHeight="1">
      <c r="A10" s="225"/>
      <c r="B10" s="81" t="s">
        <v>343</v>
      </c>
      <c r="C10" s="68"/>
      <c r="D10" s="41" t="s">
        <v>386</v>
      </c>
      <c r="E10" s="78">
        <f aca="true" t="shared" si="3" ref="E10:Y10">SUM(E11)</f>
        <v>0</v>
      </c>
      <c r="F10" s="78">
        <f t="shared" si="3"/>
        <v>300000</v>
      </c>
      <c r="G10" s="78">
        <f t="shared" si="3"/>
        <v>300000</v>
      </c>
      <c r="H10" s="78">
        <f t="shared" si="3"/>
        <v>0</v>
      </c>
      <c r="I10" s="78">
        <f t="shared" si="3"/>
        <v>300000</v>
      </c>
      <c r="J10" s="78">
        <f t="shared" si="3"/>
        <v>0</v>
      </c>
      <c r="K10" s="78">
        <f t="shared" si="3"/>
        <v>300000</v>
      </c>
      <c r="L10" s="78">
        <f t="shared" si="3"/>
        <v>0</v>
      </c>
      <c r="M10" s="78">
        <f t="shared" si="3"/>
        <v>300000</v>
      </c>
      <c r="N10" s="78">
        <f t="shared" si="3"/>
        <v>0</v>
      </c>
      <c r="O10" s="78">
        <f t="shared" si="3"/>
        <v>300000</v>
      </c>
      <c r="P10" s="78">
        <f t="shared" si="3"/>
        <v>0</v>
      </c>
      <c r="Q10" s="78">
        <f t="shared" si="3"/>
        <v>300000</v>
      </c>
      <c r="R10" s="78">
        <f t="shared" si="3"/>
        <v>0</v>
      </c>
      <c r="S10" s="78">
        <f t="shared" si="3"/>
        <v>300000</v>
      </c>
      <c r="T10" s="78">
        <f t="shared" si="3"/>
        <v>0</v>
      </c>
      <c r="U10" s="78">
        <f t="shared" si="3"/>
        <v>300000</v>
      </c>
      <c r="V10" s="78">
        <f t="shared" si="3"/>
        <v>0</v>
      </c>
      <c r="W10" s="78">
        <f t="shared" si="3"/>
        <v>300000</v>
      </c>
      <c r="X10" s="78">
        <f t="shared" si="3"/>
        <v>0</v>
      </c>
      <c r="Y10" s="78">
        <f t="shared" si="3"/>
        <v>300000</v>
      </c>
    </row>
    <row r="11" spans="1:25" s="26" customFormat="1" ht="20.25" customHeight="1">
      <c r="A11" s="80"/>
      <c r="B11" s="81"/>
      <c r="C11" s="68">
        <v>4300</v>
      </c>
      <c r="D11" s="41" t="s">
        <v>82</v>
      </c>
      <c r="E11" s="78">
        <v>0</v>
      </c>
      <c r="F11" s="78">
        <v>300000</v>
      </c>
      <c r="G11" s="78">
        <f>SUM(E11:F11)</f>
        <v>300000</v>
      </c>
      <c r="H11" s="78"/>
      <c r="I11" s="78">
        <f>SUM(G11:H11)</f>
        <v>300000</v>
      </c>
      <c r="J11" s="78"/>
      <c r="K11" s="78">
        <f>SUM(I11:J11)</f>
        <v>300000</v>
      </c>
      <c r="L11" s="78"/>
      <c r="M11" s="78">
        <f>SUM(K11:L11)</f>
        <v>300000</v>
      </c>
      <c r="N11" s="78"/>
      <c r="O11" s="78">
        <f>SUM(M11:N11)</f>
        <v>300000</v>
      </c>
      <c r="P11" s="78"/>
      <c r="Q11" s="78">
        <f>SUM(O11:P11)</f>
        <v>300000</v>
      </c>
      <c r="R11" s="78"/>
      <c r="S11" s="78">
        <f>SUM(Q11:R11)</f>
        <v>300000</v>
      </c>
      <c r="T11" s="78"/>
      <c r="U11" s="78">
        <f>SUM(S11:T11)</f>
        <v>300000</v>
      </c>
      <c r="V11" s="78"/>
      <c r="W11" s="78">
        <f>SUM(U11:V11)</f>
        <v>300000</v>
      </c>
      <c r="X11" s="78"/>
      <c r="Y11" s="78">
        <f>SUM(W11:X11)</f>
        <v>300000</v>
      </c>
    </row>
    <row r="12" spans="1:25" s="26" customFormat="1" ht="20.25" customHeight="1">
      <c r="A12" s="80"/>
      <c r="B12" s="81" t="s">
        <v>397</v>
      </c>
      <c r="C12" s="68"/>
      <c r="D12" s="41" t="s">
        <v>398</v>
      </c>
      <c r="E12" s="78"/>
      <c r="F12" s="78"/>
      <c r="G12" s="78"/>
      <c r="H12" s="78"/>
      <c r="I12" s="78">
        <f aca="true" t="shared" si="4" ref="I12:Y12">SUM(I13)</f>
        <v>0</v>
      </c>
      <c r="J12" s="78">
        <f t="shared" si="4"/>
        <v>45000</v>
      </c>
      <c r="K12" s="78">
        <f t="shared" si="4"/>
        <v>45000</v>
      </c>
      <c r="L12" s="78">
        <f t="shared" si="4"/>
        <v>0</v>
      </c>
      <c r="M12" s="78">
        <f t="shared" si="4"/>
        <v>45000</v>
      </c>
      <c r="N12" s="78">
        <f t="shared" si="4"/>
        <v>0</v>
      </c>
      <c r="O12" s="78">
        <f t="shared" si="4"/>
        <v>45000</v>
      </c>
      <c r="P12" s="78">
        <f t="shared" si="4"/>
        <v>0</v>
      </c>
      <c r="Q12" s="78">
        <f t="shared" si="4"/>
        <v>45000</v>
      </c>
      <c r="R12" s="78">
        <f t="shared" si="4"/>
        <v>0</v>
      </c>
      <c r="S12" s="78">
        <f t="shared" si="4"/>
        <v>45000</v>
      </c>
      <c r="T12" s="78">
        <f t="shared" si="4"/>
        <v>0</v>
      </c>
      <c r="U12" s="78">
        <f t="shared" si="4"/>
        <v>45000</v>
      </c>
      <c r="V12" s="78">
        <f t="shared" si="4"/>
        <v>0</v>
      </c>
      <c r="W12" s="78">
        <f t="shared" si="4"/>
        <v>45000</v>
      </c>
      <c r="X12" s="78">
        <f t="shared" si="4"/>
        <v>0</v>
      </c>
      <c r="Y12" s="78">
        <f t="shared" si="4"/>
        <v>45000</v>
      </c>
    </row>
    <row r="13" spans="1:25" s="26" customFormat="1" ht="60">
      <c r="A13" s="80"/>
      <c r="B13" s="81"/>
      <c r="C13" s="68">
        <v>2830</v>
      </c>
      <c r="D13" s="41" t="s">
        <v>383</v>
      </c>
      <c r="E13" s="78"/>
      <c r="F13" s="78"/>
      <c r="G13" s="78"/>
      <c r="H13" s="78"/>
      <c r="I13" s="78">
        <v>0</v>
      </c>
      <c r="J13" s="78">
        <v>45000</v>
      </c>
      <c r="K13" s="78">
        <f>SUM(I13:J13)</f>
        <v>45000</v>
      </c>
      <c r="L13" s="78"/>
      <c r="M13" s="78">
        <f>SUM(K13:L13)</f>
        <v>45000</v>
      </c>
      <c r="N13" s="78"/>
      <c r="O13" s="78">
        <f>SUM(M13:N13)</f>
        <v>45000</v>
      </c>
      <c r="P13" s="78"/>
      <c r="Q13" s="78">
        <f>SUM(O13:P13)</f>
        <v>45000</v>
      </c>
      <c r="R13" s="78"/>
      <c r="S13" s="78">
        <f>SUM(Q13:R13)</f>
        <v>45000</v>
      </c>
      <c r="T13" s="78"/>
      <c r="U13" s="78">
        <f>SUM(S13:T13)</f>
        <v>45000</v>
      </c>
      <c r="V13" s="78"/>
      <c r="W13" s="78">
        <f>SUM(U13:V13)</f>
        <v>45000</v>
      </c>
      <c r="X13" s="78"/>
      <c r="Y13" s="78">
        <f>SUM(W13:X13)</f>
        <v>45000</v>
      </c>
    </row>
    <row r="14" spans="1:25" s="26" customFormat="1" ht="21" customHeight="1">
      <c r="A14" s="80"/>
      <c r="B14" s="81" t="s">
        <v>264</v>
      </c>
      <c r="C14" s="68"/>
      <c r="D14" s="41" t="s">
        <v>6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>
        <f>SUM(O18:O20)</f>
        <v>0</v>
      </c>
      <c r="P14" s="78">
        <f>SUM(P18:P20)</f>
        <v>285502</v>
      </c>
      <c r="Q14" s="78">
        <f aca="true" t="shared" si="5" ref="Q14:W14">SUM(Q15:Q22)</f>
        <v>285502</v>
      </c>
      <c r="R14" s="78">
        <f t="shared" si="5"/>
        <v>0</v>
      </c>
      <c r="S14" s="78">
        <f t="shared" si="5"/>
        <v>285502</v>
      </c>
      <c r="T14" s="78">
        <f t="shared" si="5"/>
        <v>0</v>
      </c>
      <c r="U14" s="78">
        <f t="shared" si="5"/>
        <v>285502</v>
      </c>
      <c r="V14" s="78">
        <f t="shared" si="5"/>
        <v>0</v>
      </c>
      <c r="W14" s="78">
        <f t="shared" si="5"/>
        <v>285502</v>
      </c>
      <c r="X14" s="78">
        <f>SUM(X15:X22)</f>
        <v>0</v>
      </c>
      <c r="Y14" s="78">
        <f>SUM(Y15:Y22)</f>
        <v>285502</v>
      </c>
    </row>
    <row r="15" spans="1:27" s="26" customFormat="1" ht="21" customHeight="1">
      <c r="A15" s="80"/>
      <c r="B15" s="81"/>
      <c r="C15" s="68">
        <v>4010</v>
      </c>
      <c r="D15" s="41" t="s">
        <v>87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>
        <v>0</v>
      </c>
      <c r="R15" s="78">
        <v>3378</v>
      </c>
      <c r="S15" s="78">
        <f aca="true" t="shared" si="6" ref="S15:S22">SUM(Q15:R15)</f>
        <v>3378</v>
      </c>
      <c r="T15" s="78"/>
      <c r="U15" s="78">
        <f aca="true" t="shared" si="7" ref="U15:U22">SUM(S15:T15)</f>
        <v>3378</v>
      </c>
      <c r="V15" s="78"/>
      <c r="W15" s="78">
        <f aca="true" t="shared" si="8" ref="W15:W22">SUM(U15:V15)</f>
        <v>3378</v>
      </c>
      <c r="X15" s="78"/>
      <c r="Y15" s="78">
        <f aca="true" t="shared" si="9" ref="Y15:Y22">SUM(W15:X15)</f>
        <v>3378</v>
      </c>
      <c r="Z15" s="117"/>
      <c r="AA15" s="117"/>
    </row>
    <row r="16" spans="1:27" s="26" customFormat="1" ht="21" customHeight="1">
      <c r="A16" s="80"/>
      <c r="B16" s="81"/>
      <c r="C16" s="68">
        <v>4110</v>
      </c>
      <c r="D16" s="41" t="s">
        <v>89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>
        <v>0</v>
      </c>
      <c r="R16" s="78">
        <v>513</v>
      </c>
      <c r="S16" s="78">
        <f t="shared" si="6"/>
        <v>513</v>
      </c>
      <c r="T16" s="78"/>
      <c r="U16" s="78">
        <f t="shared" si="7"/>
        <v>513</v>
      </c>
      <c r="V16" s="78"/>
      <c r="W16" s="78">
        <f t="shared" si="8"/>
        <v>513</v>
      </c>
      <c r="X16" s="78"/>
      <c r="Y16" s="78">
        <f t="shared" si="9"/>
        <v>513</v>
      </c>
      <c r="Z16" s="117"/>
      <c r="AA16" s="117"/>
    </row>
    <row r="17" spans="1:27" s="26" customFormat="1" ht="21" customHeight="1">
      <c r="A17" s="80"/>
      <c r="B17" s="81"/>
      <c r="C17" s="68">
        <v>4120</v>
      </c>
      <c r="D17" s="41" t="s">
        <v>90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>
        <v>0</v>
      </c>
      <c r="R17" s="78">
        <v>82</v>
      </c>
      <c r="S17" s="78">
        <f t="shared" si="6"/>
        <v>82</v>
      </c>
      <c r="T17" s="78"/>
      <c r="U17" s="78">
        <f t="shared" si="7"/>
        <v>82</v>
      </c>
      <c r="V17" s="78"/>
      <c r="W17" s="78">
        <f t="shared" si="8"/>
        <v>82</v>
      </c>
      <c r="X17" s="78"/>
      <c r="Y17" s="78">
        <f t="shared" si="9"/>
        <v>82</v>
      </c>
      <c r="Z17" s="117"/>
      <c r="AA17" s="117"/>
    </row>
    <row r="18" spans="1:25" s="26" customFormat="1" ht="21.75" customHeight="1">
      <c r="A18" s="80"/>
      <c r="B18" s="81"/>
      <c r="C18" s="68">
        <v>4210</v>
      </c>
      <c r="D18" s="41" t="s">
        <v>75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>
        <v>0</v>
      </c>
      <c r="P18" s="78">
        <v>5598</v>
      </c>
      <c r="Q18" s="78">
        <f>SUM(O18:P18)</f>
        <v>5598</v>
      </c>
      <c r="R18" s="78">
        <v>-5347</v>
      </c>
      <c r="S18" s="78">
        <f t="shared" si="6"/>
        <v>251</v>
      </c>
      <c r="T18" s="78"/>
      <c r="U18" s="78">
        <f t="shared" si="7"/>
        <v>251</v>
      </c>
      <c r="V18" s="78"/>
      <c r="W18" s="78">
        <f t="shared" si="8"/>
        <v>251</v>
      </c>
      <c r="X18" s="78"/>
      <c r="Y18" s="78">
        <f t="shared" si="9"/>
        <v>251</v>
      </c>
    </row>
    <row r="19" spans="1:25" s="26" customFormat="1" ht="21.75" customHeight="1">
      <c r="A19" s="80"/>
      <c r="B19" s="81"/>
      <c r="C19" s="68">
        <v>4300</v>
      </c>
      <c r="D19" s="41" t="s">
        <v>82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>
        <v>0</v>
      </c>
      <c r="R19" s="78">
        <v>1090</v>
      </c>
      <c r="S19" s="78">
        <f t="shared" si="6"/>
        <v>1090</v>
      </c>
      <c r="T19" s="78"/>
      <c r="U19" s="78">
        <f t="shared" si="7"/>
        <v>1090</v>
      </c>
      <c r="V19" s="78"/>
      <c r="W19" s="78">
        <f t="shared" si="8"/>
        <v>1090</v>
      </c>
      <c r="X19" s="78"/>
      <c r="Y19" s="78">
        <f t="shared" si="9"/>
        <v>1090</v>
      </c>
    </row>
    <row r="20" spans="1:25" s="26" customFormat="1" ht="22.5" customHeight="1">
      <c r="A20" s="80"/>
      <c r="B20" s="81"/>
      <c r="C20" s="68">
        <v>4430</v>
      </c>
      <c r="D20" s="41" t="s">
        <v>97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>
        <v>0</v>
      </c>
      <c r="P20" s="78">
        <v>279904</v>
      </c>
      <c r="Q20" s="78">
        <f>SUM(O20:P20)</f>
        <v>279904</v>
      </c>
      <c r="R20" s="78">
        <v>0</v>
      </c>
      <c r="S20" s="78">
        <f t="shared" si="6"/>
        <v>279904</v>
      </c>
      <c r="T20" s="78"/>
      <c r="U20" s="78">
        <f t="shared" si="7"/>
        <v>279904</v>
      </c>
      <c r="V20" s="78"/>
      <c r="W20" s="78">
        <f t="shared" si="8"/>
        <v>279904</v>
      </c>
      <c r="X20" s="78"/>
      <c r="Y20" s="78">
        <f t="shared" si="9"/>
        <v>279904</v>
      </c>
    </row>
    <row r="21" spans="1:25" s="26" customFormat="1" ht="24">
      <c r="A21" s="80"/>
      <c r="B21" s="81"/>
      <c r="C21" s="68">
        <v>4740</v>
      </c>
      <c r="D21" s="41" t="s">
        <v>236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>
        <v>0</v>
      </c>
      <c r="R21" s="78">
        <v>25</v>
      </c>
      <c r="S21" s="78">
        <f t="shared" si="6"/>
        <v>25</v>
      </c>
      <c r="T21" s="78"/>
      <c r="U21" s="78">
        <f t="shared" si="7"/>
        <v>25</v>
      </c>
      <c r="V21" s="78"/>
      <c r="W21" s="78">
        <f t="shared" si="8"/>
        <v>25</v>
      </c>
      <c r="X21" s="78"/>
      <c r="Y21" s="78">
        <f t="shared" si="9"/>
        <v>25</v>
      </c>
    </row>
    <row r="22" spans="1:25" s="26" customFormat="1" ht="24">
      <c r="A22" s="80"/>
      <c r="B22" s="81"/>
      <c r="C22" s="68">
        <v>4750</v>
      </c>
      <c r="D22" s="41" t="s">
        <v>237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>
        <v>0</v>
      </c>
      <c r="R22" s="78">
        <v>259</v>
      </c>
      <c r="S22" s="78">
        <f t="shared" si="6"/>
        <v>259</v>
      </c>
      <c r="T22" s="78"/>
      <c r="U22" s="78">
        <f t="shared" si="7"/>
        <v>259</v>
      </c>
      <c r="V22" s="78"/>
      <c r="W22" s="78">
        <f t="shared" si="8"/>
        <v>259</v>
      </c>
      <c r="X22" s="78"/>
      <c r="Y22" s="78">
        <f t="shared" si="9"/>
        <v>259</v>
      </c>
    </row>
    <row r="23" spans="1:25" s="8" customFormat="1" ht="21" customHeight="1">
      <c r="A23" s="36" t="s">
        <v>77</v>
      </c>
      <c r="B23" s="37"/>
      <c r="C23" s="38"/>
      <c r="D23" s="39" t="s">
        <v>78</v>
      </c>
      <c r="E23" s="40">
        <f aca="true" t="shared" si="10" ref="E23:T23">E26</f>
        <v>5719925</v>
      </c>
      <c r="F23" s="40">
        <f t="shared" si="10"/>
        <v>1935000</v>
      </c>
      <c r="G23" s="40">
        <f t="shared" si="10"/>
        <v>7654925</v>
      </c>
      <c r="H23" s="40">
        <f t="shared" si="10"/>
        <v>0</v>
      </c>
      <c r="I23" s="40">
        <f t="shared" si="10"/>
        <v>7654925</v>
      </c>
      <c r="J23" s="40">
        <f t="shared" si="10"/>
        <v>20000</v>
      </c>
      <c r="K23" s="40">
        <f t="shared" si="10"/>
        <v>7674925</v>
      </c>
      <c r="L23" s="40">
        <f t="shared" si="10"/>
        <v>25000</v>
      </c>
      <c r="M23" s="40">
        <f t="shared" si="10"/>
        <v>7699925</v>
      </c>
      <c r="N23" s="40">
        <f t="shared" si="10"/>
        <v>0</v>
      </c>
      <c r="O23" s="40">
        <f t="shared" si="10"/>
        <v>7699925</v>
      </c>
      <c r="P23" s="40">
        <f t="shared" si="10"/>
        <v>0</v>
      </c>
      <c r="Q23" s="40">
        <f t="shared" si="10"/>
        <v>7699925</v>
      </c>
      <c r="R23" s="40">
        <f t="shared" si="10"/>
        <v>300</v>
      </c>
      <c r="S23" s="40">
        <f t="shared" si="10"/>
        <v>7700225</v>
      </c>
      <c r="T23" s="40">
        <f t="shared" si="10"/>
        <v>0</v>
      </c>
      <c r="U23" s="40">
        <f>U26+U24</f>
        <v>7700225</v>
      </c>
      <c r="V23" s="40">
        <f>V26+V24</f>
        <v>-300</v>
      </c>
      <c r="W23" s="40">
        <f>W26+W24</f>
        <v>7699925</v>
      </c>
      <c r="X23" s="40">
        <f>X26+X24</f>
        <v>0</v>
      </c>
      <c r="Y23" s="40">
        <f>Y26+Y24</f>
        <v>7699925</v>
      </c>
    </row>
    <row r="24" spans="1:25" s="185" customFormat="1" ht="21" customHeight="1">
      <c r="A24" s="275"/>
      <c r="B24" s="279">
        <v>60013</v>
      </c>
      <c r="C24" s="280"/>
      <c r="D24" s="278" t="s">
        <v>452</v>
      </c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>
        <f>SUM(U25)</f>
        <v>0</v>
      </c>
      <c r="V24" s="281">
        <f>SUM(V25)</f>
        <v>19600</v>
      </c>
      <c r="W24" s="281">
        <f>SUM(W25)</f>
        <v>19600</v>
      </c>
      <c r="X24" s="281">
        <f>SUM(X25)</f>
        <v>0</v>
      </c>
      <c r="Y24" s="281">
        <f>SUM(Y25)</f>
        <v>19600</v>
      </c>
    </row>
    <row r="25" spans="1:25" s="185" customFormat="1" ht="60">
      <c r="A25" s="275"/>
      <c r="B25" s="279"/>
      <c r="C25" s="280">
        <v>6300</v>
      </c>
      <c r="D25" s="278" t="s">
        <v>453</v>
      </c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>
        <v>0</v>
      </c>
      <c r="V25" s="281">
        <v>19600</v>
      </c>
      <c r="W25" s="281">
        <f>SUM(U25:V25)</f>
        <v>19600</v>
      </c>
      <c r="X25" s="281"/>
      <c r="Y25" s="281">
        <f>SUM(W25:X25)</f>
        <v>19600</v>
      </c>
    </row>
    <row r="26" spans="1:25" s="26" customFormat="1" ht="21" customHeight="1">
      <c r="A26" s="65"/>
      <c r="B26" s="79" t="s">
        <v>79</v>
      </c>
      <c r="C26" s="83"/>
      <c r="D26" s="41" t="s">
        <v>80</v>
      </c>
      <c r="E26" s="78">
        <f aca="true" t="shared" si="11" ref="E26:K26">SUM(E27:E31)</f>
        <v>5719925</v>
      </c>
      <c r="F26" s="78">
        <f t="shared" si="11"/>
        <v>1935000</v>
      </c>
      <c r="G26" s="78">
        <f t="shared" si="11"/>
        <v>7654925</v>
      </c>
      <c r="H26" s="78">
        <f t="shared" si="11"/>
        <v>0</v>
      </c>
      <c r="I26" s="78">
        <f t="shared" si="11"/>
        <v>7654925</v>
      </c>
      <c r="J26" s="78">
        <f t="shared" si="11"/>
        <v>20000</v>
      </c>
      <c r="K26" s="78">
        <f t="shared" si="11"/>
        <v>7674925</v>
      </c>
      <c r="L26" s="78">
        <f aca="true" t="shared" si="12" ref="L26:Q26">SUM(L27:L31)</f>
        <v>25000</v>
      </c>
      <c r="M26" s="78">
        <f t="shared" si="12"/>
        <v>7699925</v>
      </c>
      <c r="N26" s="78">
        <f t="shared" si="12"/>
        <v>0</v>
      </c>
      <c r="O26" s="78">
        <f t="shared" si="12"/>
        <v>7699925</v>
      </c>
      <c r="P26" s="78">
        <f t="shared" si="12"/>
        <v>0</v>
      </c>
      <c r="Q26" s="78">
        <f t="shared" si="12"/>
        <v>7699925</v>
      </c>
      <c r="R26" s="78">
        <f aca="true" t="shared" si="13" ref="R26:W26">SUM(R27:R31)</f>
        <v>300</v>
      </c>
      <c r="S26" s="78">
        <f t="shared" si="13"/>
        <v>7700225</v>
      </c>
      <c r="T26" s="78">
        <f t="shared" si="13"/>
        <v>0</v>
      </c>
      <c r="U26" s="78">
        <f t="shared" si="13"/>
        <v>7700225</v>
      </c>
      <c r="V26" s="78">
        <f t="shared" si="13"/>
        <v>-19900</v>
      </c>
      <c r="W26" s="78">
        <f t="shared" si="13"/>
        <v>7680325</v>
      </c>
      <c r="X26" s="78">
        <f>SUM(X27:X31)</f>
        <v>0</v>
      </c>
      <c r="Y26" s="78">
        <f>SUM(Y27:Y31)</f>
        <v>7680325</v>
      </c>
    </row>
    <row r="27" spans="1:25" s="26" customFormat="1" ht="21" customHeight="1">
      <c r="A27" s="65"/>
      <c r="B27" s="84"/>
      <c r="C27" s="65">
        <v>4210</v>
      </c>
      <c r="D27" s="41" t="s">
        <v>75</v>
      </c>
      <c r="E27" s="78">
        <v>57205</v>
      </c>
      <c r="F27" s="78"/>
      <c r="G27" s="78">
        <f>SUM(E27:F27)</f>
        <v>57205</v>
      </c>
      <c r="H27" s="78"/>
      <c r="I27" s="78">
        <f>SUM(G27:H27)</f>
        <v>57205</v>
      </c>
      <c r="J27" s="78"/>
      <c r="K27" s="78">
        <f>SUM(I27:J27)</f>
        <v>57205</v>
      </c>
      <c r="L27" s="78"/>
      <c r="M27" s="78">
        <f>SUM(K27:L27)</f>
        <v>57205</v>
      </c>
      <c r="N27" s="78"/>
      <c r="O27" s="78">
        <f>SUM(M27:N27)</f>
        <v>57205</v>
      </c>
      <c r="P27" s="78"/>
      <c r="Q27" s="78">
        <f>SUM(O27:P27)</f>
        <v>57205</v>
      </c>
      <c r="R27" s="78">
        <v>300</v>
      </c>
      <c r="S27" s="78">
        <f>SUM(Q27:R27)</f>
        <v>57505</v>
      </c>
      <c r="T27" s="78"/>
      <c r="U27" s="78">
        <f>SUM(S27:T27)</f>
        <v>57505</v>
      </c>
      <c r="V27" s="78">
        <f>1000-1440</f>
        <v>-440</v>
      </c>
      <c r="W27" s="78">
        <f>SUM(U27:V27)</f>
        <v>57065</v>
      </c>
      <c r="X27" s="78">
        <v>-11220</v>
      </c>
      <c r="Y27" s="78">
        <f>SUM(W27:X27)</f>
        <v>45845</v>
      </c>
    </row>
    <row r="28" spans="1:25" s="26" customFormat="1" ht="21" customHeight="1">
      <c r="A28" s="65"/>
      <c r="B28" s="84"/>
      <c r="C28" s="65">
        <v>4270</v>
      </c>
      <c r="D28" s="41" t="s">
        <v>81</v>
      </c>
      <c r="E28" s="78">
        <f>70000+15000+60000</f>
        <v>145000</v>
      </c>
      <c r="F28" s="78">
        <v>100000</v>
      </c>
      <c r="G28" s="78">
        <f>SUM(E28:F28)</f>
        <v>245000</v>
      </c>
      <c r="H28" s="78"/>
      <c r="I28" s="78">
        <f>SUM(G28:H28)</f>
        <v>245000</v>
      </c>
      <c r="J28" s="78"/>
      <c r="K28" s="78">
        <f>SUM(I28:J28)</f>
        <v>245000</v>
      </c>
      <c r="L28" s="78"/>
      <c r="M28" s="78">
        <f>SUM(K28:L28)</f>
        <v>245000</v>
      </c>
      <c r="N28" s="78"/>
      <c r="O28" s="78">
        <f>SUM(M28:N28)</f>
        <v>245000</v>
      </c>
      <c r="P28" s="78"/>
      <c r="Q28" s="78">
        <f>SUM(O28:P28)</f>
        <v>245000</v>
      </c>
      <c r="R28" s="78"/>
      <c r="S28" s="78">
        <f>SUM(Q28:R28)</f>
        <v>245000</v>
      </c>
      <c r="T28" s="78"/>
      <c r="U28" s="78">
        <f>SUM(S28:T28)</f>
        <v>245000</v>
      </c>
      <c r="V28" s="78"/>
      <c r="W28" s="78">
        <f>SUM(U28:V28)</f>
        <v>245000</v>
      </c>
      <c r="X28" s="78"/>
      <c r="Y28" s="78">
        <f>SUM(W28:X28)</f>
        <v>245000</v>
      </c>
    </row>
    <row r="29" spans="1:25" s="26" customFormat="1" ht="21" customHeight="1">
      <c r="A29" s="65"/>
      <c r="B29" s="84"/>
      <c r="C29" s="65">
        <v>4300</v>
      </c>
      <c r="D29" s="41" t="s">
        <v>82</v>
      </c>
      <c r="E29" s="78">
        <f>21800+200000+80000+30000+25000</f>
        <v>356800</v>
      </c>
      <c r="F29" s="78"/>
      <c r="G29" s="78">
        <f>SUM(E29:F29)</f>
        <v>356800</v>
      </c>
      <c r="H29" s="78"/>
      <c r="I29" s="78">
        <f>SUM(G29:H29)</f>
        <v>356800</v>
      </c>
      <c r="J29" s="78"/>
      <c r="K29" s="78">
        <f>SUM(I29:J29)</f>
        <v>356800</v>
      </c>
      <c r="L29" s="78"/>
      <c r="M29" s="78">
        <f>SUM(K29:L29)</f>
        <v>356800</v>
      </c>
      <c r="N29" s="78"/>
      <c r="O29" s="78">
        <f>SUM(M29:N29)</f>
        <v>356800</v>
      </c>
      <c r="P29" s="78"/>
      <c r="Q29" s="78">
        <f>SUM(O29:P29)</f>
        <v>356800</v>
      </c>
      <c r="R29" s="78"/>
      <c r="S29" s="78">
        <f>SUM(Q29:R29)</f>
        <v>356800</v>
      </c>
      <c r="T29" s="78"/>
      <c r="U29" s="78">
        <f>SUM(S29:T29)</f>
        <v>356800</v>
      </c>
      <c r="V29" s="78">
        <f>-1000-300+1440</f>
        <v>140</v>
      </c>
      <c r="W29" s="78">
        <f>SUM(U29:V29)</f>
        <v>356940</v>
      </c>
      <c r="X29" s="78">
        <v>11220</v>
      </c>
      <c r="Y29" s="78">
        <f>SUM(W29:X29)</f>
        <v>368160</v>
      </c>
    </row>
    <row r="30" spans="1:25" s="26" customFormat="1" ht="21" customHeight="1">
      <c r="A30" s="65"/>
      <c r="B30" s="84"/>
      <c r="C30" s="65">
        <v>6050</v>
      </c>
      <c r="D30" s="41" t="s">
        <v>76</v>
      </c>
      <c r="E30" s="78">
        <f>14120+3800+18000+5110000</f>
        <v>5145920</v>
      </c>
      <c r="F30" s="78">
        <f>-190000-1500000-490000-70000-70000-70000+135000+340000+500000+250000+250000+800000+700000+700000+500000+50000</f>
        <v>1835000</v>
      </c>
      <c r="G30" s="78">
        <f>SUM(E30:F30)</f>
        <v>6980920</v>
      </c>
      <c r="H30" s="78"/>
      <c r="I30" s="78">
        <f>SUM(G30:H30)</f>
        <v>6980920</v>
      </c>
      <c r="J30" s="78">
        <v>20000</v>
      </c>
      <c r="K30" s="78">
        <f>SUM(I30:J30)</f>
        <v>7000920</v>
      </c>
      <c r="L30" s="78">
        <v>25000</v>
      </c>
      <c r="M30" s="78">
        <f>SUM(K30:L30)</f>
        <v>7025920</v>
      </c>
      <c r="N30" s="78"/>
      <c r="O30" s="78">
        <f>SUM(M30:N30)</f>
        <v>7025920</v>
      </c>
      <c r="P30" s="78"/>
      <c r="Q30" s="78">
        <f>SUM(O30:P30)</f>
        <v>7025920</v>
      </c>
      <c r="R30" s="78"/>
      <c r="S30" s="78">
        <f>SUM(Q30:R30)</f>
        <v>7025920</v>
      </c>
      <c r="T30" s="78"/>
      <c r="U30" s="78">
        <f>SUM(S30:T30)</f>
        <v>7025920</v>
      </c>
      <c r="V30" s="78">
        <v>-19600</v>
      </c>
      <c r="W30" s="78">
        <f>SUM(U30:V30)</f>
        <v>7006320</v>
      </c>
      <c r="X30" s="78"/>
      <c r="Y30" s="78">
        <f>SUM(W30:X30)</f>
        <v>7006320</v>
      </c>
    </row>
    <row r="31" spans="1:25" s="26" customFormat="1" ht="24">
      <c r="A31" s="65"/>
      <c r="B31" s="84"/>
      <c r="C31" s="65">
        <v>6060</v>
      </c>
      <c r="D31" s="41" t="s">
        <v>99</v>
      </c>
      <c r="E31" s="78">
        <v>15000</v>
      </c>
      <c r="F31" s="78"/>
      <c r="G31" s="78">
        <f>SUM(E31:F31)</f>
        <v>15000</v>
      </c>
      <c r="H31" s="78"/>
      <c r="I31" s="78">
        <f>SUM(G31:H31)</f>
        <v>15000</v>
      </c>
      <c r="J31" s="78"/>
      <c r="K31" s="78">
        <f>SUM(I31:J31)</f>
        <v>15000</v>
      </c>
      <c r="L31" s="78"/>
      <c r="M31" s="78">
        <f>SUM(K31:L31)</f>
        <v>15000</v>
      </c>
      <c r="N31" s="78"/>
      <c r="O31" s="78">
        <f>SUM(M31:N31)</f>
        <v>15000</v>
      </c>
      <c r="P31" s="78"/>
      <c r="Q31" s="78">
        <f>SUM(O31:P31)</f>
        <v>15000</v>
      </c>
      <c r="R31" s="78"/>
      <c r="S31" s="78">
        <f>SUM(Q31:R31)</f>
        <v>15000</v>
      </c>
      <c r="T31" s="78"/>
      <c r="U31" s="78">
        <f>SUM(S31:T31)</f>
        <v>15000</v>
      </c>
      <c r="V31" s="78"/>
      <c r="W31" s="78">
        <f>SUM(U31:V31)</f>
        <v>15000</v>
      </c>
      <c r="X31" s="78"/>
      <c r="Y31" s="78">
        <f>SUM(W31:X31)</f>
        <v>15000</v>
      </c>
    </row>
    <row r="32" spans="1:25" s="8" customFormat="1" ht="21" customHeight="1">
      <c r="A32" s="36" t="s">
        <v>8</v>
      </c>
      <c r="B32" s="37"/>
      <c r="C32" s="38"/>
      <c r="D32" s="39" t="s">
        <v>9</v>
      </c>
      <c r="E32" s="40">
        <f aca="true" t="shared" si="14" ref="E32:K32">SUM(E33,E35,E45,E48)</f>
        <v>3482512</v>
      </c>
      <c r="F32" s="40">
        <f t="shared" si="14"/>
        <v>80000</v>
      </c>
      <c r="G32" s="40">
        <f t="shared" si="14"/>
        <v>3562512</v>
      </c>
      <c r="H32" s="40">
        <f t="shared" si="14"/>
        <v>0</v>
      </c>
      <c r="I32" s="40">
        <f t="shared" si="14"/>
        <v>3562512</v>
      </c>
      <c r="J32" s="40">
        <f t="shared" si="14"/>
        <v>0</v>
      </c>
      <c r="K32" s="40">
        <f t="shared" si="14"/>
        <v>3562512</v>
      </c>
      <c r="L32" s="40">
        <f aca="true" t="shared" si="15" ref="L32:Q32">SUM(L33,L35,L45,L48)</f>
        <v>0</v>
      </c>
      <c r="M32" s="40">
        <f t="shared" si="15"/>
        <v>3562512</v>
      </c>
      <c r="N32" s="40">
        <f t="shared" si="15"/>
        <v>0</v>
      </c>
      <c r="O32" s="40">
        <f t="shared" si="15"/>
        <v>3562512</v>
      </c>
      <c r="P32" s="40">
        <f t="shared" si="15"/>
        <v>0</v>
      </c>
      <c r="Q32" s="40">
        <f t="shared" si="15"/>
        <v>3562512</v>
      </c>
      <c r="R32" s="40">
        <f aca="true" t="shared" si="16" ref="R32:W32">SUM(R33,R35,R45,R48)</f>
        <v>5000</v>
      </c>
      <c r="S32" s="40">
        <f t="shared" si="16"/>
        <v>3567512</v>
      </c>
      <c r="T32" s="40">
        <f t="shared" si="16"/>
        <v>0</v>
      </c>
      <c r="U32" s="40">
        <f t="shared" si="16"/>
        <v>3567512</v>
      </c>
      <c r="V32" s="40">
        <f t="shared" si="16"/>
        <v>0</v>
      </c>
      <c r="W32" s="40">
        <f t="shared" si="16"/>
        <v>3567512</v>
      </c>
      <c r="X32" s="40">
        <f>SUM(X33,X35,X45,X48)</f>
        <v>0</v>
      </c>
      <c r="Y32" s="40">
        <f>SUM(Y33,Y35,Y45,Y48)</f>
        <v>3567512</v>
      </c>
    </row>
    <row r="33" spans="1:25" s="26" customFormat="1" ht="24">
      <c r="A33" s="65"/>
      <c r="B33" s="84">
        <v>70004</v>
      </c>
      <c r="C33" s="83"/>
      <c r="D33" s="41" t="s">
        <v>208</v>
      </c>
      <c r="E33" s="78">
        <f aca="true" t="shared" si="17" ref="E33:Y33">SUM(E34)</f>
        <v>45000</v>
      </c>
      <c r="F33" s="78">
        <f t="shared" si="17"/>
        <v>0</v>
      </c>
      <c r="G33" s="78">
        <f t="shared" si="17"/>
        <v>45000</v>
      </c>
      <c r="H33" s="78">
        <f t="shared" si="17"/>
        <v>0</v>
      </c>
      <c r="I33" s="78">
        <f t="shared" si="17"/>
        <v>45000</v>
      </c>
      <c r="J33" s="78">
        <f t="shared" si="17"/>
        <v>0</v>
      </c>
      <c r="K33" s="78">
        <f t="shared" si="17"/>
        <v>45000</v>
      </c>
      <c r="L33" s="78">
        <f t="shared" si="17"/>
        <v>0</v>
      </c>
      <c r="M33" s="78">
        <f t="shared" si="17"/>
        <v>45000</v>
      </c>
      <c r="N33" s="78">
        <f t="shared" si="17"/>
        <v>0</v>
      </c>
      <c r="O33" s="78">
        <f t="shared" si="17"/>
        <v>45000</v>
      </c>
      <c r="P33" s="78">
        <f t="shared" si="17"/>
        <v>0</v>
      </c>
      <c r="Q33" s="78">
        <f t="shared" si="17"/>
        <v>45000</v>
      </c>
      <c r="R33" s="78">
        <f t="shared" si="17"/>
        <v>0</v>
      </c>
      <c r="S33" s="78">
        <f t="shared" si="17"/>
        <v>45000</v>
      </c>
      <c r="T33" s="78">
        <f t="shared" si="17"/>
        <v>0</v>
      </c>
      <c r="U33" s="78">
        <f t="shared" si="17"/>
        <v>45000</v>
      </c>
      <c r="V33" s="78">
        <f t="shared" si="17"/>
        <v>0</v>
      </c>
      <c r="W33" s="78">
        <f t="shared" si="17"/>
        <v>45000</v>
      </c>
      <c r="X33" s="78">
        <f t="shared" si="17"/>
        <v>0</v>
      </c>
      <c r="Y33" s="78">
        <f t="shared" si="17"/>
        <v>45000</v>
      </c>
    </row>
    <row r="34" spans="1:25" s="26" customFormat="1" ht="21" customHeight="1">
      <c r="A34" s="65"/>
      <c r="B34" s="84"/>
      <c r="C34" s="83">
        <v>4300</v>
      </c>
      <c r="D34" s="41" t="s">
        <v>82</v>
      </c>
      <c r="E34" s="78">
        <v>45000</v>
      </c>
      <c r="F34" s="78"/>
      <c r="G34" s="78">
        <f>SUM(E34:F34)</f>
        <v>45000</v>
      </c>
      <c r="H34" s="78"/>
      <c r="I34" s="78">
        <f>SUM(G34:H34)</f>
        <v>45000</v>
      </c>
      <c r="J34" s="78"/>
      <c r="K34" s="78">
        <f>SUM(I34:J34)</f>
        <v>45000</v>
      </c>
      <c r="L34" s="78"/>
      <c r="M34" s="78">
        <f>SUM(K34:L34)</f>
        <v>45000</v>
      </c>
      <c r="N34" s="78"/>
      <c r="O34" s="78">
        <f>SUM(M34:N34)</f>
        <v>45000</v>
      </c>
      <c r="P34" s="78"/>
      <c r="Q34" s="78">
        <f>SUM(O34:P34)</f>
        <v>45000</v>
      </c>
      <c r="R34" s="78"/>
      <c r="S34" s="78">
        <f>SUM(Q34:R34)</f>
        <v>45000</v>
      </c>
      <c r="T34" s="78"/>
      <c r="U34" s="78">
        <f>SUM(S34:T34)</f>
        <v>45000</v>
      </c>
      <c r="V34" s="78"/>
      <c r="W34" s="78">
        <f>SUM(U34:V34)</f>
        <v>45000</v>
      </c>
      <c r="X34" s="78"/>
      <c r="Y34" s="78">
        <f>SUM(W34:X34)</f>
        <v>45000</v>
      </c>
    </row>
    <row r="35" spans="1:25" s="26" customFormat="1" ht="21" customHeight="1">
      <c r="A35" s="65"/>
      <c r="B35" s="79" t="s">
        <v>10</v>
      </c>
      <c r="C35" s="83"/>
      <c r="D35" s="41" t="s">
        <v>153</v>
      </c>
      <c r="E35" s="78">
        <f aca="true" t="shared" si="18" ref="E35:J35">SUM(E37:E44)</f>
        <v>2236932</v>
      </c>
      <c r="F35" s="78">
        <f t="shared" si="18"/>
        <v>0</v>
      </c>
      <c r="G35" s="78">
        <f t="shared" si="18"/>
        <v>2236932</v>
      </c>
      <c r="H35" s="78">
        <f t="shared" si="18"/>
        <v>0</v>
      </c>
      <c r="I35" s="78">
        <f t="shared" si="18"/>
        <v>2236932</v>
      </c>
      <c r="J35" s="78">
        <f t="shared" si="18"/>
        <v>0</v>
      </c>
      <c r="K35" s="78">
        <f aca="true" t="shared" si="19" ref="K35:Q35">SUM(K36:K44)</f>
        <v>2236932</v>
      </c>
      <c r="L35" s="78">
        <f t="shared" si="19"/>
        <v>0</v>
      </c>
      <c r="M35" s="78">
        <f t="shared" si="19"/>
        <v>2236932</v>
      </c>
      <c r="N35" s="78">
        <f t="shared" si="19"/>
        <v>0</v>
      </c>
      <c r="O35" s="78">
        <f t="shared" si="19"/>
        <v>2236932</v>
      </c>
      <c r="P35" s="78">
        <f t="shared" si="19"/>
        <v>0</v>
      </c>
      <c r="Q35" s="78">
        <f t="shared" si="19"/>
        <v>2236932</v>
      </c>
      <c r="R35" s="78">
        <f aca="true" t="shared" si="20" ref="R35:W35">SUM(R36:R44)</f>
        <v>5000</v>
      </c>
      <c r="S35" s="78">
        <f t="shared" si="20"/>
        <v>2241932</v>
      </c>
      <c r="T35" s="78">
        <f t="shared" si="20"/>
        <v>0</v>
      </c>
      <c r="U35" s="78">
        <f t="shared" si="20"/>
        <v>2241932</v>
      </c>
      <c r="V35" s="78">
        <f t="shared" si="20"/>
        <v>0</v>
      </c>
      <c r="W35" s="78">
        <f t="shared" si="20"/>
        <v>2241932</v>
      </c>
      <c r="X35" s="78">
        <f>SUM(X36:X44)</f>
        <v>0</v>
      </c>
      <c r="Y35" s="78">
        <f>SUM(Y36:Y44)</f>
        <v>2241932</v>
      </c>
    </row>
    <row r="36" spans="1:27" s="26" customFormat="1" ht="21" customHeight="1">
      <c r="A36" s="65"/>
      <c r="B36" s="79"/>
      <c r="C36" s="83">
        <v>4170</v>
      </c>
      <c r="D36" s="41" t="s">
        <v>202</v>
      </c>
      <c r="E36" s="78"/>
      <c r="F36" s="78"/>
      <c r="G36" s="78"/>
      <c r="H36" s="78"/>
      <c r="I36" s="78"/>
      <c r="J36" s="78"/>
      <c r="K36" s="78">
        <v>0</v>
      </c>
      <c r="L36" s="78">
        <v>3000</v>
      </c>
      <c r="M36" s="78">
        <f>SUM(K36:L36)</f>
        <v>3000</v>
      </c>
      <c r="N36" s="78"/>
      <c r="O36" s="78">
        <f>SUM(M36:N36)</f>
        <v>3000</v>
      </c>
      <c r="P36" s="78"/>
      <c r="Q36" s="78">
        <f>SUM(O36:P36)</f>
        <v>3000</v>
      </c>
      <c r="R36" s="78">
        <v>5000</v>
      </c>
      <c r="S36" s="78">
        <f>SUM(Q36:R36)</f>
        <v>8000</v>
      </c>
      <c r="T36" s="78"/>
      <c r="U36" s="78">
        <f>SUM(S36:T36)</f>
        <v>8000</v>
      </c>
      <c r="V36" s="78"/>
      <c r="W36" s="78">
        <f>SUM(U36:V36)</f>
        <v>8000</v>
      </c>
      <c r="X36" s="78"/>
      <c r="Y36" s="78">
        <f>SUM(W36:X36)</f>
        <v>8000</v>
      </c>
      <c r="Z36" s="117"/>
      <c r="AA36" s="117"/>
    </row>
    <row r="37" spans="1:25" s="26" customFormat="1" ht="21" customHeight="1">
      <c r="A37" s="65"/>
      <c r="B37" s="79"/>
      <c r="C37" s="83">
        <v>4210</v>
      </c>
      <c r="D37" s="41" t="s">
        <v>75</v>
      </c>
      <c r="E37" s="78">
        <v>30000</v>
      </c>
      <c r="F37" s="78"/>
      <c r="G37" s="78">
        <f>SUM(E37:F37)</f>
        <v>30000</v>
      </c>
      <c r="H37" s="78"/>
      <c r="I37" s="78">
        <f>SUM(G37:H37)</f>
        <v>30000</v>
      </c>
      <c r="J37" s="78">
        <v>52000</v>
      </c>
      <c r="K37" s="78">
        <f>SUM(I37:J37)</f>
        <v>82000</v>
      </c>
      <c r="L37" s="78"/>
      <c r="M37" s="78">
        <f>SUM(K37:L37)</f>
        <v>82000</v>
      </c>
      <c r="N37" s="78"/>
      <c r="O37" s="78">
        <f>SUM(M37:N37)</f>
        <v>82000</v>
      </c>
      <c r="P37" s="78"/>
      <c r="Q37" s="78">
        <f>SUM(O37:P37)</f>
        <v>82000</v>
      </c>
      <c r="R37" s="78"/>
      <c r="S37" s="78">
        <f>SUM(Q37:R37)</f>
        <v>82000</v>
      </c>
      <c r="T37" s="78"/>
      <c r="U37" s="78">
        <f>SUM(S37:T37)</f>
        <v>82000</v>
      </c>
      <c r="V37" s="78"/>
      <c r="W37" s="78">
        <f>SUM(U37:V37)</f>
        <v>82000</v>
      </c>
      <c r="X37" s="78"/>
      <c r="Y37" s="78">
        <f>SUM(W37:X37)</f>
        <v>82000</v>
      </c>
    </row>
    <row r="38" spans="1:25" s="26" customFormat="1" ht="21" customHeight="1">
      <c r="A38" s="65"/>
      <c r="B38" s="79"/>
      <c r="C38" s="83">
        <v>4260</v>
      </c>
      <c r="D38" s="41" t="s">
        <v>98</v>
      </c>
      <c r="E38" s="78">
        <v>106000</v>
      </c>
      <c r="F38" s="78"/>
      <c r="G38" s="78">
        <f aca="true" t="shared" si="21" ref="G38:G44">SUM(E38:F38)</f>
        <v>106000</v>
      </c>
      <c r="H38" s="78"/>
      <c r="I38" s="78">
        <f aca="true" t="shared" si="22" ref="I38:I44">SUM(G38:H38)</f>
        <v>106000</v>
      </c>
      <c r="J38" s="78">
        <v>-52000</v>
      </c>
      <c r="K38" s="78">
        <f aca="true" t="shared" si="23" ref="K38:K44">SUM(I38:J38)</f>
        <v>54000</v>
      </c>
      <c r="L38" s="78"/>
      <c r="M38" s="78">
        <f aca="true" t="shared" si="24" ref="M38:M44">SUM(K38:L38)</f>
        <v>54000</v>
      </c>
      <c r="N38" s="78"/>
      <c r="O38" s="78">
        <f aca="true" t="shared" si="25" ref="O38:O44">SUM(M38:N38)</f>
        <v>54000</v>
      </c>
      <c r="P38" s="78"/>
      <c r="Q38" s="78">
        <f aca="true" t="shared" si="26" ref="Q38:Q44">SUM(O38:P38)</f>
        <v>54000</v>
      </c>
      <c r="R38" s="78"/>
      <c r="S38" s="78">
        <f aca="true" t="shared" si="27" ref="S38:S44">SUM(Q38:R38)</f>
        <v>54000</v>
      </c>
      <c r="T38" s="78"/>
      <c r="U38" s="78">
        <f aca="true" t="shared" si="28" ref="U38:U44">SUM(S38:T38)</f>
        <v>54000</v>
      </c>
      <c r="V38" s="78"/>
      <c r="W38" s="78">
        <f aca="true" t="shared" si="29" ref="W38:W44">SUM(U38:V38)</f>
        <v>54000</v>
      </c>
      <c r="X38" s="78"/>
      <c r="Y38" s="78">
        <f aca="true" t="shared" si="30" ref="Y38:Y44">SUM(W38:X38)</f>
        <v>54000</v>
      </c>
    </row>
    <row r="39" spans="1:25" s="26" customFormat="1" ht="21" customHeight="1">
      <c r="A39" s="65"/>
      <c r="B39" s="79"/>
      <c r="C39" s="83">
        <v>4270</v>
      </c>
      <c r="D39" s="41" t="s">
        <v>81</v>
      </c>
      <c r="E39" s="78">
        <v>900000</v>
      </c>
      <c r="F39" s="78"/>
      <c r="G39" s="78">
        <f t="shared" si="21"/>
        <v>900000</v>
      </c>
      <c r="H39" s="78"/>
      <c r="I39" s="78">
        <f t="shared" si="22"/>
        <v>900000</v>
      </c>
      <c r="J39" s="78"/>
      <c r="K39" s="78">
        <f t="shared" si="23"/>
        <v>900000</v>
      </c>
      <c r="L39" s="78">
        <v>-3000</v>
      </c>
      <c r="M39" s="78">
        <f t="shared" si="24"/>
        <v>897000</v>
      </c>
      <c r="N39" s="78"/>
      <c r="O39" s="78">
        <f t="shared" si="25"/>
        <v>897000</v>
      </c>
      <c r="P39" s="78"/>
      <c r="Q39" s="78">
        <f t="shared" si="26"/>
        <v>897000</v>
      </c>
      <c r="R39" s="78"/>
      <c r="S39" s="78">
        <f t="shared" si="27"/>
        <v>897000</v>
      </c>
      <c r="T39" s="78"/>
      <c r="U39" s="78">
        <f t="shared" si="28"/>
        <v>897000</v>
      </c>
      <c r="V39" s="78"/>
      <c r="W39" s="78">
        <f t="shared" si="29"/>
        <v>897000</v>
      </c>
      <c r="X39" s="78"/>
      <c r="Y39" s="78">
        <f t="shared" si="30"/>
        <v>897000</v>
      </c>
    </row>
    <row r="40" spans="1:25" s="26" customFormat="1" ht="21" customHeight="1">
      <c r="A40" s="65"/>
      <c r="B40" s="84"/>
      <c r="C40" s="65">
        <v>4300</v>
      </c>
      <c r="D40" s="41" t="s">
        <v>82</v>
      </c>
      <c r="E40" s="78">
        <f>136600+160000</f>
        <v>296600</v>
      </c>
      <c r="F40" s="78"/>
      <c r="G40" s="78">
        <f t="shared" si="21"/>
        <v>296600</v>
      </c>
      <c r="H40" s="78"/>
      <c r="I40" s="78">
        <f t="shared" si="22"/>
        <v>296600</v>
      </c>
      <c r="J40" s="78"/>
      <c r="K40" s="78">
        <f t="shared" si="23"/>
        <v>296600</v>
      </c>
      <c r="L40" s="78"/>
      <c r="M40" s="78">
        <f t="shared" si="24"/>
        <v>296600</v>
      </c>
      <c r="N40" s="78"/>
      <c r="O40" s="78">
        <f t="shared" si="25"/>
        <v>296600</v>
      </c>
      <c r="P40" s="78"/>
      <c r="Q40" s="78">
        <f t="shared" si="26"/>
        <v>296600</v>
      </c>
      <c r="R40" s="78"/>
      <c r="S40" s="78">
        <f t="shared" si="27"/>
        <v>296600</v>
      </c>
      <c r="T40" s="78"/>
      <c r="U40" s="78">
        <f t="shared" si="28"/>
        <v>296600</v>
      </c>
      <c r="V40" s="78"/>
      <c r="W40" s="78">
        <f t="shared" si="29"/>
        <v>296600</v>
      </c>
      <c r="X40" s="78"/>
      <c r="Y40" s="78">
        <f t="shared" si="30"/>
        <v>296600</v>
      </c>
    </row>
    <row r="41" spans="1:25" s="26" customFormat="1" ht="24">
      <c r="A41" s="65"/>
      <c r="B41" s="84"/>
      <c r="C41" s="65">
        <v>4400</v>
      </c>
      <c r="D41" s="41" t="s">
        <v>263</v>
      </c>
      <c r="E41" s="78">
        <v>778500</v>
      </c>
      <c r="F41" s="78"/>
      <c r="G41" s="78">
        <f t="shared" si="21"/>
        <v>778500</v>
      </c>
      <c r="H41" s="78"/>
      <c r="I41" s="78">
        <f t="shared" si="22"/>
        <v>778500</v>
      </c>
      <c r="J41" s="78"/>
      <c r="K41" s="78">
        <f t="shared" si="23"/>
        <v>778500</v>
      </c>
      <c r="L41" s="78"/>
      <c r="M41" s="78">
        <f t="shared" si="24"/>
        <v>778500</v>
      </c>
      <c r="N41" s="78"/>
      <c r="O41" s="78">
        <f t="shared" si="25"/>
        <v>778500</v>
      </c>
      <c r="P41" s="78"/>
      <c r="Q41" s="78">
        <f t="shared" si="26"/>
        <v>778500</v>
      </c>
      <c r="R41" s="78"/>
      <c r="S41" s="78">
        <f t="shared" si="27"/>
        <v>778500</v>
      </c>
      <c r="T41" s="78"/>
      <c r="U41" s="78">
        <f t="shared" si="28"/>
        <v>778500</v>
      </c>
      <c r="V41" s="78"/>
      <c r="W41" s="78">
        <f t="shared" si="29"/>
        <v>778500</v>
      </c>
      <c r="X41" s="78"/>
      <c r="Y41" s="78">
        <f t="shared" si="30"/>
        <v>778500</v>
      </c>
    </row>
    <row r="42" spans="1:25" s="26" customFormat="1" ht="21" customHeight="1">
      <c r="A42" s="65"/>
      <c r="B42" s="84"/>
      <c r="C42" s="65">
        <v>4480</v>
      </c>
      <c r="D42" s="41" t="s">
        <v>32</v>
      </c>
      <c r="E42" s="78">
        <v>132</v>
      </c>
      <c r="F42" s="78"/>
      <c r="G42" s="78">
        <f t="shared" si="21"/>
        <v>132</v>
      </c>
      <c r="H42" s="78"/>
      <c r="I42" s="78">
        <f t="shared" si="22"/>
        <v>132</v>
      </c>
      <c r="J42" s="78"/>
      <c r="K42" s="78">
        <f t="shared" si="23"/>
        <v>132</v>
      </c>
      <c r="L42" s="78"/>
      <c r="M42" s="78">
        <f t="shared" si="24"/>
        <v>132</v>
      </c>
      <c r="N42" s="78"/>
      <c r="O42" s="78">
        <f t="shared" si="25"/>
        <v>132</v>
      </c>
      <c r="P42" s="78"/>
      <c r="Q42" s="78">
        <f t="shared" si="26"/>
        <v>132</v>
      </c>
      <c r="R42" s="78"/>
      <c r="S42" s="78">
        <f t="shared" si="27"/>
        <v>132</v>
      </c>
      <c r="T42" s="78"/>
      <c r="U42" s="78">
        <f t="shared" si="28"/>
        <v>132</v>
      </c>
      <c r="V42" s="78"/>
      <c r="W42" s="78">
        <f t="shared" si="29"/>
        <v>132</v>
      </c>
      <c r="X42" s="78"/>
      <c r="Y42" s="78">
        <f t="shared" si="30"/>
        <v>132</v>
      </c>
    </row>
    <row r="43" spans="1:25" s="26" customFormat="1" ht="21" customHeight="1">
      <c r="A43" s="65"/>
      <c r="B43" s="84"/>
      <c r="C43" s="83">
        <v>4510</v>
      </c>
      <c r="D43" s="41" t="s">
        <v>150</v>
      </c>
      <c r="E43" s="78">
        <v>700</v>
      </c>
      <c r="F43" s="78"/>
      <c r="G43" s="78">
        <f t="shared" si="21"/>
        <v>700</v>
      </c>
      <c r="H43" s="78"/>
      <c r="I43" s="78">
        <f t="shared" si="22"/>
        <v>700</v>
      </c>
      <c r="J43" s="78"/>
      <c r="K43" s="78">
        <f t="shared" si="23"/>
        <v>700</v>
      </c>
      <c r="L43" s="78"/>
      <c r="M43" s="78">
        <f t="shared" si="24"/>
        <v>700</v>
      </c>
      <c r="N43" s="78"/>
      <c r="O43" s="78">
        <f t="shared" si="25"/>
        <v>700</v>
      </c>
      <c r="P43" s="78"/>
      <c r="Q43" s="78">
        <f t="shared" si="26"/>
        <v>700</v>
      </c>
      <c r="R43" s="78"/>
      <c r="S43" s="78">
        <f t="shared" si="27"/>
        <v>700</v>
      </c>
      <c r="T43" s="78"/>
      <c r="U43" s="78">
        <f t="shared" si="28"/>
        <v>700</v>
      </c>
      <c r="V43" s="78"/>
      <c r="W43" s="78">
        <f t="shared" si="29"/>
        <v>700</v>
      </c>
      <c r="X43" s="78"/>
      <c r="Y43" s="78">
        <f t="shared" si="30"/>
        <v>700</v>
      </c>
    </row>
    <row r="44" spans="1:25" s="26" customFormat="1" ht="24">
      <c r="A44" s="65"/>
      <c r="B44" s="84"/>
      <c r="C44" s="65">
        <v>6050</v>
      </c>
      <c r="D44" s="41" t="s">
        <v>76</v>
      </c>
      <c r="E44" s="78">
        <f>65000+60000</f>
        <v>125000</v>
      </c>
      <c r="F44" s="78"/>
      <c r="G44" s="78">
        <f t="shared" si="21"/>
        <v>125000</v>
      </c>
      <c r="H44" s="78"/>
      <c r="I44" s="78">
        <f t="shared" si="22"/>
        <v>125000</v>
      </c>
      <c r="J44" s="78"/>
      <c r="K44" s="78">
        <f t="shared" si="23"/>
        <v>125000</v>
      </c>
      <c r="L44" s="78"/>
      <c r="M44" s="78">
        <f t="shared" si="24"/>
        <v>125000</v>
      </c>
      <c r="N44" s="78"/>
      <c r="O44" s="78">
        <f t="shared" si="25"/>
        <v>125000</v>
      </c>
      <c r="P44" s="78"/>
      <c r="Q44" s="78">
        <f t="shared" si="26"/>
        <v>125000</v>
      </c>
      <c r="R44" s="78"/>
      <c r="S44" s="78">
        <f t="shared" si="27"/>
        <v>125000</v>
      </c>
      <c r="T44" s="78"/>
      <c r="U44" s="78">
        <f t="shared" si="28"/>
        <v>125000</v>
      </c>
      <c r="V44" s="78"/>
      <c r="W44" s="78">
        <f t="shared" si="29"/>
        <v>125000</v>
      </c>
      <c r="X44" s="78"/>
      <c r="Y44" s="78">
        <f t="shared" si="30"/>
        <v>125000</v>
      </c>
    </row>
    <row r="45" spans="1:25" s="26" customFormat="1" ht="21" customHeight="1">
      <c r="A45" s="65"/>
      <c r="B45" s="84">
        <v>70021</v>
      </c>
      <c r="C45" s="65"/>
      <c r="D45" s="41" t="s">
        <v>187</v>
      </c>
      <c r="E45" s="78">
        <f>SUM(E46:E46)</f>
        <v>400000</v>
      </c>
      <c r="F45" s="78">
        <f>SUM(F46:F46)</f>
        <v>280000</v>
      </c>
      <c r="G45" s="78">
        <f>SUM(G46:G46)</f>
        <v>680000</v>
      </c>
      <c r="H45" s="78">
        <f>SUM(H46:H46)</f>
        <v>0</v>
      </c>
      <c r="I45" s="78">
        <f aca="true" t="shared" si="31" ref="I45:O45">SUM(I46:I47)</f>
        <v>680000</v>
      </c>
      <c r="J45" s="78">
        <f t="shared" si="31"/>
        <v>0</v>
      </c>
      <c r="K45" s="78">
        <f t="shared" si="31"/>
        <v>680000</v>
      </c>
      <c r="L45" s="78">
        <f t="shared" si="31"/>
        <v>0</v>
      </c>
      <c r="M45" s="78">
        <f t="shared" si="31"/>
        <v>680000</v>
      </c>
      <c r="N45" s="78">
        <f t="shared" si="31"/>
        <v>0</v>
      </c>
      <c r="O45" s="78">
        <f t="shared" si="31"/>
        <v>680000</v>
      </c>
      <c r="P45" s="78">
        <f aca="true" t="shared" si="32" ref="P45:U45">SUM(P46:P47)</f>
        <v>0</v>
      </c>
      <c r="Q45" s="78">
        <f t="shared" si="32"/>
        <v>680000</v>
      </c>
      <c r="R45" s="78">
        <f t="shared" si="32"/>
        <v>0</v>
      </c>
      <c r="S45" s="78">
        <f t="shared" si="32"/>
        <v>680000</v>
      </c>
      <c r="T45" s="78">
        <f t="shared" si="32"/>
        <v>0</v>
      </c>
      <c r="U45" s="78">
        <f t="shared" si="32"/>
        <v>680000</v>
      </c>
      <c r="V45" s="78">
        <f>SUM(V46:V47)</f>
        <v>0</v>
      </c>
      <c r="W45" s="78">
        <f>SUM(W46:W47)</f>
        <v>680000</v>
      </c>
      <c r="X45" s="78">
        <f>SUM(X46:X47)</f>
        <v>0</v>
      </c>
      <c r="Y45" s="78">
        <f>SUM(Y46:Y47)</f>
        <v>680000</v>
      </c>
    </row>
    <row r="46" spans="1:25" s="26" customFormat="1" ht="21" customHeight="1">
      <c r="A46" s="65"/>
      <c r="B46" s="84"/>
      <c r="C46" s="65">
        <v>4150</v>
      </c>
      <c r="D46" s="41" t="s">
        <v>321</v>
      </c>
      <c r="E46" s="78">
        <v>400000</v>
      </c>
      <c r="F46" s="78">
        <f>280000</f>
        <v>280000</v>
      </c>
      <c r="G46" s="78">
        <f>SUM(E46:F46)</f>
        <v>680000</v>
      </c>
      <c r="H46" s="78"/>
      <c r="I46" s="78">
        <f>SUM(G46:H46)</f>
        <v>680000</v>
      </c>
      <c r="J46" s="78">
        <v>-280000</v>
      </c>
      <c r="K46" s="78">
        <f>SUM(I46:J46)</f>
        <v>400000</v>
      </c>
      <c r="L46" s="78"/>
      <c r="M46" s="78">
        <f>SUM(K46:L46)</f>
        <v>400000</v>
      </c>
      <c r="N46" s="78"/>
      <c r="O46" s="78">
        <f>SUM(M46:N46)</f>
        <v>400000</v>
      </c>
      <c r="P46" s="78"/>
      <c r="Q46" s="78">
        <f>SUM(O46:P46)</f>
        <v>400000</v>
      </c>
      <c r="R46" s="78"/>
      <c r="S46" s="78">
        <f>SUM(Q46:R46)</f>
        <v>400000</v>
      </c>
      <c r="T46" s="78"/>
      <c r="U46" s="78">
        <f>SUM(S46:T46)</f>
        <v>400000</v>
      </c>
      <c r="V46" s="78"/>
      <c r="W46" s="78">
        <f>SUM(U46:V46)</f>
        <v>400000</v>
      </c>
      <c r="X46" s="78"/>
      <c r="Y46" s="78">
        <f>SUM(W46:X46)</f>
        <v>400000</v>
      </c>
    </row>
    <row r="47" spans="1:25" s="26" customFormat="1" ht="58.5" customHeight="1">
      <c r="A47" s="65"/>
      <c r="B47" s="84"/>
      <c r="C47" s="65">
        <v>6010</v>
      </c>
      <c r="D47" s="41" t="s">
        <v>327</v>
      </c>
      <c r="E47" s="78"/>
      <c r="F47" s="78"/>
      <c r="G47" s="78"/>
      <c r="H47" s="78"/>
      <c r="I47" s="78">
        <v>0</v>
      </c>
      <c r="J47" s="78">
        <v>280000</v>
      </c>
      <c r="K47" s="78">
        <f>SUM(I47:J47)</f>
        <v>280000</v>
      </c>
      <c r="L47" s="78"/>
      <c r="M47" s="78">
        <f>SUM(K47:L47)</f>
        <v>280000</v>
      </c>
      <c r="N47" s="78"/>
      <c r="O47" s="78">
        <f>SUM(M47:N47)</f>
        <v>280000</v>
      </c>
      <c r="P47" s="78"/>
      <c r="Q47" s="78">
        <f>SUM(O47:P47)</f>
        <v>280000</v>
      </c>
      <c r="R47" s="78"/>
      <c r="S47" s="78">
        <f>SUM(Q47:R47)</f>
        <v>280000</v>
      </c>
      <c r="T47" s="78"/>
      <c r="U47" s="78">
        <f>SUM(S47:T47)</f>
        <v>280000</v>
      </c>
      <c r="V47" s="78"/>
      <c r="W47" s="78">
        <f>SUM(U47:V47)</f>
        <v>280000</v>
      </c>
      <c r="X47" s="78"/>
      <c r="Y47" s="78">
        <f>SUM(W47:X47)</f>
        <v>280000</v>
      </c>
    </row>
    <row r="48" spans="1:25" s="26" customFormat="1" ht="21" customHeight="1">
      <c r="A48" s="65"/>
      <c r="B48" s="79">
        <v>70095</v>
      </c>
      <c r="C48" s="83"/>
      <c r="D48" s="41" t="s">
        <v>6</v>
      </c>
      <c r="E48" s="78">
        <f aca="true" t="shared" si="33" ref="E48:K48">SUM(E49:E51)</f>
        <v>800580</v>
      </c>
      <c r="F48" s="78">
        <f t="shared" si="33"/>
        <v>-200000</v>
      </c>
      <c r="G48" s="78">
        <f t="shared" si="33"/>
        <v>600580</v>
      </c>
      <c r="H48" s="78">
        <f t="shared" si="33"/>
        <v>0</v>
      </c>
      <c r="I48" s="78">
        <f t="shared" si="33"/>
        <v>600580</v>
      </c>
      <c r="J48" s="78">
        <f t="shared" si="33"/>
        <v>0</v>
      </c>
      <c r="K48" s="78">
        <f t="shared" si="33"/>
        <v>600580</v>
      </c>
      <c r="L48" s="78">
        <f aca="true" t="shared" si="34" ref="L48:Q48">SUM(L49:L51)</f>
        <v>0</v>
      </c>
      <c r="M48" s="78">
        <f t="shared" si="34"/>
        <v>600580</v>
      </c>
      <c r="N48" s="78">
        <f t="shared" si="34"/>
        <v>0</v>
      </c>
      <c r="O48" s="78">
        <f t="shared" si="34"/>
        <v>600580</v>
      </c>
      <c r="P48" s="78">
        <f t="shared" si="34"/>
        <v>0</v>
      </c>
      <c r="Q48" s="78">
        <f t="shared" si="34"/>
        <v>600580</v>
      </c>
      <c r="R48" s="78">
        <f aca="true" t="shared" si="35" ref="R48:W48">SUM(R49:R51)</f>
        <v>0</v>
      </c>
      <c r="S48" s="78">
        <f t="shared" si="35"/>
        <v>600580</v>
      </c>
      <c r="T48" s="78">
        <f t="shared" si="35"/>
        <v>0</v>
      </c>
      <c r="U48" s="78">
        <f t="shared" si="35"/>
        <v>600580</v>
      </c>
      <c r="V48" s="78">
        <f t="shared" si="35"/>
        <v>0</v>
      </c>
      <c r="W48" s="78">
        <f t="shared" si="35"/>
        <v>600580</v>
      </c>
      <c r="X48" s="78">
        <f>SUM(X49:X51)</f>
        <v>0</v>
      </c>
      <c r="Y48" s="78">
        <f>SUM(Y49:Y51)</f>
        <v>600580</v>
      </c>
    </row>
    <row r="49" spans="1:25" s="26" customFormat="1" ht="21" customHeight="1">
      <c r="A49" s="65"/>
      <c r="B49" s="79"/>
      <c r="C49" s="83">
        <v>4260</v>
      </c>
      <c r="D49" s="41" t="s">
        <v>98</v>
      </c>
      <c r="E49" s="78">
        <v>500</v>
      </c>
      <c r="F49" s="78"/>
      <c r="G49" s="78">
        <f>SUM(E49:F49)</f>
        <v>500</v>
      </c>
      <c r="H49" s="78"/>
      <c r="I49" s="78">
        <f>SUM(G49:H49)</f>
        <v>500</v>
      </c>
      <c r="J49" s="78"/>
      <c r="K49" s="78">
        <f>SUM(I49:J49)</f>
        <v>500</v>
      </c>
      <c r="L49" s="78"/>
      <c r="M49" s="78">
        <f>SUM(K49:L49)</f>
        <v>500</v>
      </c>
      <c r="N49" s="78"/>
      <c r="O49" s="78">
        <f>SUM(M49:N49)</f>
        <v>500</v>
      </c>
      <c r="P49" s="78"/>
      <c r="Q49" s="78">
        <f>SUM(O49:P49)</f>
        <v>500</v>
      </c>
      <c r="R49" s="78"/>
      <c r="S49" s="78">
        <f>SUM(Q49:R49)</f>
        <v>500</v>
      </c>
      <c r="T49" s="78"/>
      <c r="U49" s="78">
        <f>SUM(S49:T49)</f>
        <v>500</v>
      </c>
      <c r="V49" s="78"/>
      <c r="W49" s="78">
        <f>SUM(U49:V49)</f>
        <v>500</v>
      </c>
      <c r="X49" s="78"/>
      <c r="Y49" s="78">
        <f>SUM(W49:X49)</f>
        <v>500</v>
      </c>
    </row>
    <row r="50" spans="1:25" s="26" customFormat="1" ht="21" customHeight="1">
      <c r="A50" s="65"/>
      <c r="B50" s="79"/>
      <c r="C50" s="83">
        <v>4300</v>
      </c>
      <c r="D50" s="41" t="s">
        <v>82</v>
      </c>
      <c r="E50" s="78">
        <v>80</v>
      </c>
      <c r="F50" s="78"/>
      <c r="G50" s="78">
        <f>SUM(E50:F50)</f>
        <v>80</v>
      </c>
      <c r="H50" s="78"/>
      <c r="I50" s="78">
        <f>SUM(G50:H50)</f>
        <v>80</v>
      </c>
      <c r="J50" s="78"/>
      <c r="K50" s="78">
        <f>SUM(I50:J50)</f>
        <v>80</v>
      </c>
      <c r="L50" s="78"/>
      <c r="M50" s="78">
        <f>SUM(K50:L50)</f>
        <v>80</v>
      </c>
      <c r="N50" s="78"/>
      <c r="O50" s="78">
        <f>SUM(M50:N50)</f>
        <v>80</v>
      </c>
      <c r="P50" s="78"/>
      <c r="Q50" s="78">
        <f>SUM(O50:P50)</f>
        <v>80</v>
      </c>
      <c r="R50" s="78"/>
      <c r="S50" s="78">
        <f>SUM(Q50:R50)</f>
        <v>80</v>
      </c>
      <c r="T50" s="78"/>
      <c r="U50" s="78">
        <f>SUM(S50:T50)</f>
        <v>80</v>
      </c>
      <c r="V50" s="78"/>
      <c r="W50" s="78">
        <f>SUM(U50:V50)</f>
        <v>80</v>
      </c>
      <c r="X50" s="78"/>
      <c r="Y50" s="78">
        <f>SUM(W50:X50)</f>
        <v>80</v>
      </c>
    </row>
    <row r="51" spans="1:25" s="26" customFormat="1" ht="21" customHeight="1">
      <c r="A51" s="65"/>
      <c r="B51" s="79"/>
      <c r="C51" s="65">
        <v>6050</v>
      </c>
      <c r="D51" s="41" t="s">
        <v>76</v>
      </c>
      <c r="E51" s="78">
        <v>800000</v>
      </c>
      <c r="F51" s="78">
        <f>-400000+200000</f>
        <v>-200000</v>
      </c>
      <c r="G51" s="78">
        <f>SUM(E51:F51)</f>
        <v>600000</v>
      </c>
      <c r="H51" s="78"/>
      <c r="I51" s="78">
        <f>SUM(G51:H51)</f>
        <v>600000</v>
      </c>
      <c r="J51" s="78">
        <v>0</v>
      </c>
      <c r="K51" s="78">
        <f>SUM(I51:J51)</f>
        <v>600000</v>
      </c>
      <c r="L51" s="78">
        <v>0</v>
      </c>
      <c r="M51" s="78">
        <f>SUM(K51:L51)</f>
        <v>600000</v>
      </c>
      <c r="N51" s="78">
        <v>0</v>
      </c>
      <c r="O51" s="78">
        <f>SUM(M51:N51)</f>
        <v>600000</v>
      </c>
      <c r="P51" s="78">
        <v>0</v>
      </c>
      <c r="Q51" s="78">
        <f>SUM(O51:P51)</f>
        <v>600000</v>
      </c>
      <c r="R51" s="78">
        <v>0</v>
      </c>
      <c r="S51" s="78">
        <f>SUM(Q51:R51)</f>
        <v>600000</v>
      </c>
      <c r="T51" s="78">
        <v>0</v>
      </c>
      <c r="U51" s="78">
        <f>SUM(S51:T51)</f>
        <v>600000</v>
      </c>
      <c r="V51" s="78">
        <v>0</v>
      </c>
      <c r="W51" s="78">
        <f>SUM(U51:V51)</f>
        <v>600000</v>
      </c>
      <c r="X51" s="78">
        <v>0</v>
      </c>
      <c r="Y51" s="78">
        <f>SUM(W51:X51)</f>
        <v>600000</v>
      </c>
    </row>
    <row r="52" spans="1:25" s="8" customFormat="1" ht="21" customHeight="1">
      <c r="A52" s="36" t="s">
        <v>13</v>
      </c>
      <c r="B52" s="37"/>
      <c r="C52" s="38"/>
      <c r="D52" s="39" t="s">
        <v>83</v>
      </c>
      <c r="E52" s="40">
        <f aca="true" t="shared" si="36" ref="E52:K52">SUM(E53,E56)</f>
        <v>370500</v>
      </c>
      <c r="F52" s="40">
        <f t="shared" si="36"/>
        <v>0</v>
      </c>
      <c r="G52" s="40">
        <f t="shared" si="36"/>
        <v>370500</v>
      </c>
      <c r="H52" s="40">
        <f t="shared" si="36"/>
        <v>0</v>
      </c>
      <c r="I52" s="40">
        <f t="shared" si="36"/>
        <v>370500</v>
      </c>
      <c r="J52" s="40">
        <f t="shared" si="36"/>
        <v>0</v>
      </c>
      <c r="K52" s="40">
        <f t="shared" si="36"/>
        <v>370500</v>
      </c>
      <c r="L52" s="40">
        <f aca="true" t="shared" si="37" ref="L52:Q52">SUM(L53,L56)</f>
        <v>0</v>
      </c>
      <c r="M52" s="40">
        <f t="shared" si="37"/>
        <v>370500</v>
      </c>
      <c r="N52" s="40">
        <f t="shared" si="37"/>
        <v>0</v>
      </c>
      <c r="O52" s="40">
        <f t="shared" si="37"/>
        <v>370500</v>
      </c>
      <c r="P52" s="40">
        <f t="shared" si="37"/>
        <v>0</v>
      </c>
      <c r="Q52" s="40">
        <f t="shared" si="37"/>
        <v>370500</v>
      </c>
      <c r="R52" s="40">
        <f aca="true" t="shared" si="38" ref="R52:W52">SUM(R53,R56)</f>
        <v>0</v>
      </c>
      <c r="S52" s="40">
        <f t="shared" si="38"/>
        <v>370500</v>
      </c>
      <c r="T52" s="40">
        <f t="shared" si="38"/>
        <v>0</v>
      </c>
      <c r="U52" s="40">
        <f t="shared" si="38"/>
        <v>370500</v>
      </c>
      <c r="V52" s="40">
        <f t="shared" si="38"/>
        <v>0</v>
      </c>
      <c r="W52" s="40">
        <f t="shared" si="38"/>
        <v>370500</v>
      </c>
      <c r="X52" s="40">
        <f>SUM(X53,X56)</f>
        <v>0</v>
      </c>
      <c r="Y52" s="40">
        <f>SUM(Y53,Y56)</f>
        <v>370500</v>
      </c>
    </row>
    <row r="53" spans="1:25" s="26" customFormat="1" ht="21" customHeight="1">
      <c r="A53" s="65"/>
      <c r="B53" s="79" t="s">
        <v>84</v>
      </c>
      <c r="C53" s="83"/>
      <c r="D53" s="41" t="s">
        <v>85</v>
      </c>
      <c r="E53" s="78">
        <f>SUM(E55:E55)</f>
        <v>250000</v>
      </c>
      <c r="F53" s="78">
        <f>SUM(F55:F55)</f>
        <v>0</v>
      </c>
      <c r="G53" s="78">
        <f>SUM(G55:G55)</f>
        <v>250000</v>
      </c>
      <c r="H53" s="78">
        <f>SUM(H55:H55)</f>
        <v>0</v>
      </c>
      <c r="I53" s="78">
        <f aca="true" t="shared" si="39" ref="I53:O53">SUM(I54:I55)</f>
        <v>250000</v>
      </c>
      <c r="J53" s="78">
        <f t="shared" si="39"/>
        <v>0</v>
      </c>
      <c r="K53" s="78">
        <f t="shared" si="39"/>
        <v>250000</v>
      </c>
      <c r="L53" s="78">
        <f t="shared" si="39"/>
        <v>0</v>
      </c>
      <c r="M53" s="78">
        <f t="shared" si="39"/>
        <v>250000</v>
      </c>
      <c r="N53" s="78">
        <f t="shared" si="39"/>
        <v>0</v>
      </c>
      <c r="O53" s="78">
        <f t="shared" si="39"/>
        <v>250000</v>
      </c>
      <c r="P53" s="78">
        <f aca="true" t="shared" si="40" ref="P53:U53">SUM(P54:P55)</f>
        <v>0</v>
      </c>
      <c r="Q53" s="78">
        <f t="shared" si="40"/>
        <v>250000</v>
      </c>
      <c r="R53" s="78">
        <f t="shared" si="40"/>
        <v>0</v>
      </c>
      <c r="S53" s="78">
        <f t="shared" si="40"/>
        <v>250000</v>
      </c>
      <c r="T53" s="78">
        <f t="shared" si="40"/>
        <v>0</v>
      </c>
      <c r="U53" s="78">
        <f t="shared" si="40"/>
        <v>250000</v>
      </c>
      <c r="V53" s="78">
        <f>SUM(V54:V55)</f>
        <v>0</v>
      </c>
      <c r="W53" s="78">
        <f>SUM(W54:W55)</f>
        <v>250000</v>
      </c>
      <c r="X53" s="78">
        <f>SUM(X54:X55)</f>
        <v>0</v>
      </c>
      <c r="Y53" s="78">
        <f>SUM(Y54:Y55)</f>
        <v>250000</v>
      </c>
    </row>
    <row r="54" spans="1:27" s="26" customFormat="1" ht="21" customHeight="1">
      <c r="A54" s="65"/>
      <c r="B54" s="79"/>
      <c r="C54" s="83">
        <v>4170</v>
      </c>
      <c r="D54" s="41" t="s">
        <v>202</v>
      </c>
      <c r="E54" s="78"/>
      <c r="F54" s="78"/>
      <c r="G54" s="78"/>
      <c r="H54" s="78"/>
      <c r="I54" s="78">
        <v>0</v>
      </c>
      <c r="J54" s="78">
        <v>50000</v>
      </c>
      <c r="K54" s="78">
        <f>SUM(I54:J54)</f>
        <v>50000</v>
      </c>
      <c r="L54" s="78"/>
      <c r="M54" s="78">
        <f>SUM(K54:L54)</f>
        <v>50000</v>
      </c>
      <c r="N54" s="78"/>
      <c r="O54" s="78">
        <f>SUM(M54:N54)</f>
        <v>50000</v>
      </c>
      <c r="P54" s="78"/>
      <c r="Q54" s="78">
        <f>SUM(O54:P54)</f>
        <v>50000</v>
      </c>
      <c r="R54" s="78"/>
      <c r="S54" s="78">
        <f>SUM(Q54:R54)</f>
        <v>50000</v>
      </c>
      <c r="T54" s="78"/>
      <c r="U54" s="78">
        <f>SUM(S54:T54)</f>
        <v>50000</v>
      </c>
      <c r="V54" s="78"/>
      <c r="W54" s="78">
        <f>SUM(U54:V54)</f>
        <v>50000</v>
      </c>
      <c r="X54" s="78"/>
      <c r="Y54" s="78">
        <f>SUM(W54:X54)</f>
        <v>50000</v>
      </c>
      <c r="Z54" s="117"/>
      <c r="AA54" s="117"/>
    </row>
    <row r="55" spans="1:25" s="26" customFormat="1" ht="21" customHeight="1">
      <c r="A55" s="65"/>
      <c r="B55" s="79"/>
      <c r="C55" s="65">
        <v>4300</v>
      </c>
      <c r="D55" s="41" t="s">
        <v>82</v>
      </c>
      <c r="E55" s="78">
        <v>250000</v>
      </c>
      <c r="F55" s="78"/>
      <c r="G55" s="78">
        <f>SUM(E55:F55)</f>
        <v>250000</v>
      </c>
      <c r="H55" s="78"/>
      <c r="I55" s="78">
        <f>SUM(G55:H55)</f>
        <v>250000</v>
      </c>
      <c r="J55" s="78">
        <v>-50000</v>
      </c>
      <c r="K55" s="78">
        <f>SUM(I55:J55)</f>
        <v>200000</v>
      </c>
      <c r="L55" s="78"/>
      <c r="M55" s="78">
        <f>SUM(K55:L55)</f>
        <v>200000</v>
      </c>
      <c r="N55" s="78"/>
      <c r="O55" s="78">
        <f>SUM(M55:N55)</f>
        <v>200000</v>
      </c>
      <c r="P55" s="78"/>
      <c r="Q55" s="78">
        <f>SUM(O55:P55)</f>
        <v>200000</v>
      </c>
      <c r="R55" s="78"/>
      <c r="S55" s="78">
        <f>SUM(Q55:R55)</f>
        <v>200000</v>
      </c>
      <c r="T55" s="78"/>
      <c r="U55" s="78">
        <f>SUM(S55:T55)</f>
        <v>200000</v>
      </c>
      <c r="V55" s="78"/>
      <c r="W55" s="78">
        <f>SUM(U55:V55)</f>
        <v>200000</v>
      </c>
      <c r="X55" s="78"/>
      <c r="Y55" s="78">
        <f>SUM(W55:X55)</f>
        <v>200000</v>
      </c>
    </row>
    <row r="56" spans="1:25" s="26" customFormat="1" ht="21" customHeight="1">
      <c r="A56" s="65"/>
      <c r="B56" s="79">
        <v>71035</v>
      </c>
      <c r="C56" s="65"/>
      <c r="D56" s="41" t="s">
        <v>14</v>
      </c>
      <c r="E56" s="78">
        <f aca="true" t="shared" si="41" ref="E56:K56">SUM(E57:E59)</f>
        <v>120500</v>
      </c>
      <c r="F56" s="78">
        <f t="shared" si="41"/>
        <v>0</v>
      </c>
      <c r="G56" s="78">
        <f t="shared" si="41"/>
        <v>120500</v>
      </c>
      <c r="H56" s="78">
        <f t="shared" si="41"/>
        <v>0</v>
      </c>
      <c r="I56" s="78">
        <f t="shared" si="41"/>
        <v>120500</v>
      </c>
      <c r="J56" s="78">
        <f t="shared" si="41"/>
        <v>0</v>
      </c>
      <c r="K56" s="78">
        <f t="shared" si="41"/>
        <v>120500</v>
      </c>
      <c r="L56" s="78">
        <f aca="true" t="shared" si="42" ref="L56:Q56">SUM(L57:L59)</f>
        <v>0</v>
      </c>
      <c r="M56" s="78">
        <f t="shared" si="42"/>
        <v>120500</v>
      </c>
      <c r="N56" s="78">
        <f t="shared" si="42"/>
        <v>0</v>
      </c>
      <c r="O56" s="78">
        <f t="shared" si="42"/>
        <v>120500</v>
      </c>
      <c r="P56" s="78">
        <f t="shared" si="42"/>
        <v>0</v>
      </c>
      <c r="Q56" s="78">
        <f t="shared" si="42"/>
        <v>120500</v>
      </c>
      <c r="R56" s="78">
        <f aca="true" t="shared" si="43" ref="R56:W56">SUM(R57:R59)</f>
        <v>0</v>
      </c>
      <c r="S56" s="78">
        <f t="shared" si="43"/>
        <v>120500</v>
      </c>
      <c r="T56" s="78">
        <f t="shared" si="43"/>
        <v>0</v>
      </c>
      <c r="U56" s="78">
        <f t="shared" si="43"/>
        <v>120500</v>
      </c>
      <c r="V56" s="78">
        <f t="shared" si="43"/>
        <v>0</v>
      </c>
      <c r="W56" s="78">
        <f t="shared" si="43"/>
        <v>120500</v>
      </c>
      <c r="X56" s="78">
        <f>SUM(X57:X59)</f>
        <v>0</v>
      </c>
      <c r="Y56" s="78">
        <f>SUM(Y57:Y59)</f>
        <v>120500</v>
      </c>
    </row>
    <row r="57" spans="1:25" s="26" customFormat="1" ht="21" customHeight="1">
      <c r="A57" s="65"/>
      <c r="B57" s="79"/>
      <c r="C57" s="65">
        <v>4260</v>
      </c>
      <c r="D57" s="41" t="s">
        <v>98</v>
      </c>
      <c r="E57" s="78">
        <f>500+2000</f>
        <v>2500</v>
      </c>
      <c r="F57" s="78"/>
      <c r="G57" s="78">
        <f>SUM(E57:F57)</f>
        <v>2500</v>
      </c>
      <c r="H57" s="78"/>
      <c r="I57" s="78">
        <f>SUM(G57:H57)</f>
        <v>2500</v>
      </c>
      <c r="J57" s="78"/>
      <c r="K57" s="78">
        <f>SUM(I57:J57)</f>
        <v>2500</v>
      </c>
      <c r="L57" s="78"/>
      <c r="M57" s="78">
        <f>SUM(K57:L57)</f>
        <v>2500</v>
      </c>
      <c r="N57" s="78"/>
      <c r="O57" s="78">
        <f>SUM(M57:N57)</f>
        <v>2500</v>
      </c>
      <c r="P57" s="78"/>
      <c r="Q57" s="78">
        <f>SUM(O57:P57)</f>
        <v>2500</v>
      </c>
      <c r="R57" s="78"/>
      <c r="S57" s="78">
        <f>SUM(Q57:R57)</f>
        <v>2500</v>
      </c>
      <c r="T57" s="78"/>
      <c r="U57" s="78">
        <f>SUM(S57:T57)</f>
        <v>2500</v>
      </c>
      <c r="V57" s="78"/>
      <c r="W57" s="78">
        <f>SUM(U57:V57)</f>
        <v>2500</v>
      </c>
      <c r="X57" s="78"/>
      <c r="Y57" s="78">
        <f>SUM(W57:X57)</f>
        <v>2500</v>
      </c>
    </row>
    <row r="58" spans="1:25" s="26" customFormat="1" ht="21" customHeight="1">
      <c r="A58" s="65"/>
      <c r="B58" s="79"/>
      <c r="C58" s="65">
        <v>4270</v>
      </c>
      <c r="D58" s="41" t="s">
        <v>81</v>
      </c>
      <c r="E58" s="78">
        <v>100000</v>
      </c>
      <c r="F58" s="78"/>
      <c r="G58" s="78">
        <f>SUM(E58:F58)</f>
        <v>100000</v>
      </c>
      <c r="H58" s="78"/>
      <c r="I58" s="78">
        <f>SUM(G58:H58)</f>
        <v>100000</v>
      </c>
      <c r="J58" s="78"/>
      <c r="K58" s="78">
        <f>SUM(I58:J58)</f>
        <v>100000</v>
      </c>
      <c r="L58" s="78"/>
      <c r="M58" s="78">
        <f>SUM(K58:L58)</f>
        <v>100000</v>
      </c>
      <c r="N58" s="78"/>
      <c r="O58" s="78">
        <f>SUM(M58:N58)</f>
        <v>100000</v>
      </c>
      <c r="P58" s="78"/>
      <c r="Q58" s="78">
        <f>SUM(O58:P58)</f>
        <v>100000</v>
      </c>
      <c r="R58" s="78"/>
      <c r="S58" s="78">
        <f>SUM(Q58:R58)</f>
        <v>100000</v>
      </c>
      <c r="T58" s="78"/>
      <c r="U58" s="78">
        <f>SUM(S58:T58)</f>
        <v>100000</v>
      </c>
      <c r="V58" s="78"/>
      <c r="W58" s="78">
        <f>SUM(U58:V58)</f>
        <v>100000</v>
      </c>
      <c r="X58" s="78"/>
      <c r="Y58" s="78">
        <f>SUM(W58:X58)</f>
        <v>100000</v>
      </c>
    </row>
    <row r="59" spans="1:25" s="26" customFormat="1" ht="21" customHeight="1">
      <c r="A59" s="65"/>
      <c r="B59" s="79"/>
      <c r="C59" s="65">
        <v>4300</v>
      </c>
      <c r="D59" s="41" t="s">
        <v>82</v>
      </c>
      <c r="E59" s="78">
        <v>18000</v>
      </c>
      <c r="F59" s="78"/>
      <c r="G59" s="78">
        <f>SUM(E59:F59)</f>
        <v>18000</v>
      </c>
      <c r="H59" s="78"/>
      <c r="I59" s="78">
        <f>SUM(G59:H59)</f>
        <v>18000</v>
      </c>
      <c r="J59" s="78"/>
      <c r="K59" s="78">
        <f>SUM(I59:J59)</f>
        <v>18000</v>
      </c>
      <c r="L59" s="78"/>
      <c r="M59" s="78">
        <f>SUM(K59:L59)</f>
        <v>18000</v>
      </c>
      <c r="N59" s="78"/>
      <c r="O59" s="78">
        <f>SUM(M59:N59)</f>
        <v>18000</v>
      </c>
      <c r="P59" s="78"/>
      <c r="Q59" s="78">
        <f>SUM(O59:P59)</f>
        <v>18000</v>
      </c>
      <c r="R59" s="78"/>
      <c r="S59" s="78">
        <f>SUM(Q59:R59)</f>
        <v>18000</v>
      </c>
      <c r="T59" s="78"/>
      <c r="U59" s="78">
        <f>SUM(S59:T59)</f>
        <v>18000</v>
      </c>
      <c r="V59" s="78"/>
      <c r="W59" s="78">
        <f>SUM(U59:V59)</f>
        <v>18000</v>
      </c>
      <c r="X59" s="78"/>
      <c r="Y59" s="78">
        <f>SUM(W59:X59)</f>
        <v>18000</v>
      </c>
    </row>
    <row r="60" spans="1:25" s="8" customFormat="1" ht="21" customHeight="1">
      <c r="A60" s="36" t="s">
        <v>15</v>
      </c>
      <c r="B60" s="37"/>
      <c r="C60" s="38"/>
      <c r="D60" s="39" t="s">
        <v>86</v>
      </c>
      <c r="E60" s="40">
        <f aca="true" t="shared" si="44" ref="E60:K60">SUM(E61,E79,E90,E115,E128,)</f>
        <v>6340577</v>
      </c>
      <c r="F60" s="40">
        <f t="shared" si="44"/>
        <v>-681500</v>
      </c>
      <c r="G60" s="40">
        <f t="shared" si="44"/>
        <v>5659077</v>
      </c>
      <c r="H60" s="40">
        <f t="shared" si="44"/>
        <v>0</v>
      </c>
      <c r="I60" s="40">
        <f t="shared" si="44"/>
        <v>5659077</v>
      </c>
      <c r="J60" s="40">
        <f t="shared" si="44"/>
        <v>0</v>
      </c>
      <c r="K60" s="40">
        <f t="shared" si="44"/>
        <v>5659077</v>
      </c>
      <c r="L60" s="40">
        <f aca="true" t="shared" si="45" ref="L60:Q60">SUM(L61,L79,L90,L115,L128,)</f>
        <v>14000</v>
      </c>
      <c r="M60" s="40">
        <f t="shared" si="45"/>
        <v>5673077</v>
      </c>
      <c r="N60" s="40">
        <f t="shared" si="45"/>
        <v>0</v>
      </c>
      <c r="O60" s="40">
        <f t="shared" si="45"/>
        <v>5673077</v>
      </c>
      <c r="P60" s="40">
        <f t="shared" si="45"/>
        <v>0</v>
      </c>
      <c r="Q60" s="40">
        <f t="shared" si="45"/>
        <v>5673077</v>
      </c>
      <c r="R60" s="40">
        <f aca="true" t="shared" si="46" ref="R60:W60">SUM(R61,R79,R90,R115,R128,)</f>
        <v>-300</v>
      </c>
      <c r="S60" s="40">
        <f t="shared" si="46"/>
        <v>5672777</v>
      </c>
      <c r="T60" s="40">
        <f t="shared" si="46"/>
        <v>0</v>
      </c>
      <c r="U60" s="40">
        <f t="shared" si="46"/>
        <v>5672777</v>
      </c>
      <c r="V60" s="40">
        <f t="shared" si="46"/>
        <v>0</v>
      </c>
      <c r="W60" s="40">
        <f t="shared" si="46"/>
        <v>5672777</v>
      </c>
      <c r="X60" s="40">
        <f>SUM(X61,X79,X90,X115,X128,)</f>
        <v>0</v>
      </c>
      <c r="Y60" s="40">
        <f>SUM(Y61,Y79,Y90,Y115,Y128,)</f>
        <v>5672777</v>
      </c>
    </row>
    <row r="61" spans="1:25" s="26" customFormat="1" ht="21" customHeight="1">
      <c r="A61" s="65"/>
      <c r="B61" s="79">
        <v>75011</v>
      </c>
      <c r="C61" s="83"/>
      <c r="D61" s="41" t="s">
        <v>17</v>
      </c>
      <c r="E61" s="78">
        <f aca="true" t="shared" si="47" ref="E61:K61">SUM(E62:E78)</f>
        <v>382320</v>
      </c>
      <c r="F61" s="78">
        <f t="shared" si="47"/>
        <v>0</v>
      </c>
      <c r="G61" s="78">
        <f t="shared" si="47"/>
        <v>382320</v>
      </c>
      <c r="H61" s="78">
        <f t="shared" si="47"/>
        <v>0</v>
      </c>
      <c r="I61" s="78">
        <f t="shared" si="47"/>
        <v>382320</v>
      </c>
      <c r="J61" s="78">
        <f t="shared" si="47"/>
        <v>0</v>
      </c>
      <c r="K61" s="78">
        <f t="shared" si="47"/>
        <v>382320</v>
      </c>
      <c r="L61" s="78">
        <f aca="true" t="shared" si="48" ref="L61:Q61">SUM(L62:L78)</f>
        <v>0</v>
      </c>
      <c r="M61" s="78">
        <f t="shared" si="48"/>
        <v>382320</v>
      </c>
      <c r="N61" s="78">
        <f t="shared" si="48"/>
        <v>0</v>
      </c>
      <c r="O61" s="78">
        <f t="shared" si="48"/>
        <v>382320</v>
      </c>
      <c r="P61" s="78">
        <f t="shared" si="48"/>
        <v>0</v>
      </c>
      <c r="Q61" s="78">
        <f t="shared" si="48"/>
        <v>382320</v>
      </c>
      <c r="R61" s="78">
        <f aca="true" t="shared" si="49" ref="R61:W61">SUM(R62:R78)</f>
        <v>-1500</v>
      </c>
      <c r="S61" s="78">
        <f t="shared" si="49"/>
        <v>380820</v>
      </c>
      <c r="T61" s="78">
        <f t="shared" si="49"/>
        <v>1500</v>
      </c>
      <c r="U61" s="78">
        <f t="shared" si="49"/>
        <v>382320</v>
      </c>
      <c r="V61" s="78">
        <f t="shared" si="49"/>
        <v>0</v>
      </c>
      <c r="W61" s="78">
        <f t="shared" si="49"/>
        <v>382320</v>
      </c>
      <c r="X61" s="78">
        <f>SUM(X62:X78)</f>
        <v>0</v>
      </c>
      <c r="Y61" s="78">
        <f>SUM(Y62:Y78)</f>
        <v>382320</v>
      </c>
    </row>
    <row r="62" spans="1:25" s="26" customFormat="1" ht="21" customHeight="1">
      <c r="A62" s="65"/>
      <c r="B62" s="79"/>
      <c r="C62" s="83">
        <v>3020</v>
      </c>
      <c r="D62" s="41" t="s">
        <v>199</v>
      </c>
      <c r="E62" s="78">
        <v>1760</v>
      </c>
      <c r="F62" s="78"/>
      <c r="G62" s="78">
        <f>SUM(E62:F62)</f>
        <v>1760</v>
      </c>
      <c r="H62" s="78"/>
      <c r="I62" s="78">
        <f>SUM(G62:H62)</f>
        <v>1760</v>
      </c>
      <c r="J62" s="78"/>
      <c r="K62" s="78">
        <f>SUM(I62:J62)</f>
        <v>1760</v>
      </c>
      <c r="L62" s="78"/>
      <c r="M62" s="78">
        <f>SUM(K62:L62)</f>
        <v>1760</v>
      </c>
      <c r="N62" s="78"/>
      <c r="O62" s="78">
        <f>SUM(M62:N62)</f>
        <v>1760</v>
      </c>
      <c r="P62" s="78"/>
      <c r="Q62" s="78">
        <f>SUM(O62:P62)</f>
        <v>1760</v>
      </c>
      <c r="R62" s="78"/>
      <c r="S62" s="78">
        <f>SUM(Q62:R62)</f>
        <v>1760</v>
      </c>
      <c r="T62" s="78"/>
      <c r="U62" s="78">
        <f>SUM(S62:T62)</f>
        <v>1760</v>
      </c>
      <c r="V62" s="78"/>
      <c r="W62" s="78">
        <f>SUM(U62:V62)</f>
        <v>1760</v>
      </c>
      <c r="X62" s="78"/>
      <c r="Y62" s="78">
        <f>SUM(W62:X62)</f>
        <v>1760</v>
      </c>
    </row>
    <row r="63" spans="1:27" s="26" customFormat="1" ht="21" customHeight="1">
      <c r="A63" s="65"/>
      <c r="B63" s="84"/>
      <c r="C63" s="65">
        <v>4010</v>
      </c>
      <c r="D63" s="41" t="s">
        <v>87</v>
      </c>
      <c r="E63" s="78">
        <f>112525+155895</f>
        <v>268420</v>
      </c>
      <c r="F63" s="78"/>
      <c r="G63" s="78">
        <f aca="true" t="shared" si="50" ref="G63:G78">SUM(E63:F63)</f>
        <v>268420</v>
      </c>
      <c r="H63" s="78"/>
      <c r="I63" s="78">
        <f aca="true" t="shared" si="51" ref="I63:I78">SUM(G63:H63)</f>
        <v>268420</v>
      </c>
      <c r="J63" s="78"/>
      <c r="K63" s="78">
        <f aca="true" t="shared" si="52" ref="K63:K78">SUM(I63:J63)</f>
        <v>268420</v>
      </c>
      <c r="L63" s="78"/>
      <c r="M63" s="78">
        <f aca="true" t="shared" si="53" ref="M63:M74">SUM(K63:L63)</f>
        <v>268420</v>
      </c>
      <c r="N63" s="78"/>
      <c r="O63" s="78">
        <f aca="true" t="shared" si="54" ref="O63:O74">SUM(M63:N63)</f>
        <v>268420</v>
      </c>
      <c r="P63" s="78"/>
      <c r="Q63" s="78">
        <f aca="true" t="shared" si="55" ref="Q63:Q74">SUM(O63:P63)</f>
        <v>268420</v>
      </c>
      <c r="R63" s="78"/>
      <c r="S63" s="78">
        <f aca="true" t="shared" si="56" ref="S63:S74">SUM(Q63:R63)</f>
        <v>268420</v>
      </c>
      <c r="T63" s="78"/>
      <c r="U63" s="78">
        <f aca="true" t="shared" si="57" ref="U63:U74">SUM(S63:T63)</f>
        <v>268420</v>
      </c>
      <c r="V63" s="78"/>
      <c r="W63" s="78">
        <f aca="true" t="shared" si="58" ref="W63:W74">SUM(U63:V63)</f>
        <v>268420</v>
      </c>
      <c r="X63" s="78"/>
      <c r="Y63" s="78">
        <f aca="true" t="shared" si="59" ref="Y63:Y74">SUM(W63:X63)</f>
        <v>268420</v>
      </c>
      <c r="Z63" s="117"/>
      <c r="AA63" s="117"/>
    </row>
    <row r="64" spans="1:27" s="26" customFormat="1" ht="21" customHeight="1">
      <c r="A64" s="65"/>
      <c r="B64" s="84"/>
      <c r="C64" s="65">
        <v>4040</v>
      </c>
      <c r="D64" s="41" t="s">
        <v>88</v>
      </c>
      <c r="E64" s="78">
        <v>19000</v>
      </c>
      <c r="F64" s="78"/>
      <c r="G64" s="78">
        <f t="shared" si="50"/>
        <v>19000</v>
      </c>
      <c r="H64" s="78"/>
      <c r="I64" s="78">
        <f t="shared" si="51"/>
        <v>19000</v>
      </c>
      <c r="J64" s="78"/>
      <c r="K64" s="78">
        <f t="shared" si="52"/>
        <v>19000</v>
      </c>
      <c r="L64" s="78"/>
      <c r="M64" s="78">
        <f t="shared" si="53"/>
        <v>19000</v>
      </c>
      <c r="N64" s="78"/>
      <c r="O64" s="78">
        <f t="shared" si="54"/>
        <v>19000</v>
      </c>
      <c r="P64" s="78"/>
      <c r="Q64" s="78">
        <f t="shared" si="55"/>
        <v>19000</v>
      </c>
      <c r="R64" s="78"/>
      <c r="S64" s="78">
        <f t="shared" si="56"/>
        <v>19000</v>
      </c>
      <c r="T64" s="78"/>
      <c r="U64" s="78">
        <f t="shared" si="57"/>
        <v>19000</v>
      </c>
      <c r="V64" s="78"/>
      <c r="W64" s="78">
        <f t="shared" si="58"/>
        <v>19000</v>
      </c>
      <c r="X64" s="78"/>
      <c r="Y64" s="78">
        <f t="shared" si="59"/>
        <v>19000</v>
      </c>
      <c r="Z64" s="117"/>
      <c r="AA64" s="117"/>
    </row>
    <row r="65" spans="1:27" s="26" customFormat="1" ht="21" customHeight="1">
      <c r="A65" s="65"/>
      <c r="B65" s="84"/>
      <c r="C65" s="65">
        <v>4110</v>
      </c>
      <c r="D65" s="41" t="s">
        <v>89</v>
      </c>
      <c r="E65" s="78">
        <f>13626+29582</f>
        <v>43208</v>
      </c>
      <c r="F65" s="78"/>
      <c r="G65" s="78">
        <f t="shared" si="50"/>
        <v>43208</v>
      </c>
      <c r="H65" s="78"/>
      <c r="I65" s="78">
        <f t="shared" si="51"/>
        <v>43208</v>
      </c>
      <c r="J65" s="78"/>
      <c r="K65" s="78">
        <f t="shared" si="52"/>
        <v>43208</v>
      </c>
      <c r="L65" s="78"/>
      <c r="M65" s="78">
        <f t="shared" si="53"/>
        <v>43208</v>
      </c>
      <c r="N65" s="78"/>
      <c r="O65" s="78">
        <f t="shared" si="54"/>
        <v>43208</v>
      </c>
      <c r="P65" s="78"/>
      <c r="Q65" s="78">
        <f t="shared" si="55"/>
        <v>43208</v>
      </c>
      <c r="R65" s="78"/>
      <c r="S65" s="78">
        <f t="shared" si="56"/>
        <v>43208</v>
      </c>
      <c r="T65" s="78"/>
      <c r="U65" s="78">
        <f t="shared" si="57"/>
        <v>43208</v>
      </c>
      <c r="V65" s="78"/>
      <c r="W65" s="78">
        <f t="shared" si="58"/>
        <v>43208</v>
      </c>
      <c r="X65" s="78"/>
      <c r="Y65" s="78">
        <f t="shared" si="59"/>
        <v>43208</v>
      </c>
      <c r="Z65" s="117"/>
      <c r="AA65" s="117"/>
    </row>
    <row r="66" spans="1:27" s="26" customFormat="1" ht="21" customHeight="1">
      <c r="A66" s="65"/>
      <c r="B66" s="84"/>
      <c r="C66" s="65">
        <v>4120</v>
      </c>
      <c r="D66" s="41" t="s">
        <v>90</v>
      </c>
      <c r="E66" s="78">
        <f>2186+4743</f>
        <v>6929</v>
      </c>
      <c r="F66" s="78"/>
      <c r="G66" s="78">
        <f t="shared" si="50"/>
        <v>6929</v>
      </c>
      <c r="H66" s="78"/>
      <c r="I66" s="78">
        <f t="shared" si="51"/>
        <v>6929</v>
      </c>
      <c r="J66" s="78"/>
      <c r="K66" s="78">
        <f t="shared" si="52"/>
        <v>6929</v>
      </c>
      <c r="L66" s="78"/>
      <c r="M66" s="78">
        <f t="shared" si="53"/>
        <v>6929</v>
      </c>
      <c r="N66" s="78"/>
      <c r="O66" s="78">
        <f t="shared" si="54"/>
        <v>6929</v>
      </c>
      <c r="P66" s="78"/>
      <c r="Q66" s="78">
        <f t="shared" si="55"/>
        <v>6929</v>
      </c>
      <c r="R66" s="78"/>
      <c r="S66" s="78">
        <f t="shared" si="56"/>
        <v>6929</v>
      </c>
      <c r="T66" s="78"/>
      <c r="U66" s="78">
        <f t="shared" si="57"/>
        <v>6929</v>
      </c>
      <c r="V66" s="78"/>
      <c r="W66" s="78">
        <f t="shared" si="58"/>
        <v>6929</v>
      </c>
      <c r="X66" s="78"/>
      <c r="Y66" s="78">
        <f t="shared" si="59"/>
        <v>6929</v>
      </c>
      <c r="Z66" s="117"/>
      <c r="AA66" s="117"/>
    </row>
    <row r="67" spans="1:25" s="26" customFormat="1" ht="21" customHeight="1">
      <c r="A67" s="65"/>
      <c r="B67" s="84"/>
      <c r="C67" s="65">
        <v>4210</v>
      </c>
      <c r="D67" s="41" t="s">
        <v>95</v>
      </c>
      <c r="E67" s="78">
        <v>13980</v>
      </c>
      <c r="F67" s="78"/>
      <c r="G67" s="78">
        <f t="shared" si="50"/>
        <v>13980</v>
      </c>
      <c r="H67" s="78"/>
      <c r="I67" s="78">
        <f t="shared" si="51"/>
        <v>13980</v>
      </c>
      <c r="J67" s="78">
        <v>-500</v>
      </c>
      <c r="K67" s="78">
        <f t="shared" si="52"/>
        <v>13480</v>
      </c>
      <c r="L67" s="78"/>
      <c r="M67" s="78">
        <f t="shared" si="53"/>
        <v>13480</v>
      </c>
      <c r="N67" s="78"/>
      <c r="O67" s="78">
        <f t="shared" si="54"/>
        <v>13480</v>
      </c>
      <c r="P67" s="78"/>
      <c r="Q67" s="78">
        <f t="shared" si="55"/>
        <v>13480</v>
      </c>
      <c r="R67" s="78"/>
      <c r="S67" s="78">
        <f t="shared" si="56"/>
        <v>13480</v>
      </c>
      <c r="T67" s="78"/>
      <c r="U67" s="78">
        <f t="shared" si="57"/>
        <v>13480</v>
      </c>
      <c r="V67" s="78"/>
      <c r="W67" s="78">
        <f t="shared" si="58"/>
        <v>13480</v>
      </c>
      <c r="X67" s="78"/>
      <c r="Y67" s="78">
        <f t="shared" si="59"/>
        <v>13480</v>
      </c>
    </row>
    <row r="68" spans="1:25" s="26" customFormat="1" ht="21" customHeight="1">
      <c r="A68" s="65"/>
      <c r="B68" s="84"/>
      <c r="C68" s="65">
        <v>4270</v>
      </c>
      <c r="D68" s="41" t="s">
        <v>81</v>
      </c>
      <c r="E68" s="78">
        <v>2000</v>
      </c>
      <c r="F68" s="78"/>
      <c r="G68" s="78">
        <f t="shared" si="50"/>
        <v>2000</v>
      </c>
      <c r="H68" s="78"/>
      <c r="I68" s="78">
        <f t="shared" si="51"/>
        <v>2000</v>
      </c>
      <c r="J68" s="78"/>
      <c r="K68" s="78">
        <f t="shared" si="52"/>
        <v>2000</v>
      </c>
      <c r="L68" s="78"/>
      <c r="M68" s="78">
        <f t="shared" si="53"/>
        <v>2000</v>
      </c>
      <c r="N68" s="78"/>
      <c r="O68" s="78">
        <f t="shared" si="54"/>
        <v>2000</v>
      </c>
      <c r="P68" s="78"/>
      <c r="Q68" s="78">
        <f t="shared" si="55"/>
        <v>2000</v>
      </c>
      <c r="R68" s="78"/>
      <c r="S68" s="78">
        <f t="shared" si="56"/>
        <v>2000</v>
      </c>
      <c r="T68" s="78"/>
      <c r="U68" s="78">
        <f t="shared" si="57"/>
        <v>2000</v>
      </c>
      <c r="V68" s="78"/>
      <c r="W68" s="78">
        <f t="shared" si="58"/>
        <v>2000</v>
      </c>
      <c r="X68" s="78"/>
      <c r="Y68" s="78">
        <f t="shared" si="59"/>
        <v>2000</v>
      </c>
    </row>
    <row r="69" spans="1:25" s="26" customFormat="1" ht="21" customHeight="1">
      <c r="A69" s="65"/>
      <c r="B69" s="84"/>
      <c r="C69" s="65">
        <v>4280</v>
      </c>
      <c r="D69" s="41" t="s">
        <v>226</v>
      </c>
      <c r="E69" s="78">
        <v>960</v>
      </c>
      <c r="F69" s="78"/>
      <c r="G69" s="78">
        <f t="shared" si="50"/>
        <v>960</v>
      </c>
      <c r="H69" s="78"/>
      <c r="I69" s="78">
        <f t="shared" si="51"/>
        <v>960</v>
      </c>
      <c r="J69" s="78"/>
      <c r="K69" s="78">
        <f t="shared" si="52"/>
        <v>960</v>
      </c>
      <c r="L69" s="78"/>
      <c r="M69" s="78">
        <f t="shared" si="53"/>
        <v>960</v>
      </c>
      <c r="N69" s="78"/>
      <c r="O69" s="78">
        <f t="shared" si="54"/>
        <v>960</v>
      </c>
      <c r="P69" s="78"/>
      <c r="Q69" s="78">
        <f t="shared" si="55"/>
        <v>960</v>
      </c>
      <c r="R69" s="78"/>
      <c r="S69" s="78">
        <f t="shared" si="56"/>
        <v>960</v>
      </c>
      <c r="T69" s="78"/>
      <c r="U69" s="78">
        <f t="shared" si="57"/>
        <v>960</v>
      </c>
      <c r="V69" s="78"/>
      <c r="W69" s="78">
        <f t="shared" si="58"/>
        <v>960</v>
      </c>
      <c r="X69" s="78"/>
      <c r="Y69" s="78">
        <f t="shared" si="59"/>
        <v>960</v>
      </c>
    </row>
    <row r="70" spans="1:25" s="26" customFormat="1" ht="21" customHeight="1">
      <c r="A70" s="65"/>
      <c r="B70" s="84"/>
      <c r="C70" s="65">
        <v>4300</v>
      </c>
      <c r="D70" s="41" t="s">
        <v>82</v>
      </c>
      <c r="E70" s="78">
        <v>5000</v>
      </c>
      <c r="F70" s="78"/>
      <c r="G70" s="78">
        <f t="shared" si="50"/>
        <v>5000</v>
      </c>
      <c r="H70" s="78"/>
      <c r="I70" s="78">
        <f t="shared" si="51"/>
        <v>5000</v>
      </c>
      <c r="J70" s="78"/>
      <c r="K70" s="78">
        <f t="shared" si="52"/>
        <v>5000</v>
      </c>
      <c r="L70" s="78"/>
      <c r="M70" s="78">
        <f t="shared" si="53"/>
        <v>5000</v>
      </c>
      <c r="N70" s="78"/>
      <c r="O70" s="78">
        <f t="shared" si="54"/>
        <v>5000</v>
      </c>
      <c r="P70" s="78"/>
      <c r="Q70" s="78">
        <f t="shared" si="55"/>
        <v>5000</v>
      </c>
      <c r="R70" s="78">
        <v>-1500</v>
      </c>
      <c r="S70" s="78">
        <f t="shared" si="56"/>
        <v>3500</v>
      </c>
      <c r="T70" s="78">
        <v>1500</v>
      </c>
      <c r="U70" s="78">
        <f t="shared" si="57"/>
        <v>5000</v>
      </c>
      <c r="V70" s="78"/>
      <c r="W70" s="78">
        <f t="shared" si="58"/>
        <v>5000</v>
      </c>
      <c r="X70" s="78"/>
      <c r="Y70" s="78">
        <f t="shared" si="59"/>
        <v>5000</v>
      </c>
    </row>
    <row r="71" spans="1:25" s="26" customFormat="1" ht="24">
      <c r="A71" s="65"/>
      <c r="B71" s="84"/>
      <c r="C71" s="65">
        <v>4370</v>
      </c>
      <c r="D71" s="41" t="s">
        <v>235</v>
      </c>
      <c r="E71" s="78">
        <v>2000</v>
      </c>
      <c r="F71" s="78"/>
      <c r="G71" s="78">
        <f t="shared" si="50"/>
        <v>2000</v>
      </c>
      <c r="H71" s="78"/>
      <c r="I71" s="78">
        <f t="shared" si="51"/>
        <v>2000</v>
      </c>
      <c r="J71" s="78"/>
      <c r="K71" s="78">
        <f t="shared" si="52"/>
        <v>2000</v>
      </c>
      <c r="L71" s="78"/>
      <c r="M71" s="78">
        <f t="shared" si="53"/>
        <v>2000</v>
      </c>
      <c r="N71" s="78"/>
      <c r="O71" s="78">
        <f t="shared" si="54"/>
        <v>2000</v>
      </c>
      <c r="P71" s="78"/>
      <c r="Q71" s="78">
        <f t="shared" si="55"/>
        <v>2000</v>
      </c>
      <c r="R71" s="78"/>
      <c r="S71" s="78">
        <f t="shared" si="56"/>
        <v>2000</v>
      </c>
      <c r="T71" s="78"/>
      <c r="U71" s="78">
        <f t="shared" si="57"/>
        <v>2000</v>
      </c>
      <c r="V71" s="78"/>
      <c r="W71" s="78">
        <f t="shared" si="58"/>
        <v>2000</v>
      </c>
      <c r="X71" s="78"/>
      <c r="Y71" s="78">
        <f t="shared" si="59"/>
        <v>2000</v>
      </c>
    </row>
    <row r="72" spans="1:25" s="26" customFormat="1" ht="21" customHeight="1">
      <c r="A72" s="65"/>
      <c r="B72" s="84"/>
      <c r="C72" s="65">
        <v>4410</v>
      </c>
      <c r="D72" s="41" t="s">
        <v>93</v>
      </c>
      <c r="E72" s="78">
        <v>1000</v>
      </c>
      <c r="F72" s="78"/>
      <c r="G72" s="78">
        <f t="shared" si="50"/>
        <v>1000</v>
      </c>
      <c r="H72" s="78"/>
      <c r="I72" s="78">
        <f t="shared" si="51"/>
        <v>1000</v>
      </c>
      <c r="J72" s="78"/>
      <c r="K72" s="78">
        <f t="shared" si="52"/>
        <v>1000</v>
      </c>
      <c r="L72" s="78"/>
      <c r="M72" s="78">
        <f t="shared" si="53"/>
        <v>1000</v>
      </c>
      <c r="N72" s="78"/>
      <c r="O72" s="78">
        <f t="shared" si="54"/>
        <v>1000</v>
      </c>
      <c r="P72" s="78"/>
      <c r="Q72" s="78">
        <f t="shared" si="55"/>
        <v>1000</v>
      </c>
      <c r="R72" s="78"/>
      <c r="S72" s="78">
        <f t="shared" si="56"/>
        <v>1000</v>
      </c>
      <c r="T72" s="78"/>
      <c r="U72" s="78">
        <f t="shared" si="57"/>
        <v>1000</v>
      </c>
      <c r="V72" s="78"/>
      <c r="W72" s="78">
        <f t="shared" si="58"/>
        <v>1000</v>
      </c>
      <c r="X72" s="78"/>
      <c r="Y72" s="78">
        <f t="shared" si="59"/>
        <v>1000</v>
      </c>
    </row>
    <row r="73" spans="1:25" s="26" customFormat="1" ht="21" customHeight="1">
      <c r="A73" s="65"/>
      <c r="B73" s="84"/>
      <c r="C73" s="65">
        <v>4430</v>
      </c>
      <c r="D73" s="41" t="s">
        <v>97</v>
      </c>
      <c r="E73" s="78">
        <v>3500</v>
      </c>
      <c r="F73" s="78"/>
      <c r="G73" s="78">
        <f t="shared" si="50"/>
        <v>3500</v>
      </c>
      <c r="H73" s="78"/>
      <c r="I73" s="78">
        <f t="shared" si="51"/>
        <v>3500</v>
      </c>
      <c r="J73" s="78"/>
      <c r="K73" s="78">
        <f t="shared" si="52"/>
        <v>3500</v>
      </c>
      <c r="L73" s="78"/>
      <c r="M73" s="78">
        <f t="shared" si="53"/>
        <v>3500</v>
      </c>
      <c r="N73" s="78"/>
      <c r="O73" s="78">
        <f t="shared" si="54"/>
        <v>3500</v>
      </c>
      <c r="P73" s="78"/>
      <c r="Q73" s="78">
        <f t="shared" si="55"/>
        <v>3500</v>
      </c>
      <c r="R73" s="78"/>
      <c r="S73" s="78">
        <f t="shared" si="56"/>
        <v>3500</v>
      </c>
      <c r="T73" s="78"/>
      <c r="U73" s="78">
        <f t="shared" si="57"/>
        <v>3500</v>
      </c>
      <c r="V73" s="78"/>
      <c r="W73" s="78">
        <f t="shared" si="58"/>
        <v>3500</v>
      </c>
      <c r="X73" s="78"/>
      <c r="Y73" s="78">
        <f t="shared" si="59"/>
        <v>3500</v>
      </c>
    </row>
    <row r="74" spans="1:25" s="26" customFormat="1" ht="24">
      <c r="A74" s="65"/>
      <c r="B74" s="84"/>
      <c r="C74" s="68">
        <v>4440</v>
      </c>
      <c r="D74" s="41" t="s">
        <v>91</v>
      </c>
      <c r="E74" s="78">
        <v>9263</v>
      </c>
      <c r="F74" s="78"/>
      <c r="G74" s="78">
        <f t="shared" si="50"/>
        <v>9263</v>
      </c>
      <c r="H74" s="78"/>
      <c r="I74" s="78">
        <f t="shared" si="51"/>
        <v>9263</v>
      </c>
      <c r="J74" s="78"/>
      <c r="K74" s="78">
        <f t="shared" si="52"/>
        <v>9263</v>
      </c>
      <c r="L74" s="78"/>
      <c r="M74" s="78">
        <f t="shared" si="53"/>
        <v>9263</v>
      </c>
      <c r="N74" s="78"/>
      <c r="O74" s="78">
        <f t="shared" si="54"/>
        <v>9263</v>
      </c>
      <c r="P74" s="78"/>
      <c r="Q74" s="78">
        <f t="shared" si="55"/>
        <v>9263</v>
      </c>
      <c r="R74" s="78"/>
      <c r="S74" s="78">
        <f t="shared" si="56"/>
        <v>9263</v>
      </c>
      <c r="T74" s="78"/>
      <c r="U74" s="78">
        <f t="shared" si="57"/>
        <v>9263</v>
      </c>
      <c r="V74" s="78"/>
      <c r="W74" s="78">
        <f t="shared" si="58"/>
        <v>9263</v>
      </c>
      <c r="X74" s="78"/>
      <c r="Y74" s="78">
        <f t="shared" si="59"/>
        <v>9263</v>
      </c>
    </row>
    <row r="75" spans="1:25" s="26" customFormat="1" ht="21" customHeight="1">
      <c r="A75" s="65"/>
      <c r="B75" s="84"/>
      <c r="C75" s="68">
        <v>4580</v>
      </c>
      <c r="D75" s="41" t="s">
        <v>11</v>
      </c>
      <c r="E75" s="78"/>
      <c r="F75" s="78"/>
      <c r="G75" s="78"/>
      <c r="H75" s="78"/>
      <c r="I75" s="78">
        <v>0</v>
      </c>
      <c r="J75" s="78">
        <v>500</v>
      </c>
      <c r="K75" s="78">
        <f>SUM(I75:J75)</f>
        <v>500</v>
      </c>
      <c r="L75" s="78"/>
      <c r="M75" s="78">
        <f>SUM(K75:L75)</f>
        <v>500</v>
      </c>
      <c r="N75" s="78"/>
      <c r="O75" s="78">
        <f>SUM(M75:N75)</f>
        <v>500</v>
      </c>
      <c r="P75" s="78"/>
      <c r="Q75" s="78">
        <f>SUM(O75:P75)</f>
        <v>500</v>
      </c>
      <c r="R75" s="78"/>
      <c r="S75" s="78">
        <f>SUM(Q75:R75)</f>
        <v>500</v>
      </c>
      <c r="T75" s="78"/>
      <c r="U75" s="78">
        <f>SUM(S75:T75)</f>
        <v>500</v>
      </c>
      <c r="V75" s="78"/>
      <c r="W75" s="78">
        <f>SUM(U75:V75)</f>
        <v>500</v>
      </c>
      <c r="X75" s="78"/>
      <c r="Y75" s="78">
        <f>SUM(W75:X75)</f>
        <v>500</v>
      </c>
    </row>
    <row r="76" spans="1:25" s="26" customFormat="1" ht="24">
      <c r="A76" s="65"/>
      <c r="B76" s="84"/>
      <c r="C76" s="68">
        <v>4700</v>
      </c>
      <c r="D76" s="41" t="s">
        <v>272</v>
      </c>
      <c r="E76" s="78">
        <v>3300</v>
      </c>
      <c r="F76" s="78"/>
      <c r="G76" s="78">
        <f t="shared" si="50"/>
        <v>3300</v>
      </c>
      <c r="H76" s="78"/>
      <c r="I76" s="78">
        <f t="shared" si="51"/>
        <v>3300</v>
      </c>
      <c r="J76" s="78"/>
      <c r="K76" s="78">
        <f t="shared" si="52"/>
        <v>3300</v>
      </c>
      <c r="L76" s="78"/>
      <c r="M76" s="78">
        <f>SUM(K76:L76)</f>
        <v>3300</v>
      </c>
      <c r="N76" s="78"/>
      <c r="O76" s="78">
        <f>SUM(M76:N76)</f>
        <v>3300</v>
      </c>
      <c r="P76" s="78"/>
      <c r="Q76" s="78">
        <f>SUM(O76:P76)</f>
        <v>3300</v>
      </c>
      <c r="R76" s="78"/>
      <c r="S76" s="78">
        <f>SUM(Q76:R76)</f>
        <v>3300</v>
      </c>
      <c r="T76" s="78"/>
      <c r="U76" s="78">
        <f>SUM(S76:T76)</f>
        <v>3300</v>
      </c>
      <c r="V76" s="78"/>
      <c r="W76" s="78">
        <f>SUM(U76:V76)</f>
        <v>3300</v>
      </c>
      <c r="X76" s="78"/>
      <c r="Y76" s="78">
        <f>SUM(W76:X76)</f>
        <v>3300</v>
      </c>
    </row>
    <row r="77" spans="1:25" s="26" customFormat="1" ht="24">
      <c r="A77" s="65"/>
      <c r="B77" s="84"/>
      <c r="C77" s="68">
        <v>4740</v>
      </c>
      <c r="D77" s="41" t="s">
        <v>236</v>
      </c>
      <c r="E77" s="78">
        <v>1000</v>
      </c>
      <c r="F77" s="78"/>
      <c r="G77" s="78">
        <f t="shared" si="50"/>
        <v>1000</v>
      </c>
      <c r="H77" s="78"/>
      <c r="I77" s="78">
        <f t="shared" si="51"/>
        <v>1000</v>
      </c>
      <c r="J77" s="78"/>
      <c r="K77" s="78">
        <f t="shared" si="52"/>
        <v>1000</v>
      </c>
      <c r="L77" s="78"/>
      <c r="M77" s="78">
        <f>SUM(K77:L77)</f>
        <v>1000</v>
      </c>
      <c r="N77" s="78"/>
      <c r="O77" s="78">
        <f>SUM(M77:N77)</f>
        <v>1000</v>
      </c>
      <c r="P77" s="78"/>
      <c r="Q77" s="78">
        <f>SUM(O77:P77)</f>
        <v>1000</v>
      </c>
      <c r="R77" s="78"/>
      <c r="S77" s="78">
        <f>SUM(Q77:R77)</f>
        <v>1000</v>
      </c>
      <c r="T77" s="78"/>
      <c r="U77" s="78">
        <f>SUM(S77:T77)</f>
        <v>1000</v>
      </c>
      <c r="V77" s="78"/>
      <c r="W77" s="78">
        <f>SUM(U77:V77)</f>
        <v>1000</v>
      </c>
      <c r="X77" s="78"/>
      <c r="Y77" s="78">
        <f>SUM(W77:X77)</f>
        <v>1000</v>
      </c>
    </row>
    <row r="78" spans="1:25" s="26" customFormat="1" ht="21" customHeight="1">
      <c r="A78" s="65"/>
      <c r="B78" s="84"/>
      <c r="C78" s="68">
        <v>4750</v>
      </c>
      <c r="D78" s="41" t="s">
        <v>237</v>
      </c>
      <c r="E78" s="78">
        <v>1000</v>
      </c>
      <c r="F78" s="78"/>
      <c r="G78" s="78">
        <f t="shared" si="50"/>
        <v>1000</v>
      </c>
      <c r="H78" s="78"/>
      <c r="I78" s="78">
        <f t="shared" si="51"/>
        <v>1000</v>
      </c>
      <c r="J78" s="78"/>
      <c r="K78" s="78">
        <f t="shared" si="52"/>
        <v>1000</v>
      </c>
      <c r="L78" s="78"/>
      <c r="M78" s="78">
        <f>SUM(K78:L78)</f>
        <v>1000</v>
      </c>
      <c r="N78" s="78"/>
      <c r="O78" s="78">
        <f>SUM(M78:N78)</f>
        <v>1000</v>
      </c>
      <c r="P78" s="78"/>
      <c r="Q78" s="78">
        <f>SUM(O78:P78)</f>
        <v>1000</v>
      </c>
      <c r="R78" s="78"/>
      <c r="S78" s="78">
        <f>SUM(Q78:R78)</f>
        <v>1000</v>
      </c>
      <c r="T78" s="78"/>
      <c r="U78" s="78">
        <f>SUM(S78:T78)</f>
        <v>1000</v>
      </c>
      <c r="V78" s="78"/>
      <c r="W78" s="78">
        <f>SUM(U78:V78)</f>
        <v>1000</v>
      </c>
      <c r="X78" s="78"/>
      <c r="Y78" s="78">
        <f>SUM(W78:X78)</f>
        <v>1000</v>
      </c>
    </row>
    <row r="79" spans="1:25" s="26" customFormat="1" ht="21" customHeight="1">
      <c r="A79" s="83"/>
      <c r="B79" s="79" t="s">
        <v>94</v>
      </c>
      <c r="C79" s="83"/>
      <c r="D79" s="41" t="s">
        <v>154</v>
      </c>
      <c r="E79" s="78">
        <f aca="true" t="shared" si="60" ref="E79:K79">SUM(E80:E89)</f>
        <v>312700</v>
      </c>
      <c r="F79" s="78">
        <f t="shared" si="60"/>
        <v>0</v>
      </c>
      <c r="G79" s="78">
        <f t="shared" si="60"/>
        <v>312700</v>
      </c>
      <c r="H79" s="78">
        <f t="shared" si="60"/>
        <v>0</v>
      </c>
      <c r="I79" s="78">
        <f t="shared" si="60"/>
        <v>312700</v>
      </c>
      <c r="J79" s="78">
        <f t="shared" si="60"/>
        <v>0</v>
      </c>
      <c r="K79" s="78">
        <f t="shared" si="60"/>
        <v>312700</v>
      </c>
      <c r="L79" s="78">
        <f aca="true" t="shared" si="61" ref="L79:Q79">SUM(L80:L89)</f>
        <v>14000</v>
      </c>
      <c r="M79" s="78">
        <f t="shared" si="61"/>
        <v>326700</v>
      </c>
      <c r="N79" s="78">
        <f t="shared" si="61"/>
        <v>-6000</v>
      </c>
      <c r="O79" s="78">
        <f t="shared" si="61"/>
        <v>320700</v>
      </c>
      <c r="P79" s="78">
        <f t="shared" si="61"/>
        <v>0</v>
      </c>
      <c r="Q79" s="78">
        <f t="shared" si="61"/>
        <v>320700</v>
      </c>
      <c r="R79" s="78">
        <f aca="true" t="shared" si="62" ref="R79:W79">SUM(R80:R89)</f>
        <v>0</v>
      </c>
      <c r="S79" s="78">
        <f t="shared" si="62"/>
        <v>320700</v>
      </c>
      <c r="T79" s="78">
        <f t="shared" si="62"/>
        <v>0</v>
      </c>
      <c r="U79" s="78">
        <f t="shared" si="62"/>
        <v>320700</v>
      </c>
      <c r="V79" s="78">
        <f t="shared" si="62"/>
        <v>0</v>
      </c>
      <c r="W79" s="78">
        <f t="shared" si="62"/>
        <v>320700</v>
      </c>
      <c r="X79" s="78">
        <f>SUM(X80:X89)</f>
        <v>0</v>
      </c>
      <c r="Y79" s="78">
        <f>SUM(Y80:Y89)</f>
        <v>320700</v>
      </c>
    </row>
    <row r="80" spans="1:25" s="26" customFormat="1" ht="21" customHeight="1">
      <c r="A80" s="83"/>
      <c r="B80" s="79"/>
      <c r="C80" s="65">
        <v>3030</v>
      </c>
      <c r="D80" s="41" t="s">
        <v>92</v>
      </c>
      <c r="E80" s="78">
        <v>261600</v>
      </c>
      <c r="F80" s="78"/>
      <c r="G80" s="78">
        <f>SUM(E80:F80)</f>
        <v>261600</v>
      </c>
      <c r="H80" s="78"/>
      <c r="I80" s="78">
        <f>SUM(G80:H80)</f>
        <v>261600</v>
      </c>
      <c r="J80" s="78"/>
      <c r="K80" s="78">
        <f>SUM(I80:J80)</f>
        <v>261600</v>
      </c>
      <c r="L80" s="78"/>
      <c r="M80" s="78">
        <f>SUM(K80:L80)</f>
        <v>261600</v>
      </c>
      <c r="N80" s="78">
        <v>-6000</v>
      </c>
      <c r="O80" s="78">
        <f>SUM(M80:N80)</f>
        <v>255600</v>
      </c>
      <c r="P80" s="78"/>
      <c r="Q80" s="78">
        <f>SUM(O80:P80)</f>
        <v>255600</v>
      </c>
      <c r="R80" s="78"/>
      <c r="S80" s="78">
        <f>SUM(Q80:R80)</f>
        <v>255600</v>
      </c>
      <c r="T80" s="78"/>
      <c r="U80" s="78">
        <f>SUM(S80:T80)</f>
        <v>255600</v>
      </c>
      <c r="V80" s="78"/>
      <c r="W80" s="78">
        <f>SUM(U80:V80)</f>
        <v>255600</v>
      </c>
      <c r="X80" s="78"/>
      <c r="Y80" s="78">
        <f>SUM(W80:X80)</f>
        <v>255600</v>
      </c>
    </row>
    <row r="81" spans="1:27" s="26" customFormat="1" ht="21" customHeight="1">
      <c r="A81" s="83"/>
      <c r="B81" s="79"/>
      <c r="C81" s="65">
        <v>4170</v>
      </c>
      <c r="D81" s="41" t="s">
        <v>202</v>
      </c>
      <c r="E81" s="78">
        <v>2000</v>
      </c>
      <c r="F81" s="78"/>
      <c r="G81" s="78">
        <f aca="true" t="shared" si="63" ref="G81:G89">SUM(E81:F81)</f>
        <v>2000</v>
      </c>
      <c r="H81" s="78"/>
      <c r="I81" s="78">
        <f aca="true" t="shared" si="64" ref="I81:I89">SUM(G81:H81)</f>
        <v>2000</v>
      </c>
      <c r="J81" s="78"/>
      <c r="K81" s="78">
        <f aca="true" t="shared" si="65" ref="K81:K89">SUM(I81:J81)</f>
        <v>2000</v>
      </c>
      <c r="L81" s="78"/>
      <c r="M81" s="78">
        <f aca="true" t="shared" si="66" ref="M81:M89">SUM(K81:L81)</f>
        <v>2000</v>
      </c>
      <c r="N81" s="78"/>
      <c r="O81" s="78">
        <f aca="true" t="shared" si="67" ref="O81:O89">SUM(M81:N81)</f>
        <v>2000</v>
      </c>
      <c r="P81" s="78"/>
      <c r="Q81" s="78">
        <f aca="true" t="shared" si="68" ref="Q81:Q89">SUM(O81:P81)</f>
        <v>2000</v>
      </c>
      <c r="R81" s="78"/>
      <c r="S81" s="78">
        <f aca="true" t="shared" si="69" ref="S81:S89">SUM(Q81:R81)</f>
        <v>2000</v>
      </c>
      <c r="T81" s="78"/>
      <c r="U81" s="78">
        <f aca="true" t="shared" si="70" ref="U81:U89">SUM(S81:T81)</f>
        <v>2000</v>
      </c>
      <c r="V81" s="78"/>
      <c r="W81" s="78">
        <f aca="true" t="shared" si="71" ref="W81:W89">SUM(U81:V81)</f>
        <v>2000</v>
      </c>
      <c r="X81" s="78"/>
      <c r="Y81" s="78">
        <f aca="true" t="shared" si="72" ref="Y81:Y89">SUM(W81:X81)</f>
        <v>2000</v>
      </c>
      <c r="Z81" s="117"/>
      <c r="AA81" s="117"/>
    </row>
    <row r="82" spans="1:25" s="26" customFormat="1" ht="21" customHeight="1">
      <c r="A82" s="83"/>
      <c r="B82" s="79"/>
      <c r="C82" s="65">
        <v>4210</v>
      </c>
      <c r="D82" s="41" t="s">
        <v>95</v>
      </c>
      <c r="E82" s="78">
        <v>17500</v>
      </c>
      <c r="F82" s="78"/>
      <c r="G82" s="78">
        <f t="shared" si="63"/>
        <v>17500</v>
      </c>
      <c r="H82" s="78"/>
      <c r="I82" s="78">
        <f t="shared" si="64"/>
        <v>17500</v>
      </c>
      <c r="J82" s="78"/>
      <c r="K82" s="78">
        <f t="shared" si="65"/>
        <v>17500</v>
      </c>
      <c r="L82" s="78">
        <v>14000</v>
      </c>
      <c r="M82" s="78">
        <f t="shared" si="66"/>
        <v>31500</v>
      </c>
      <c r="N82" s="78"/>
      <c r="O82" s="78">
        <f t="shared" si="67"/>
        <v>31500</v>
      </c>
      <c r="P82" s="78"/>
      <c r="Q82" s="78">
        <f t="shared" si="68"/>
        <v>31500</v>
      </c>
      <c r="R82" s="78"/>
      <c r="S82" s="78">
        <f t="shared" si="69"/>
        <v>31500</v>
      </c>
      <c r="T82" s="78"/>
      <c r="U82" s="78">
        <f t="shared" si="70"/>
        <v>31500</v>
      </c>
      <c r="V82" s="78"/>
      <c r="W82" s="78">
        <f t="shared" si="71"/>
        <v>31500</v>
      </c>
      <c r="X82" s="78"/>
      <c r="Y82" s="78">
        <f t="shared" si="72"/>
        <v>31500</v>
      </c>
    </row>
    <row r="83" spans="1:25" s="26" customFormat="1" ht="21" customHeight="1">
      <c r="A83" s="83"/>
      <c r="B83" s="79"/>
      <c r="C83" s="65">
        <v>4300</v>
      </c>
      <c r="D83" s="41" t="s">
        <v>82</v>
      </c>
      <c r="E83" s="78">
        <v>22000</v>
      </c>
      <c r="F83" s="78"/>
      <c r="G83" s="78">
        <f t="shared" si="63"/>
        <v>22000</v>
      </c>
      <c r="H83" s="78"/>
      <c r="I83" s="78">
        <f t="shared" si="64"/>
        <v>22000</v>
      </c>
      <c r="J83" s="78"/>
      <c r="K83" s="78">
        <f t="shared" si="65"/>
        <v>22000</v>
      </c>
      <c r="L83" s="78"/>
      <c r="M83" s="78">
        <f t="shared" si="66"/>
        <v>22000</v>
      </c>
      <c r="N83" s="78"/>
      <c r="O83" s="78">
        <f t="shared" si="67"/>
        <v>22000</v>
      </c>
      <c r="P83" s="78"/>
      <c r="Q83" s="78">
        <f t="shared" si="68"/>
        <v>22000</v>
      </c>
      <c r="R83" s="78"/>
      <c r="S83" s="78">
        <f t="shared" si="69"/>
        <v>22000</v>
      </c>
      <c r="T83" s="78"/>
      <c r="U83" s="78">
        <f t="shared" si="70"/>
        <v>22000</v>
      </c>
      <c r="V83" s="78"/>
      <c r="W83" s="78">
        <f t="shared" si="71"/>
        <v>22000</v>
      </c>
      <c r="X83" s="78"/>
      <c r="Y83" s="78">
        <f t="shared" si="72"/>
        <v>22000</v>
      </c>
    </row>
    <row r="84" spans="1:25" s="26" customFormat="1" ht="24">
      <c r="A84" s="83"/>
      <c r="B84" s="79"/>
      <c r="C84" s="65">
        <v>4370</v>
      </c>
      <c r="D84" s="41" t="s">
        <v>235</v>
      </c>
      <c r="E84" s="78">
        <v>100</v>
      </c>
      <c r="F84" s="78"/>
      <c r="G84" s="78">
        <f t="shared" si="63"/>
        <v>100</v>
      </c>
      <c r="H84" s="78"/>
      <c r="I84" s="78">
        <f t="shared" si="64"/>
        <v>100</v>
      </c>
      <c r="J84" s="78"/>
      <c r="K84" s="78">
        <f t="shared" si="65"/>
        <v>100</v>
      </c>
      <c r="L84" s="78"/>
      <c r="M84" s="78">
        <f t="shared" si="66"/>
        <v>100</v>
      </c>
      <c r="N84" s="78"/>
      <c r="O84" s="78">
        <f t="shared" si="67"/>
        <v>100</v>
      </c>
      <c r="P84" s="78"/>
      <c r="Q84" s="78">
        <f t="shared" si="68"/>
        <v>100</v>
      </c>
      <c r="R84" s="78"/>
      <c r="S84" s="78">
        <f t="shared" si="69"/>
        <v>100</v>
      </c>
      <c r="T84" s="78"/>
      <c r="U84" s="78">
        <f t="shared" si="70"/>
        <v>100</v>
      </c>
      <c r="V84" s="78"/>
      <c r="W84" s="78">
        <f t="shared" si="71"/>
        <v>100</v>
      </c>
      <c r="X84" s="78"/>
      <c r="Y84" s="78">
        <f t="shared" si="72"/>
        <v>100</v>
      </c>
    </row>
    <row r="85" spans="1:25" s="26" customFormat="1" ht="21" customHeight="1">
      <c r="A85" s="83"/>
      <c r="B85" s="79"/>
      <c r="C85" s="65">
        <v>4410</v>
      </c>
      <c r="D85" s="41" t="s">
        <v>93</v>
      </c>
      <c r="E85" s="78">
        <v>4000</v>
      </c>
      <c r="F85" s="78"/>
      <c r="G85" s="78">
        <f t="shared" si="63"/>
        <v>4000</v>
      </c>
      <c r="H85" s="78"/>
      <c r="I85" s="78">
        <f t="shared" si="64"/>
        <v>4000</v>
      </c>
      <c r="J85" s="78"/>
      <c r="K85" s="78">
        <f t="shared" si="65"/>
        <v>4000</v>
      </c>
      <c r="L85" s="78"/>
      <c r="M85" s="78">
        <f t="shared" si="66"/>
        <v>4000</v>
      </c>
      <c r="N85" s="78"/>
      <c r="O85" s="78">
        <f t="shared" si="67"/>
        <v>4000</v>
      </c>
      <c r="P85" s="78"/>
      <c r="Q85" s="78">
        <f t="shared" si="68"/>
        <v>4000</v>
      </c>
      <c r="R85" s="78"/>
      <c r="S85" s="78">
        <f t="shared" si="69"/>
        <v>4000</v>
      </c>
      <c r="T85" s="78"/>
      <c r="U85" s="78">
        <f t="shared" si="70"/>
        <v>4000</v>
      </c>
      <c r="V85" s="78"/>
      <c r="W85" s="78">
        <f t="shared" si="71"/>
        <v>4000</v>
      </c>
      <c r="X85" s="78"/>
      <c r="Y85" s="78">
        <f t="shared" si="72"/>
        <v>4000</v>
      </c>
    </row>
    <row r="86" spans="1:25" s="26" customFormat="1" ht="21" customHeight="1">
      <c r="A86" s="83"/>
      <c r="B86" s="79"/>
      <c r="C86" s="65">
        <v>4420</v>
      </c>
      <c r="D86" s="41" t="s">
        <v>96</v>
      </c>
      <c r="E86" s="78">
        <v>2000</v>
      </c>
      <c r="F86" s="78"/>
      <c r="G86" s="78">
        <f t="shared" si="63"/>
        <v>2000</v>
      </c>
      <c r="H86" s="78"/>
      <c r="I86" s="78">
        <f t="shared" si="64"/>
        <v>2000</v>
      </c>
      <c r="J86" s="78"/>
      <c r="K86" s="78">
        <f t="shared" si="65"/>
        <v>2000</v>
      </c>
      <c r="L86" s="78"/>
      <c r="M86" s="78">
        <f t="shared" si="66"/>
        <v>2000</v>
      </c>
      <c r="N86" s="78"/>
      <c r="O86" s="78">
        <f t="shared" si="67"/>
        <v>2000</v>
      </c>
      <c r="P86" s="78"/>
      <c r="Q86" s="78">
        <f t="shared" si="68"/>
        <v>2000</v>
      </c>
      <c r="R86" s="78"/>
      <c r="S86" s="78">
        <f t="shared" si="69"/>
        <v>2000</v>
      </c>
      <c r="T86" s="78"/>
      <c r="U86" s="78">
        <f t="shared" si="70"/>
        <v>2000</v>
      </c>
      <c r="V86" s="78"/>
      <c r="W86" s="78">
        <f t="shared" si="71"/>
        <v>2000</v>
      </c>
      <c r="X86" s="78"/>
      <c r="Y86" s="78">
        <f t="shared" si="72"/>
        <v>2000</v>
      </c>
    </row>
    <row r="87" spans="1:25" s="26" customFormat="1" ht="21" customHeight="1">
      <c r="A87" s="83"/>
      <c r="B87" s="79"/>
      <c r="C87" s="68">
        <v>4430</v>
      </c>
      <c r="D87" s="41" t="s">
        <v>97</v>
      </c>
      <c r="E87" s="78">
        <v>500</v>
      </c>
      <c r="F87" s="78"/>
      <c r="G87" s="78">
        <f t="shared" si="63"/>
        <v>500</v>
      </c>
      <c r="H87" s="78"/>
      <c r="I87" s="78">
        <f t="shared" si="64"/>
        <v>500</v>
      </c>
      <c r="J87" s="78"/>
      <c r="K87" s="78">
        <f t="shared" si="65"/>
        <v>500</v>
      </c>
      <c r="L87" s="78"/>
      <c r="M87" s="78">
        <f t="shared" si="66"/>
        <v>500</v>
      </c>
      <c r="N87" s="78"/>
      <c r="O87" s="78">
        <f t="shared" si="67"/>
        <v>500</v>
      </c>
      <c r="P87" s="78"/>
      <c r="Q87" s="78">
        <f t="shared" si="68"/>
        <v>500</v>
      </c>
      <c r="R87" s="78"/>
      <c r="S87" s="78">
        <f t="shared" si="69"/>
        <v>500</v>
      </c>
      <c r="T87" s="78"/>
      <c r="U87" s="78">
        <f t="shared" si="70"/>
        <v>500</v>
      </c>
      <c r="V87" s="78"/>
      <c r="W87" s="78">
        <f t="shared" si="71"/>
        <v>500</v>
      </c>
      <c r="X87" s="78"/>
      <c r="Y87" s="78">
        <f t="shared" si="72"/>
        <v>500</v>
      </c>
    </row>
    <row r="88" spans="1:25" s="26" customFormat="1" ht="24">
      <c r="A88" s="83"/>
      <c r="B88" s="79"/>
      <c r="C88" s="68">
        <v>4740</v>
      </c>
      <c r="D88" s="41" t="s">
        <v>336</v>
      </c>
      <c r="E88" s="78">
        <v>2000</v>
      </c>
      <c r="F88" s="78"/>
      <c r="G88" s="78">
        <f t="shared" si="63"/>
        <v>2000</v>
      </c>
      <c r="H88" s="78"/>
      <c r="I88" s="78">
        <f t="shared" si="64"/>
        <v>2000</v>
      </c>
      <c r="J88" s="78"/>
      <c r="K88" s="78">
        <f t="shared" si="65"/>
        <v>2000</v>
      </c>
      <c r="L88" s="78"/>
      <c r="M88" s="78">
        <f t="shared" si="66"/>
        <v>2000</v>
      </c>
      <c r="N88" s="78"/>
      <c r="O88" s="78">
        <f t="shared" si="67"/>
        <v>2000</v>
      </c>
      <c r="P88" s="78"/>
      <c r="Q88" s="78">
        <f t="shared" si="68"/>
        <v>2000</v>
      </c>
      <c r="R88" s="78"/>
      <c r="S88" s="78">
        <f t="shared" si="69"/>
        <v>2000</v>
      </c>
      <c r="T88" s="78"/>
      <c r="U88" s="78">
        <f t="shared" si="70"/>
        <v>2000</v>
      </c>
      <c r="V88" s="78"/>
      <c r="W88" s="78">
        <f t="shared" si="71"/>
        <v>2000</v>
      </c>
      <c r="X88" s="78"/>
      <c r="Y88" s="78">
        <f t="shared" si="72"/>
        <v>2000</v>
      </c>
    </row>
    <row r="89" spans="1:25" s="26" customFormat="1" ht="24">
      <c r="A89" s="83"/>
      <c r="B89" s="79"/>
      <c r="C89" s="68">
        <v>4750</v>
      </c>
      <c r="D89" s="41" t="s">
        <v>237</v>
      </c>
      <c r="E89" s="78">
        <v>1000</v>
      </c>
      <c r="F89" s="78"/>
      <c r="G89" s="78">
        <f t="shared" si="63"/>
        <v>1000</v>
      </c>
      <c r="H89" s="78"/>
      <c r="I89" s="78">
        <f t="shared" si="64"/>
        <v>1000</v>
      </c>
      <c r="J89" s="78"/>
      <c r="K89" s="78">
        <f t="shared" si="65"/>
        <v>1000</v>
      </c>
      <c r="L89" s="78"/>
      <c r="M89" s="78">
        <f t="shared" si="66"/>
        <v>1000</v>
      </c>
      <c r="N89" s="78"/>
      <c r="O89" s="78">
        <f t="shared" si="67"/>
        <v>1000</v>
      </c>
      <c r="P89" s="78"/>
      <c r="Q89" s="78">
        <f t="shared" si="68"/>
        <v>1000</v>
      </c>
      <c r="R89" s="78"/>
      <c r="S89" s="78">
        <f t="shared" si="69"/>
        <v>1000</v>
      </c>
      <c r="T89" s="78"/>
      <c r="U89" s="78">
        <f t="shared" si="70"/>
        <v>1000</v>
      </c>
      <c r="V89" s="78"/>
      <c r="W89" s="78">
        <f t="shared" si="71"/>
        <v>1000</v>
      </c>
      <c r="X89" s="78"/>
      <c r="Y89" s="78">
        <f t="shared" si="72"/>
        <v>1000</v>
      </c>
    </row>
    <row r="90" spans="1:25" s="26" customFormat="1" ht="24">
      <c r="A90" s="83"/>
      <c r="B90" s="79" t="s">
        <v>18</v>
      </c>
      <c r="C90" s="83"/>
      <c r="D90" s="41" t="s">
        <v>19</v>
      </c>
      <c r="E90" s="78">
        <f aca="true" t="shared" si="73" ref="E90:K90">SUM(E91:E114)</f>
        <v>5019517</v>
      </c>
      <c r="F90" s="78">
        <f t="shared" si="73"/>
        <v>-380000</v>
      </c>
      <c r="G90" s="78">
        <f t="shared" si="73"/>
        <v>4639517</v>
      </c>
      <c r="H90" s="78">
        <f t="shared" si="73"/>
        <v>0</v>
      </c>
      <c r="I90" s="78">
        <f t="shared" si="73"/>
        <v>4639517</v>
      </c>
      <c r="J90" s="78">
        <f t="shared" si="73"/>
        <v>0</v>
      </c>
      <c r="K90" s="78">
        <f t="shared" si="73"/>
        <v>4639517</v>
      </c>
      <c r="L90" s="78">
        <f aca="true" t="shared" si="74" ref="L90:Q90">SUM(L91:L114)</f>
        <v>0</v>
      </c>
      <c r="M90" s="78">
        <f t="shared" si="74"/>
        <v>4639517</v>
      </c>
      <c r="N90" s="78">
        <f t="shared" si="74"/>
        <v>-1000</v>
      </c>
      <c r="O90" s="78">
        <f t="shared" si="74"/>
        <v>4638517</v>
      </c>
      <c r="P90" s="78">
        <f t="shared" si="74"/>
        <v>0</v>
      </c>
      <c r="Q90" s="78">
        <f t="shared" si="74"/>
        <v>4638517</v>
      </c>
      <c r="R90" s="78">
        <f aca="true" t="shared" si="75" ref="R90:W90">SUM(R91:R114)</f>
        <v>2000</v>
      </c>
      <c r="S90" s="78">
        <f t="shared" si="75"/>
        <v>4640517</v>
      </c>
      <c r="T90" s="78">
        <f t="shared" si="75"/>
        <v>-1500</v>
      </c>
      <c r="U90" s="78">
        <f t="shared" si="75"/>
        <v>4639017</v>
      </c>
      <c r="V90" s="78">
        <f t="shared" si="75"/>
        <v>0</v>
      </c>
      <c r="W90" s="78">
        <f t="shared" si="75"/>
        <v>4639017</v>
      </c>
      <c r="X90" s="78">
        <f>SUM(X91:X114)</f>
        <v>0</v>
      </c>
      <c r="Y90" s="78">
        <f>SUM(Y91:Y114)</f>
        <v>4639017</v>
      </c>
    </row>
    <row r="91" spans="1:25" s="26" customFormat="1" ht="21" customHeight="1">
      <c r="A91" s="83"/>
      <c r="B91" s="79"/>
      <c r="C91" s="65">
        <v>3020</v>
      </c>
      <c r="D91" s="41" t="s">
        <v>199</v>
      </c>
      <c r="E91" s="78">
        <v>24500</v>
      </c>
      <c r="F91" s="78"/>
      <c r="G91" s="78">
        <f>SUM(E91:F91)</f>
        <v>24500</v>
      </c>
      <c r="H91" s="78"/>
      <c r="I91" s="78">
        <f>SUM(G91:H91)</f>
        <v>24500</v>
      </c>
      <c r="J91" s="78"/>
      <c r="K91" s="78">
        <f>SUM(I91:J91)</f>
        <v>24500</v>
      </c>
      <c r="L91" s="78"/>
      <c r="M91" s="78">
        <f>SUM(K91:L91)</f>
        <v>24500</v>
      </c>
      <c r="N91" s="78"/>
      <c r="O91" s="78">
        <f>SUM(M91:N91)</f>
        <v>24500</v>
      </c>
      <c r="P91" s="78"/>
      <c r="Q91" s="78">
        <f>SUM(O91:P91)</f>
        <v>24500</v>
      </c>
      <c r="R91" s="78"/>
      <c r="S91" s="78">
        <f>SUM(Q91:R91)</f>
        <v>24500</v>
      </c>
      <c r="T91" s="78"/>
      <c r="U91" s="78">
        <f>SUM(S91:T91)</f>
        <v>24500</v>
      </c>
      <c r="V91" s="78"/>
      <c r="W91" s="78">
        <f>SUM(U91:V91)</f>
        <v>24500</v>
      </c>
      <c r="X91" s="78"/>
      <c r="Y91" s="78">
        <f>SUM(W91:X91)</f>
        <v>24500</v>
      </c>
    </row>
    <row r="92" spans="1:27" s="26" customFormat="1" ht="21" customHeight="1">
      <c r="A92" s="83"/>
      <c r="B92" s="79"/>
      <c r="C92" s="65">
        <v>4010</v>
      </c>
      <c r="D92" s="41" t="s">
        <v>87</v>
      </c>
      <c r="E92" s="78">
        <f>3084359-100000</f>
        <v>2984359</v>
      </c>
      <c r="F92" s="196">
        <v>-165000</v>
      </c>
      <c r="G92" s="78">
        <f aca="true" t="shared" si="76" ref="G92:G114">SUM(E92:F92)</f>
        <v>2819359</v>
      </c>
      <c r="H92" s="196"/>
      <c r="I92" s="78">
        <f aca="true" t="shared" si="77" ref="I92:I114">SUM(G92:H92)</f>
        <v>2819359</v>
      </c>
      <c r="J92" s="196"/>
      <c r="K92" s="78">
        <f aca="true" t="shared" si="78" ref="K92:K114">SUM(I92:J92)</f>
        <v>2819359</v>
      </c>
      <c r="L92" s="196"/>
      <c r="M92" s="78">
        <f aca="true" t="shared" si="79" ref="M92:M114">SUM(K92:L92)</f>
        <v>2819359</v>
      </c>
      <c r="N92" s="196"/>
      <c r="O92" s="78">
        <f aca="true" t="shared" si="80" ref="O92:O114">SUM(M92:N92)</f>
        <v>2819359</v>
      </c>
      <c r="P92" s="196"/>
      <c r="Q92" s="78">
        <f aca="true" t="shared" si="81" ref="Q92:Q114">SUM(O92:P92)</f>
        <v>2819359</v>
      </c>
      <c r="R92" s="196"/>
      <c r="S92" s="78">
        <f aca="true" t="shared" si="82" ref="S92:S114">SUM(Q92:R92)</f>
        <v>2819359</v>
      </c>
      <c r="T92" s="196"/>
      <c r="U92" s="78">
        <f aca="true" t="shared" si="83" ref="U92:U114">SUM(S92:T92)</f>
        <v>2819359</v>
      </c>
      <c r="V92" s="78">
        <v>6120</v>
      </c>
      <c r="W92" s="78">
        <f aca="true" t="shared" si="84" ref="W92:W114">SUM(U92:V92)</f>
        <v>2825479</v>
      </c>
      <c r="X92" s="78"/>
      <c r="Y92" s="78">
        <f aca="true" t="shared" si="85" ref="Y92:Y114">SUM(W92:X92)</f>
        <v>2825479</v>
      </c>
      <c r="Z92" s="117"/>
      <c r="AA92" s="117"/>
    </row>
    <row r="93" spans="1:27" s="26" customFormat="1" ht="21" customHeight="1">
      <c r="A93" s="83"/>
      <c r="B93" s="79"/>
      <c r="C93" s="65">
        <v>4040</v>
      </c>
      <c r="D93" s="41" t="s">
        <v>88</v>
      </c>
      <c r="E93" s="78">
        <v>182000</v>
      </c>
      <c r="F93" s="78"/>
      <c r="G93" s="78">
        <f t="shared" si="76"/>
        <v>182000</v>
      </c>
      <c r="H93" s="78"/>
      <c r="I93" s="78">
        <f t="shared" si="77"/>
        <v>182000</v>
      </c>
      <c r="J93" s="78"/>
      <c r="K93" s="78">
        <f t="shared" si="78"/>
        <v>182000</v>
      </c>
      <c r="L93" s="78"/>
      <c r="M93" s="78">
        <f t="shared" si="79"/>
        <v>182000</v>
      </c>
      <c r="N93" s="78"/>
      <c r="O93" s="78">
        <f t="shared" si="80"/>
        <v>182000</v>
      </c>
      <c r="P93" s="78"/>
      <c r="Q93" s="78">
        <f t="shared" si="81"/>
        <v>182000</v>
      </c>
      <c r="R93" s="78"/>
      <c r="S93" s="78">
        <f t="shared" si="82"/>
        <v>182000</v>
      </c>
      <c r="T93" s="78"/>
      <c r="U93" s="78">
        <f t="shared" si="83"/>
        <v>182000</v>
      </c>
      <c r="V93" s="78">
        <v>-6120</v>
      </c>
      <c r="W93" s="78">
        <f t="shared" si="84"/>
        <v>175880</v>
      </c>
      <c r="X93" s="78"/>
      <c r="Y93" s="78">
        <f t="shared" si="85"/>
        <v>175880</v>
      </c>
      <c r="Z93" s="117"/>
      <c r="AA93" s="117"/>
    </row>
    <row r="94" spans="1:27" s="26" customFormat="1" ht="21" customHeight="1">
      <c r="A94" s="83"/>
      <c r="B94" s="79"/>
      <c r="C94" s="65">
        <v>4110</v>
      </c>
      <c r="D94" s="41" t="s">
        <v>89</v>
      </c>
      <c r="E94" s="78">
        <f>511390-15000</f>
        <v>496390</v>
      </c>
      <c r="F94" s="78">
        <v>-30000</v>
      </c>
      <c r="G94" s="78">
        <f t="shared" si="76"/>
        <v>466390</v>
      </c>
      <c r="H94" s="78"/>
      <c r="I94" s="78">
        <f t="shared" si="77"/>
        <v>466390</v>
      </c>
      <c r="J94" s="78"/>
      <c r="K94" s="78">
        <f t="shared" si="78"/>
        <v>466390</v>
      </c>
      <c r="L94" s="78"/>
      <c r="M94" s="78">
        <f t="shared" si="79"/>
        <v>466390</v>
      </c>
      <c r="N94" s="78"/>
      <c r="O94" s="78">
        <f t="shared" si="80"/>
        <v>466390</v>
      </c>
      <c r="P94" s="78"/>
      <c r="Q94" s="78">
        <f t="shared" si="81"/>
        <v>466390</v>
      </c>
      <c r="R94" s="78"/>
      <c r="S94" s="78">
        <f t="shared" si="82"/>
        <v>466390</v>
      </c>
      <c r="T94" s="78"/>
      <c r="U94" s="78">
        <f t="shared" si="83"/>
        <v>466390</v>
      </c>
      <c r="V94" s="78"/>
      <c r="W94" s="78">
        <f t="shared" si="84"/>
        <v>466390</v>
      </c>
      <c r="X94" s="78"/>
      <c r="Y94" s="78">
        <f t="shared" si="85"/>
        <v>466390</v>
      </c>
      <c r="Z94" s="117"/>
      <c r="AA94" s="117"/>
    </row>
    <row r="95" spans="1:27" s="26" customFormat="1" ht="21" customHeight="1">
      <c r="A95" s="83"/>
      <c r="B95" s="79"/>
      <c r="C95" s="65">
        <v>4120</v>
      </c>
      <c r="D95" s="41" t="s">
        <v>90</v>
      </c>
      <c r="E95" s="78">
        <v>91712</v>
      </c>
      <c r="F95" s="78">
        <v>-5000</v>
      </c>
      <c r="G95" s="78">
        <f t="shared" si="76"/>
        <v>86712</v>
      </c>
      <c r="H95" s="78"/>
      <c r="I95" s="78">
        <f t="shared" si="77"/>
        <v>86712</v>
      </c>
      <c r="J95" s="78"/>
      <c r="K95" s="78">
        <f t="shared" si="78"/>
        <v>86712</v>
      </c>
      <c r="L95" s="78"/>
      <c r="M95" s="78">
        <f t="shared" si="79"/>
        <v>86712</v>
      </c>
      <c r="N95" s="78"/>
      <c r="O95" s="78">
        <f t="shared" si="80"/>
        <v>86712</v>
      </c>
      <c r="P95" s="78"/>
      <c r="Q95" s="78">
        <f t="shared" si="81"/>
        <v>86712</v>
      </c>
      <c r="R95" s="78"/>
      <c r="S95" s="78">
        <f t="shared" si="82"/>
        <v>86712</v>
      </c>
      <c r="T95" s="78"/>
      <c r="U95" s="78">
        <f t="shared" si="83"/>
        <v>86712</v>
      </c>
      <c r="V95" s="78"/>
      <c r="W95" s="78">
        <f t="shared" si="84"/>
        <v>86712</v>
      </c>
      <c r="X95" s="78"/>
      <c r="Y95" s="78">
        <f t="shared" si="85"/>
        <v>86712</v>
      </c>
      <c r="Z95" s="117"/>
      <c r="AA95" s="117"/>
    </row>
    <row r="96" spans="1:27" s="26" customFormat="1" ht="21" customHeight="1">
      <c r="A96" s="83"/>
      <c r="B96" s="79"/>
      <c r="C96" s="65">
        <v>4170</v>
      </c>
      <c r="D96" s="41" t="s">
        <v>202</v>
      </c>
      <c r="E96" s="78">
        <v>23728</v>
      </c>
      <c r="F96" s="78"/>
      <c r="G96" s="78">
        <f t="shared" si="76"/>
        <v>23728</v>
      </c>
      <c r="H96" s="78"/>
      <c r="I96" s="78">
        <f t="shared" si="77"/>
        <v>23728</v>
      </c>
      <c r="J96" s="78">
        <v>8000</v>
      </c>
      <c r="K96" s="78">
        <f t="shared" si="78"/>
        <v>31728</v>
      </c>
      <c r="L96" s="78">
        <v>10000</v>
      </c>
      <c r="M96" s="78">
        <f t="shared" si="79"/>
        <v>41728</v>
      </c>
      <c r="N96" s="78"/>
      <c r="O96" s="78">
        <f t="shared" si="80"/>
        <v>41728</v>
      </c>
      <c r="P96" s="78"/>
      <c r="Q96" s="78">
        <f t="shared" si="81"/>
        <v>41728</v>
      </c>
      <c r="R96" s="78">
        <v>2000</v>
      </c>
      <c r="S96" s="78">
        <f t="shared" si="82"/>
        <v>43728</v>
      </c>
      <c r="T96" s="78"/>
      <c r="U96" s="78">
        <f t="shared" si="83"/>
        <v>43728</v>
      </c>
      <c r="V96" s="78"/>
      <c r="W96" s="78">
        <f t="shared" si="84"/>
        <v>43728</v>
      </c>
      <c r="X96" s="78"/>
      <c r="Y96" s="78">
        <f t="shared" si="85"/>
        <v>43728</v>
      </c>
      <c r="Z96" s="117"/>
      <c r="AA96" s="117"/>
    </row>
    <row r="97" spans="1:25" s="26" customFormat="1" ht="21" customHeight="1">
      <c r="A97" s="83"/>
      <c r="B97" s="79"/>
      <c r="C97" s="65">
        <v>4210</v>
      </c>
      <c r="D97" s="41" t="s">
        <v>95</v>
      </c>
      <c r="E97" s="78">
        <v>216450</v>
      </c>
      <c r="F97" s="196">
        <f>-60000</f>
        <v>-60000</v>
      </c>
      <c r="G97" s="78">
        <f t="shared" si="76"/>
        <v>156450</v>
      </c>
      <c r="H97" s="196"/>
      <c r="I97" s="78">
        <f t="shared" si="77"/>
        <v>156450</v>
      </c>
      <c r="J97" s="196"/>
      <c r="K97" s="78">
        <f t="shared" si="78"/>
        <v>156450</v>
      </c>
      <c r="L97" s="196"/>
      <c r="M97" s="78">
        <f t="shared" si="79"/>
        <v>156450</v>
      </c>
      <c r="N97" s="78">
        <v>3000</v>
      </c>
      <c r="O97" s="78">
        <f t="shared" si="80"/>
        <v>159450</v>
      </c>
      <c r="P97" s="78"/>
      <c r="Q97" s="78">
        <f t="shared" si="81"/>
        <v>159450</v>
      </c>
      <c r="R97" s="78"/>
      <c r="S97" s="78">
        <f t="shared" si="82"/>
        <v>159450</v>
      </c>
      <c r="T97" s="78"/>
      <c r="U97" s="78">
        <f t="shared" si="83"/>
        <v>159450</v>
      </c>
      <c r="V97" s="78"/>
      <c r="W97" s="78">
        <f t="shared" si="84"/>
        <v>159450</v>
      </c>
      <c r="X97" s="78"/>
      <c r="Y97" s="78">
        <f t="shared" si="85"/>
        <v>159450</v>
      </c>
    </row>
    <row r="98" spans="1:25" s="26" customFormat="1" ht="21" customHeight="1">
      <c r="A98" s="83"/>
      <c r="B98" s="79"/>
      <c r="C98" s="65">
        <v>4260</v>
      </c>
      <c r="D98" s="41" t="s">
        <v>98</v>
      </c>
      <c r="E98" s="78">
        <v>89200</v>
      </c>
      <c r="F98" s="78"/>
      <c r="G98" s="78">
        <f t="shared" si="76"/>
        <v>89200</v>
      </c>
      <c r="H98" s="78"/>
      <c r="I98" s="78">
        <f t="shared" si="77"/>
        <v>89200</v>
      </c>
      <c r="J98" s="78"/>
      <c r="K98" s="78">
        <f t="shared" si="78"/>
        <v>89200</v>
      </c>
      <c r="L98" s="78"/>
      <c r="M98" s="78">
        <f t="shared" si="79"/>
        <v>89200</v>
      </c>
      <c r="N98" s="78"/>
      <c r="O98" s="78">
        <f t="shared" si="80"/>
        <v>89200</v>
      </c>
      <c r="P98" s="78"/>
      <c r="Q98" s="78">
        <f t="shared" si="81"/>
        <v>89200</v>
      </c>
      <c r="R98" s="78"/>
      <c r="S98" s="78">
        <f t="shared" si="82"/>
        <v>89200</v>
      </c>
      <c r="T98" s="78"/>
      <c r="U98" s="78">
        <f t="shared" si="83"/>
        <v>89200</v>
      </c>
      <c r="V98" s="78"/>
      <c r="W98" s="78">
        <f t="shared" si="84"/>
        <v>89200</v>
      </c>
      <c r="X98" s="78"/>
      <c r="Y98" s="78">
        <f t="shared" si="85"/>
        <v>89200</v>
      </c>
    </row>
    <row r="99" spans="1:25" s="26" customFormat="1" ht="21" customHeight="1">
      <c r="A99" s="83"/>
      <c r="B99" s="79"/>
      <c r="C99" s="65">
        <v>4270</v>
      </c>
      <c r="D99" s="41" t="s">
        <v>81</v>
      </c>
      <c r="E99" s="78">
        <f>10000+100000+20000</f>
        <v>130000</v>
      </c>
      <c r="F99" s="78">
        <v>-80000</v>
      </c>
      <c r="G99" s="78">
        <f t="shared" si="76"/>
        <v>50000</v>
      </c>
      <c r="H99" s="78"/>
      <c r="I99" s="78">
        <f t="shared" si="77"/>
        <v>50000</v>
      </c>
      <c r="J99" s="78">
        <v>0</v>
      </c>
      <c r="K99" s="78">
        <f t="shared" si="78"/>
        <v>50000</v>
      </c>
      <c r="L99" s="78"/>
      <c r="M99" s="78">
        <f t="shared" si="79"/>
        <v>50000</v>
      </c>
      <c r="N99" s="78"/>
      <c r="O99" s="78">
        <f t="shared" si="80"/>
        <v>50000</v>
      </c>
      <c r="P99" s="78"/>
      <c r="Q99" s="78">
        <f t="shared" si="81"/>
        <v>50000</v>
      </c>
      <c r="R99" s="78"/>
      <c r="S99" s="78">
        <f t="shared" si="82"/>
        <v>50000</v>
      </c>
      <c r="T99" s="78"/>
      <c r="U99" s="78">
        <f t="shared" si="83"/>
        <v>50000</v>
      </c>
      <c r="V99" s="78"/>
      <c r="W99" s="78">
        <f t="shared" si="84"/>
        <v>50000</v>
      </c>
      <c r="X99" s="78"/>
      <c r="Y99" s="78">
        <f t="shared" si="85"/>
        <v>50000</v>
      </c>
    </row>
    <row r="100" spans="1:25" s="26" customFormat="1" ht="21" customHeight="1">
      <c r="A100" s="83"/>
      <c r="B100" s="79"/>
      <c r="C100" s="65">
        <v>4280</v>
      </c>
      <c r="D100" s="41" t="s">
        <v>226</v>
      </c>
      <c r="E100" s="78">
        <v>10000</v>
      </c>
      <c r="F100" s="78"/>
      <c r="G100" s="78">
        <f t="shared" si="76"/>
        <v>10000</v>
      </c>
      <c r="H100" s="78"/>
      <c r="I100" s="78">
        <f t="shared" si="77"/>
        <v>10000</v>
      </c>
      <c r="J100" s="78"/>
      <c r="K100" s="78">
        <f t="shared" si="78"/>
        <v>10000</v>
      </c>
      <c r="L100" s="78"/>
      <c r="M100" s="78">
        <f t="shared" si="79"/>
        <v>10000</v>
      </c>
      <c r="N100" s="78"/>
      <c r="O100" s="78">
        <f t="shared" si="80"/>
        <v>10000</v>
      </c>
      <c r="P100" s="78"/>
      <c r="Q100" s="78">
        <f t="shared" si="81"/>
        <v>10000</v>
      </c>
      <c r="R100" s="78"/>
      <c r="S100" s="78">
        <f t="shared" si="82"/>
        <v>10000</v>
      </c>
      <c r="T100" s="78"/>
      <c r="U100" s="78">
        <f t="shared" si="83"/>
        <v>10000</v>
      </c>
      <c r="V100" s="78"/>
      <c r="W100" s="78">
        <f t="shared" si="84"/>
        <v>10000</v>
      </c>
      <c r="X100" s="78"/>
      <c r="Y100" s="78">
        <f t="shared" si="85"/>
        <v>10000</v>
      </c>
    </row>
    <row r="101" spans="1:25" s="26" customFormat="1" ht="21" customHeight="1">
      <c r="A101" s="83"/>
      <c r="B101" s="79"/>
      <c r="C101" s="65">
        <v>4300</v>
      </c>
      <c r="D101" s="41" t="s">
        <v>82</v>
      </c>
      <c r="E101" s="78">
        <v>210700</v>
      </c>
      <c r="F101" s="78"/>
      <c r="G101" s="78">
        <f t="shared" si="76"/>
        <v>210700</v>
      </c>
      <c r="H101" s="78"/>
      <c r="I101" s="78">
        <f t="shared" si="77"/>
        <v>210700</v>
      </c>
      <c r="J101" s="78">
        <v>-9000</v>
      </c>
      <c r="K101" s="78">
        <f t="shared" si="78"/>
        <v>201700</v>
      </c>
      <c r="L101" s="78"/>
      <c r="M101" s="78">
        <f t="shared" si="79"/>
        <v>201700</v>
      </c>
      <c r="N101" s="78"/>
      <c r="O101" s="78">
        <f t="shared" si="80"/>
        <v>201700</v>
      </c>
      <c r="P101" s="78"/>
      <c r="Q101" s="78">
        <f t="shared" si="81"/>
        <v>201700</v>
      </c>
      <c r="R101" s="78"/>
      <c r="S101" s="78">
        <f t="shared" si="82"/>
        <v>201700</v>
      </c>
      <c r="T101" s="78">
        <v>-1500</v>
      </c>
      <c r="U101" s="78">
        <f t="shared" si="83"/>
        <v>200200</v>
      </c>
      <c r="V101" s="78"/>
      <c r="W101" s="78">
        <f t="shared" si="84"/>
        <v>200200</v>
      </c>
      <c r="X101" s="78"/>
      <c r="Y101" s="78">
        <f t="shared" si="85"/>
        <v>200200</v>
      </c>
    </row>
    <row r="102" spans="1:25" s="26" customFormat="1" ht="21" customHeight="1">
      <c r="A102" s="83"/>
      <c r="B102" s="79"/>
      <c r="C102" s="65">
        <v>4350</v>
      </c>
      <c r="D102" s="41" t="s">
        <v>216</v>
      </c>
      <c r="E102" s="78">
        <v>15000</v>
      </c>
      <c r="F102" s="78"/>
      <c r="G102" s="78">
        <f t="shared" si="76"/>
        <v>15000</v>
      </c>
      <c r="H102" s="78"/>
      <c r="I102" s="78">
        <f t="shared" si="77"/>
        <v>15000</v>
      </c>
      <c r="J102" s="78"/>
      <c r="K102" s="78">
        <f t="shared" si="78"/>
        <v>15000</v>
      </c>
      <c r="L102" s="78"/>
      <c r="M102" s="78">
        <f t="shared" si="79"/>
        <v>15000</v>
      </c>
      <c r="N102" s="78"/>
      <c r="O102" s="78">
        <f t="shared" si="80"/>
        <v>15000</v>
      </c>
      <c r="P102" s="78"/>
      <c r="Q102" s="78">
        <f t="shared" si="81"/>
        <v>15000</v>
      </c>
      <c r="R102" s="78"/>
      <c r="S102" s="78">
        <f t="shared" si="82"/>
        <v>15000</v>
      </c>
      <c r="T102" s="78"/>
      <c r="U102" s="78">
        <f t="shared" si="83"/>
        <v>15000</v>
      </c>
      <c r="V102" s="78"/>
      <c r="W102" s="78">
        <f t="shared" si="84"/>
        <v>15000</v>
      </c>
      <c r="X102" s="78"/>
      <c r="Y102" s="78">
        <f t="shared" si="85"/>
        <v>15000</v>
      </c>
    </row>
    <row r="103" spans="1:25" s="26" customFormat="1" ht="24">
      <c r="A103" s="83"/>
      <c r="B103" s="79"/>
      <c r="C103" s="65">
        <v>4360</v>
      </c>
      <c r="D103" s="41" t="s">
        <v>238</v>
      </c>
      <c r="E103" s="78">
        <v>23500</v>
      </c>
      <c r="F103" s="78"/>
      <c r="G103" s="78">
        <f t="shared" si="76"/>
        <v>23500</v>
      </c>
      <c r="H103" s="78"/>
      <c r="I103" s="78">
        <f t="shared" si="77"/>
        <v>23500</v>
      </c>
      <c r="J103" s="78"/>
      <c r="K103" s="78">
        <f t="shared" si="78"/>
        <v>23500</v>
      </c>
      <c r="L103" s="78"/>
      <c r="M103" s="78">
        <f t="shared" si="79"/>
        <v>23500</v>
      </c>
      <c r="N103" s="78"/>
      <c r="O103" s="78">
        <f t="shared" si="80"/>
        <v>23500</v>
      </c>
      <c r="P103" s="78"/>
      <c r="Q103" s="78">
        <f t="shared" si="81"/>
        <v>23500</v>
      </c>
      <c r="R103" s="78"/>
      <c r="S103" s="78">
        <f t="shared" si="82"/>
        <v>23500</v>
      </c>
      <c r="T103" s="78"/>
      <c r="U103" s="78">
        <f t="shared" si="83"/>
        <v>23500</v>
      </c>
      <c r="V103" s="78"/>
      <c r="W103" s="78">
        <f t="shared" si="84"/>
        <v>23500</v>
      </c>
      <c r="X103" s="78"/>
      <c r="Y103" s="78">
        <f t="shared" si="85"/>
        <v>23500</v>
      </c>
    </row>
    <row r="104" spans="1:25" s="26" customFormat="1" ht="24">
      <c r="A104" s="83"/>
      <c r="B104" s="79"/>
      <c r="C104" s="65">
        <v>4370</v>
      </c>
      <c r="D104" s="41" t="s">
        <v>235</v>
      </c>
      <c r="E104" s="78">
        <v>51500</v>
      </c>
      <c r="F104" s="78"/>
      <c r="G104" s="78">
        <f t="shared" si="76"/>
        <v>51500</v>
      </c>
      <c r="H104" s="78"/>
      <c r="I104" s="78">
        <f t="shared" si="77"/>
        <v>51500</v>
      </c>
      <c r="J104" s="78"/>
      <c r="K104" s="78">
        <f t="shared" si="78"/>
        <v>51500</v>
      </c>
      <c r="L104" s="78"/>
      <c r="M104" s="78">
        <f t="shared" si="79"/>
        <v>51500</v>
      </c>
      <c r="N104" s="78"/>
      <c r="O104" s="78">
        <f t="shared" si="80"/>
        <v>51500</v>
      </c>
      <c r="P104" s="78"/>
      <c r="Q104" s="78">
        <f t="shared" si="81"/>
        <v>51500</v>
      </c>
      <c r="R104" s="78"/>
      <c r="S104" s="78">
        <f t="shared" si="82"/>
        <v>51500</v>
      </c>
      <c r="T104" s="78"/>
      <c r="U104" s="78">
        <f t="shared" si="83"/>
        <v>51500</v>
      </c>
      <c r="V104" s="78"/>
      <c r="W104" s="78">
        <f t="shared" si="84"/>
        <v>51500</v>
      </c>
      <c r="X104" s="78"/>
      <c r="Y104" s="78">
        <f t="shared" si="85"/>
        <v>51500</v>
      </c>
    </row>
    <row r="105" spans="1:25" s="26" customFormat="1" ht="21" customHeight="1">
      <c r="A105" s="83"/>
      <c r="B105" s="79"/>
      <c r="C105" s="65">
        <v>4410</v>
      </c>
      <c r="D105" s="41" t="s">
        <v>93</v>
      </c>
      <c r="E105" s="78">
        <v>53200</v>
      </c>
      <c r="F105" s="78"/>
      <c r="G105" s="78">
        <f t="shared" si="76"/>
        <v>53200</v>
      </c>
      <c r="H105" s="78"/>
      <c r="I105" s="78">
        <f t="shared" si="77"/>
        <v>53200</v>
      </c>
      <c r="J105" s="78"/>
      <c r="K105" s="78">
        <f t="shared" si="78"/>
        <v>53200</v>
      </c>
      <c r="L105" s="78"/>
      <c r="M105" s="78">
        <f t="shared" si="79"/>
        <v>53200</v>
      </c>
      <c r="N105" s="78"/>
      <c r="O105" s="78">
        <f t="shared" si="80"/>
        <v>53200</v>
      </c>
      <c r="P105" s="78"/>
      <c r="Q105" s="78">
        <f t="shared" si="81"/>
        <v>53200</v>
      </c>
      <c r="R105" s="78"/>
      <c r="S105" s="78">
        <f t="shared" si="82"/>
        <v>53200</v>
      </c>
      <c r="T105" s="78"/>
      <c r="U105" s="78">
        <f t="shared" si="83"/>
        <v>53200</v>
      </c>
      <c r="V105" s="78"/>
      <c r="W105" s="78">
        <f t="shared" si="84"/>
        <v>53200</v>
      </c>
      <c r="X105" s="78"/>
      <c r="Y105" s="78">
        <f t="shared" si="85"/>
        <v>53200</v>
      </c>
    </row>
    <row r="106" spans="1:25" s="26" customFormat="1" ht="21" customHeight="1">
      <c r="A106" s="83"/>
      <c r="B106" s="79"/>
      <c r="C106" s="83">
        <v>4420</v>
      </c>
      <c r="D106" s="41" t="s">
        <v>96</v>
      </c>
      <c r="E106" s="78">
        <v>5000</v>
      </c>
      <c r="F106" s="78"/>
      <c r="G106" s="78">
        <f t="shared" si="76"/>
        <v>5000</v>
      </c>
      <c r="H106" s="78"/>
      <c r="I106" s="78">
        <f t="shared" si="77"/>
        <v>5000</v>
      </c>
      <c r="J106" s="78"/>
      <c r="K106" s="78">
        <f t="shared" si="78"/>
        <v>5000</v>
      </c>
      <c r="L106" s="78"/>
      <c r="M106" s="78">
        <f t="shared" si="79"/>
        <v>5000</v>
      </c>
      <c r="N106" s="78"/>
      <c r="O106" s="78">
        <f t="shared" si="80"/>
        <v>5000</v>
      </c>
      <c r="P106" s="78"/>
      <c r="Q106" s="78">
        <f t="shared" si="81"/>
        <v>5000</v>
      </c>
      <c r="R106" s="78"/>
      <c r="S106" s="78">
        <f t="shared" si="82"/>
        <v>5000</v>
      </c>
      <c r="T106" s="78"/>
      <c r="U106" s="78">
        <f t="shared" si="83"/>
        <v>5000</v>
      </c>
      <c r="V106" s="78"/>
      <c r="W106" s="78">
        <f t="shared" si="84"/>
        <v>5000</v>
      </c>
      <c r="X106" s="78"/>
      <c r="Y106" s="78">
        <f t="shared" si="85"/>
        <v>5000</v>
      </c>
    </row>
    <row r="107" spans="1:25" s="26" customFormat="1" ht="21" customHeight="1">
      <c r="A107" s="83"/>
      <c r="B107" s="79"/>
      <c r="C107" s="68">
        <v>4430</v>
      </c>
      <c r="D107" s="41" t="s">
        <v>97</v>
      </c>
      <c r="E107" s="78">
        <v>63502</v>
      </c>
      <c r="F107" s="78"/>
      <c r="G107" s="78">
        <f t="shared" si="76"/>
        <v>63502</v>
      </c>
      <c r="H107" s="78"/>
      <c r="I107" s="78">
        <f t="shared" si="77"/>
        <v>63502</v>
      </c>
      <c r="J107" s="78"/>
      <c r="K107" s="78">
        <f t="shared" si="78"/>
        <v>63502</v>
      </c>
      <c r="L107" s="78">
        <v>-10000</v>
      </c>
      <c r="M107" s="78">
        <f t="shared" si="79"/>
        <v>53502</v>
      </c>
      <c r="N107" s="78">
        <v>-4000</v>
      </c>
      <c r="O107" s="78">
        <f t="shared" si="80"/>
        <v>49502</v>
      </c>
      <c r="P107" s="78"/>
      <c r="Q107" s="78">
        <f t="shared" si="81"/>
        <v>49502</v>
      </c>
      <c r="R107" s="78"/>
      <c r="S107" s="78">
        <f t="shared" si="82"/>
        <v>49502</v>
      </c>
      <c r="T107" s="78"/>
      <c r="U107" s="78">
        <f t="shared" si="83"/>
        <v>49502</v>
      </c>
      <c r="V107" s="78"/>
      <c r="W107" s="78">
        <f t="shared" si="84"/>
        <v>49502</v>
      </c>
      <c r="X107" s="78"/>
      <c r="Y107" s="78">
        <f t="shared" si="85"/>
        <v>49502</v>
      </c>
    </row>
    <row r="108" spans="1:25" s="26" customFormat="1" ht="21" customHeight="1">
      <c r="A108" s="83"/>
      <c r="B108" s="79"/>
      <c r="C108" s="68">
        <v>4440</v>
      </c>
      <c r="D108" s="41" t="s">
        <v>91</v>
      </c>
      <c r="E108" s="78">
        <f>125776-5000</f>
        <v>120776</v>
      </c>
      <c r="F108" s="78"/>
      <c r="G108" s="78">
        <f t="shared" si="76"/>
        <v>120776</v>
      </c>
      <c r="H108" s="78"/>
      <c r="I108" s="78">
        <f t="shared" si="77"/>
        <v>120776</v>
      </c>
      <c r="J108" s="78"/>
      <c r="K108" s="78">
        <f t="shared" si="78"/>
        <v>120776</v>
      </c>
      <c r="L108" s="78"/>
      <c r="M108" s="78">
        <f t="shared" si="79"/>
        <v>120776</v>
      </c>
      <c r="N108" s="78"/>
      <c r="O108" s="78">
        <f t="shared" si="80"/>
        <v>120776</v>
      </c>
      <c r="P108" s="78"/>
      <c r="Q108" s="78">
        <f t="shared" si="81"/>
        <v>120776</v>
      </c>
      <c r="R108" s="78"/>
      <c r="S108" s="78">
        <f t="shared" si="82"/>
        <v>120776</v>
      </c>
      <c r="T108" s="78"/>
      <c r="U108" s="78">
        <f t="shared" si="83"/>
        <v>120776</v>
      </c>
      <c r="V108" s="78"/>
      <c r="W108" s="78">
        <f t="shared" si="84"/>
        <v>120776</v>
      </c>
      <c r="X108" s="78"/>
      <c r="Y108" s="78">
        <f t="shared" si="85"/>
        <v>120776</v>
      </c>
    </row>
    <row r="109" spans="1:25" s="26" customFormat="1" ht="21" customHeight="1">
      <c r="A109" s="83"/>
      <c r="B109" s="79"/>
      <c r="C109" s="68">
        <v>4510</v>
      </c>
      <c r="D109" s="41" t="s">
        <v>150</v>
      </c>
      <c r="E109" s="78">
        <v>4000</v>
      </c>
      <c r="F109" s="78"/>
      <c r="G109" s="78">
        <f t="shared" si="76"/>
        <v>4000</v>
      </c>
      <c r="H109" s="78"/>
      <c r="I109" s="78">
        <f t="shared" si="77"/>
        <v>4000</v>
      </c>
      <c r="J109" s="78"/>
      <c r="K109" s="78">
        <f t="shared" si="78"/>
        <v>4000</v>
      </c>
      <c r="L109" s="78"/>
      <c r="M109" s="78">
        <f t="shared" si="79"/>
        <v>4000</v>
      </c>
      <c r="N109" s="78"/>
      <c r="O109" s="78">
        <f t="shared" si="80"/>
        <v>4000</v>
      </c>
      <c r="P109" s="78"/>
      <c r="Q109" s="78">
        <f t="shared" si="81"/>
        <v>4000</v>
      </c>
      <c r="R109" s="78"/>
      <c r="S109" s="78">
        <f t="shared" si="82"/>
        <v>4000</v>
      </c>
      <c r="T109" s="78"/>
      <c r="U109" s="78">
        <f t="shared" si="83"/>
        <v>4000</v>
      </c>
      <c r="V109" s="78"/>
      <c r="W109" s="78">
        <f t="shared" si="84"/>
        <v>4000</v>
      </c>
      <c r="X109" s="78"/>
      <c r="Y109" s="78">
        <f t="shared" si="85"/>
        <v>4000</v>
      </c>
    </row>
    <row r="110" spans="1:25" s="26" customFormat="1" ht="21" customHeight="1">
      <c r="A110" s="83"/>
      <c r="B110" s="79"/>
      <c r="C110" s="68">
        <v>4580</v>
      </c>
      <c r="D110" s="41" t="s">
        <v>11</v>
      </c>
      <c r="E110" s="78"/>
      <c r="F110" s="78"/>
      <c r="G110" s="78"/>
      <c r="H110" s="78"/>
      <c r="I110" s="78">
        <v>0</v>
      </c>
      <c r="J110" s="78">
        <v>1000</v>
      </c>
      <c r="K110" s="78">
        <f t="shared" si="78"/>
        <v>1000</v>
      </c>
      <c r="L110" s="78"/>
      <c r="M110" s="78">
        <f t="shared" si="79"/>
        <v>1000</v>
      </c>
      <c r="N110" s="78"/>
      <c r="O110" s="78">
        <f t="shared" si="80"/>
        <v>1000</v>
      </c>
      <c r="P110" s="78"/>
      <c r="Q110" s="78">
        <f t="shared" si="81"/>
        <v>1000</v>
      </c>
      <c r="R110" s="78"/>
      <c r="S110" s="78">
        <f t="shared" si="82"/>
        <v>1000</v>
      </c>
      <c r="T110" s="78"/>
      <c r="U110" s="78">
        <f t="shared" si="83"/>
        <v>1000</v>
      </c>
      <c r="V110" s="78"/>
      <c r="W110" s="78">
        <f t="shared" si="84"/>
        <v>1000</v>
      </c>
      <c r="X110" s="78"/>
      <c r="Y110" s="78">
        <f t="shared" si="85"/>
        <v>1000</v>
      </c>
    </row>
    <row r="111" spans="1:25" s="26" customFormat="1" ht="24">
      <c r="A111" s="83"/>
      <c r="B111" s="79"/>
      <c r="C111" s="68">
        <v>4700</v>
      </c>
      <c r="D111" s="41" t="s">
        <v>272</v>
      </c>
      <c r="E111" s="78">
        <v>31000</v>
      </c>
      <c r="F111" s="78"/>
      <c r="G111" s="78">
        <f t="shared" si="76"/>
        <v>31000</v>
      </c>
      <c r="H111" s="78"/>
      <c r="I111" s="78">
        <f t="shared" si="77"/>
        <v>31000</v>
      </c>
      <c r="J111" s="78"/>
      <c r="K111" s="78">
        <f t="shared" si="78"/>
        <v>31000</v>
      </c>
      <c r="L111" s="78"/>
      <c r="M111" s="78">
        <f t="shared" si="79"/>
        <v>31000</v>
      </c>
      <c r="N111" s="78"/>
      <c r="O111" s="78">
        <f t="shared" si="80"/>
        <v>31000</v>
      </c>
      <c r="P111" s="78"/>
      <c r="Q111" s="78">
        <f t="shared" si="81"/>
        <v>31000</v>
      </c>
      <c r="R111" s="78"/>
      <c r="S111" s="78">
        <f t="shared" si="82"/>
        <v>31000</v>
      </c>
      <c r="T111" s="78"/>
      <c r="U111" s="78">
        <f t="shared" si="83"/>
        <v>31000</v>
      </c>
      <c r="V111" s="78"/>
      <c r="W111" s="78">
        <f t="shared" si="84"/>
        <v>31000</v>
      </c>
      <c r="X111" s="78"/>
      <c r="Y111" s="78">
        <f t="shared" si="85"/>
        <v>31000</v>
      </c>
    </row>
    <row r="112" spans="1:25" s="26" customFormat="1" ht="24">
      <c r="A112" s="83"/>
      <c r="B112" s="79"/>
      <c r="C112" s="68">
        <v>4740</v>
      </c>
      <c r="D112" s="41" t="s">
        <v>236</v>
      </c>
      <c r="E112" s="78">
        <v>20000</v>
      </c>
      <c r="F112" s="78"/>
      <c r="G112" s="78">
        <f t="shared" si="76"/>
        <v>20000</v>
      </c>
      <c r="H112" s="78"/>
      <c r="I112" s="78">
        <f t="shared" si="77"/>
        <v>20000</v>
      </c>
      <c r="J112" s="78"/>
      <c r="K112" s="78">
        <f t="shared" si="78"/>
        <v>20000</v>
      </c>
      <c r="L112" s="78"/>
      <c r="M112" s="78">
        <f t="shared" si="79"/>
        <v>20000</v>
      </c>
      <c r="N112" s="78"/>
      <c r="O112" s="78">
        <f t="shared" si="80"/>
        <v>20000</v>
      </c>
      <c r="P112" s="78"/>
      <c r="Q112" s="78">
        <f t="shared" si="81"/>
        <v>20000</v>
      </c>
      <c r="R112" s="78"/>
      <c r="S112" s="78">
        <f t="shared" si="82"/>
        <v>20000</v>
      </c>
      <c r="T112" s="78"/>
      <c r="U112" s="78">
        <f t="shared" si="83"/>
        <v>20000</v>
      </c>
      <c r="V112" s="78"/>
      <c r="W112" s="78">
        <f t="shared" si="84"/>
        <v>20000</v>
      </c>
      <c r="X112" s="78"/>
      <c r="Y112" s="78">
        <f t="shared" si="85"/>
        <v>20000</v>
      </c>
    </row>
    <row r="113" spans="1:25" s="26" customFormat="1" ht="24">
      <c r="A113" s="83"/>
      <c r="B113" s="79"/>
      <c r="C113" s="68">
        <v>4750</v>
      </c>
      <c r="D113" s="41" t="s">
        <v>237</v>
      </c>
      <c r="E113" s="78">
        <v>38000</v>
      </c>
      <c r="F113" s="78"/>
      <c r="G113" s="78">
        <f t="shared" si="76"/>
        <v>38000</v>
      </c>
      <c r="H113" s="78"/>
      <c r="I113" s="78">
        <f t="shared" si="77"/>
        <v>38000</v>
      </c>
      <c r="J113" s="78"/>
      <c r="K113" s="78">
        <f t="shared" si="78"/>
        <v>38000</v>
      </c>
      <c r="L113" s="78"/>
      <c r="M113" s="78">
        <f t="shared" si="79"/>
        <v>38000</v>
      </c>
      <c r="N113" s="78"/>
      <c r="O113" s="78">
        <f t="shared" si="80"/>
        <v>38000</v>
      </c>
      <c r="P113" s="78"/>
      <c r="Q113" s="78">
        <f t="shared" si="81"/>
        <v>38000</v>
      </c>
      <c r="R113" s="78"/>
      <c r="S113" s="78">
        <f t="shared" si="82"/>
        <v>38000</v>
      </c>
      <c r="T113" s="78"/>
      <c r="U113" s="78">
        <f t="shared" si="83"/>
        <v>38000</v>
      </c>
      <c r="V113" s="78"/>
      <c r="W113" s="78">
        <f t="shared" si="84"/>
        <v>38000</v>
      </c>
      <c r="X113" s="78"/>
      <c r="Y113" s="78">
        <f t="shared" si="85"/>
        <v>38000</v>
      </c>
    </row>
    <row r="114" spans="1:25" s="26" customFormat="1" ht="24">
      <c r="A114" s="83"/>
      <c r="B114" s="79"/>
      <c r="C114" s="68">
        <v>6060</v>
      </c>
      <c r="D114" s="41" t="s">
        <v>99</v>
      </c>
      <c r="E114" s="78">
        <v>135000</v>
      </c>
      <c r="F114" s="78">
        <v>-40000</v>
      </c>
      <c r="G114" s="78">
        <f t="shared" si="76"/>
        <v>95000</v>
      </c>
      <c r="H114" s="78"/>
      <c r="I114" s="78">
        <f t="shared" si="77"/>
        <v>95000</v>
      </c>
      <c r="J114" s="78"/>
      <c r="K114" s="78">
        <f t="shared" si="78"/>
        <v>95000</v>
      </c>
      <c r="L114" s="78"/>
      <c r="M114" s="78">
        <f t="shared" si="79"/>
        <v>95000</v>
      </c>
      <c r="N114" s="78"/>
      <c r="O114" s="78">
        <f t="shared" si="80"/>
        <v>95000</v>
      </c>
      <c r="P114" s="78"/>
      <c r="Q114" s="78">
        <f t="shared" si="81"/>
        <v>95000</v>
      </c>
      <c r="R114" s="78"/>
      <c r="S114" s="78">
        <f t="shared" si="82"/>
        <v>95000</v>
      </c>
      <c r="T114" s="78"/>
      <c r="U114" s="78">
        <f t="shared" si="83"/>
        <v>95000</v>
      </c>
      <c r="V114" s="78"/>
      <c r="W114" s="78">
        <f t="shared" si="84"/>
        <v>95000</v>
      </c>
      <c r="X114" s="78"/>
      <c r="Y114" s="78">
        <f t="shared" si="85"/>
        <v>95000</v>
      </c>
    </row>
    <row r="115" spans="1:25" s="26" customFormat="1" ht="24">
      <c r="A115" s="83"/>
      <c r="B115" s="79">
        <v>75075</v>
      </c>
      <c r="C115" s="83"/>
      <c r="D115" s="41" t="s">
        <v>213</v>
      </c>
      <c r="E115" s="78">
        <f aca="true" t="shared" si="86" ref="E115:K115">SUM(E116:E127)</f>
        <v>501460</v>
      </c>
      <c r="F115" s="78">
        <f t="shared" si="86"/>
        <v>-301500</v>
      </c>
      <c r="G115" s="78">
        <f t="shared" si="86"/>
        <v>199960</v>
      </c>
      <c r="H115" s="78">
        <f t="shared" si="86"/>
        <v>0</v>
      </c>
      <c r="I115" s="78">
        <f t="shared" si="86"/>
        <v>199960</v>
      </c>
      <c r="J115" s="78">
        <f t="shared" si="86"/>
        <v>0</v>
      </c>
      <c r="K115" s="78">
        <f t="shared" si="86"/>
        <v>199960</v>
      </c>
      <c r="L115" s="78">
        <f aca="true" t="shared" si="87" ref="L115:Q115">SUM(L116:L127)</f>
        <v>0</v>
      </c>
      <c r="M115" s="78">
        <f t="shared" si="87"/>
        <v>199960</v>
      </c>
      <c r="N115" s="78">
        <f t="shared" si="87"/>
        <v>7000</v>
      </c>
      <c r="O115" s="78">
        <f t="shared" si="87"/>
        <v>206960</v>
      </c>
      <c r="P115" s="78">
        <f t="shared" si="87"/>
        <v>0</v>
      </c>
      <c r="Q115" s="78">
        <f t="shared" si="87"/>
        <v>206960</v>
      </c>
      <c r="R115" s="78">
        <f aca="true" t="shared" si="88" ref="R115:W115">SUM(R116:R127)</f>
        <v>0</v>
      </c>
      <c r="S115" s="78">
        <f t="shared" si="88"/>
        <v>206960</v>
      </c>
      <c r="T115" s="78">
        <f t="shared" si="88"/>
        <v>0</v>
      </c>
      <c r="U115" s="78">
        <f t="shared" si="88"/>
        <v>206960</v>
      </c>
      <c r="V115" s="78">
        <f t="shared" si="88"/>
        <v>0</v>
      </c>
      <c r="W115" s="78">
        <f t="shared" si="88"/>
        <v>206960</v>
      </c>
      <c r="X115" s="78">
        <f>SUM(X116:X127)</f>
        <v>0</v>
      </c>
      <c r="Y115" s="78">
        <f>SUM(Y116:Y127)</f>
        <v>206960</v>
      </c>
    </row>
    <row r="116" spans="1:25" s="26" customFormat="1" ht="24">
      <c r="A116" s="83"/>
      <c r="B116" s="79"/>
      <c r="C116" s="83">
        <v>3020</v>
      </c>
      <c r="D116" s="41" t="s">
        <v>199</v>
      </c>
      <c r="E116" s="78">
        <v>12000</v>
      </c>
      <c r="F116" s="78">
        <v>-4000</v>
      </c>
      <c r="G116" s="78">
        <f aca="true" t="shared" si="89" ref="G116:G127">SUM(E116:F116)</f>
        <v>8000</v>
      </c>
      <c r="H116" s="78"/>
      <c r="I116" s="78">
        <f aca="true" t="shared" si="90" ref="I116:I127">SUM(G116:H116)</f>
        <v>8000</v>
      </c>
      <c r="J116" s="78"/>
      <c r="K116" s="78">
        <f aca="true" t="shared" si="91" ref="K116:K127">SUM(I116:J116)</f>
        <v>8000</v>
      </c>
      <c r="L116" s="78"/>
      <c r="M116" s="78">
        <f aca="true" t="shared" si="92" ref="M116:M127">SUM(K116:L116)</f>
        <v>8000</v>
      </c>
      <c r="N116" s="78"/>
      <c r="O116" s="78">
        <f aca="true" t="shared" si="93" ref="O116:O127">SUM(M116:N116)</f>
        <v>8000</v>
      </c>
      <c r="P116" s="78"/>
      <c r="Q116" s="78">
        <f aca="true" t="shared" si="94" ref="Q116:Q127">SUM(O116:P116)</f>
        <v>8000</v>
      </c>
      <c r="R116" s="78"/>
      <c r="S116" s="78">
        <f aca="true" t="shared" si="95" ref="S116:S127">SUM(Q116:R116)</f>
        <v>8000</v>
      </c>
      <c r="T116" s="78"/>
      <c r="U116" s="78">
        <f aca="true" t="shared" si="96" ref="U116:U127">SUM(S116:T116)</f>
        <v>8000</v>
      </c>
      <c r="V116" s="78"/>
      <c r="W116" s="78">
        <f aca="true" t="shared" si="97" ref="W116:W127">SUM(U116:V116)</f>
        <v>8000</v>
      </c>
      <c r="X116" s="78"/>
      <c r="Y116" s="78">
        <f aca="true" t="shared" si="98" ref="Y116:Y127">SUM(W116:X116)</f>
        <v>8000</v>
      </c>
    </row>
    <row r="117" spans="1:27" s="26" customFormat="1" ht="21" customHeight="1">
      <c r="A117" s="83"/>
      <c r="B117" s="79"/>
      <c r="C117" s="83">
        <v>4110</v>
      </c>
      <c r="D117" s="41" t="s">
        <v>89</v>
      </c>
      <c r="E117" s="78">
        <v>1000</v>
      </c>
      <c r="F117" s="78"/>
      <c r="G117" s="78">
        <f t="shared" si="89"/>
        <v>1000</v>
      </c>
      <c r="H117" s="78"/>
      <c r="I117" s="78">
        <f t="shared" si="90"/>
        <v>1000</v>
      </c>
      <c r="J117" s="78"/>
      <c r="K117" s="78">
        <f t="shared" si="91"/>
        <v>1000</v>
      </c>
      <c r="L117" s="78"/>
      <c r="M117" s="78">
        <f t="shared" si="92"/>
        <v>1000</v>
      </c>
      <c r="N117" s="78"/>
      <c r="O117" s="78">
        <f t="shared" si="93"/>
        <v>1000</v>
      </c>
      <c r="P117" s="78"/>
      <c r="Q117" s="78">
        <f t="shared" si="94"/>
        <v>1000</v>
      </c>
      <c r="R117" s="78"/>
      <c r="S117" s="78">
        <f t="shared" si="95"/>
        <v>1000</v>
      </c>
      <c r="T117" s="78"/>
      <c r="U117" s="78">
        <f t="shared" si="96"/>
        <v>1000</v>
      </c>
      <c r="V117" s="78"/>
      <c r="W117" s="78">
        <f t="shared" si="97"/>
        <v>1000</v>
      </c>
      <c r="X117" s="78"/>
      <c r="Y117" s="78">
        <f t="shared" si="98"/>
        <v>1000</v>
      </c>
      <c r="Z117" s="117"/>
      <c r="AA117" s="117"/>
    </row>
    <row r="118" spans="1:27" s="26" customFormat="1" ht="21" customHeight="1">
      <c r="A118" s="83"/>
      <c r="B118" s="79"/>
      <c r="C118" s="83">
        <v>4120</v>
      </c>
      <c r="D118" s="41" t="s">
        <v>90</v>
      </c>
      <c r="E118" s="78">
        <v>100</v>
      </c>
      <c r="F118" s="78"/>
      <c r="G118" s="78">
        <f t="shared" si="89"/>
        <v>100</v>
      </c>
      <c r="H118" s="78"/>
      <c r="I118" s="78">
        <f t="shared" si="90"/>
        <v>100</v>
      </c>
      <c r="J118" s="78"/>
      <c r="K118" s="78">
        <f t="shared" si="91"/>
        <v>100</v>
      </c>
      <c r="L118" s="78"/>
      <c r="M118" s="78">
        <f t="shared" si="92"/>
        <v>100</v>
      </c>
      <c r="N118" s="78"/>
      <c r="O118" s="78">
        <f t="shared" si="93"/>
        <v>100</v>
      </c>
      <c r="P118" s="78"/>
      <c r="Q118" s="78">
        <f t="shared" si="94"/>
        <v>100</v>
      </c>
      <c r="R118" s="78"/>
      <c r="S118" s="78">
        <f t="shared" si="95"/>
        <v>100</v>
      </c>
      <c r="T118" s="78"/>
      <c r="U118" s="78">
        <f t="shared" si="96"/>
        <v>100</v>
      </c>
      <c r="V118" s="78"/>
      <c r="W118" s="78">
        <f t="shared" si="97"/>
        <v>100</v>
      </c>
      <c r="X118" s="78"/>
      <c r="Y118" s="78">
        <f t="shared" si="98"/>
        <v>100</v>
      </c>
      <c r="Z118" s="117"/>
      <c r="AA118" s="117"/>
    </row>
    <row r="119" spans="1:27" s="26" customFormat="1" ht="21" customHeight="1">
      <c r="A119" s="83"/>
      <c r="B119" s="79"/>
      <c r="C119" s="83">
        <v>4170</v>
      </c>
      <c r="D119" s="41" t="s">
        <v>202</v>
      </c>
      <c r="E119" s="78">
        <v>6000</v>
      </c>
      <c r="F119" s="78"/>
      <c r="G119" s="78">
        <f t="shared" si="89"/>
        <v>6000</v>
      </c>
      <c r="H119" s="78"/>
      <c r="I119" s="78">
        <f t="shared" si="90"/>
        <v>6000</v>
      </c>
      <c r="J119" s="78"/>
      <c r="K119" s="78">
        <f t="shared" si="91"/>
        <v>6000</v>
      </c>
      <c r="L119" s="78"/>
      <c r="M119" s="78">
        <f t="shared" si="92"/>
        <v>6000</v>
      </c>
      <c r="N119" s="78"/>
      <c r="O119" s="78">
        <f t="shared" si="93"/>
        <v>6000</v>
      </c>
      <c r="P119" s="78"/>
      <c r="Q119" s="78">
        <f t="shared" si="94"/>
        <v>6000</v>
      </c>
      <c r="R119" s="78"/>
      <c r="S119" s="78">
        <f t="shared" si="95"/>
        <v>6000</v>
      </c>
      <c r="T119" s="78"/>
      <c r="U119" s="78">
        <f t="shared" si="96"/>
        <v>6000</v>
      </c>
      <c r="V119" s="78"/>
      <c r="W119" s="78">
        <f t="shared" si="97"/>
        <v>6000</v>
      </c>
      <c r="X119" s="78"/>
      <c r="Y119" s="78">
        <f t="shared" si="98"/>
        <v>6000</v>
      </c>
      <c r="Z119" s="117"/>
      <c r="AA119" s="117"/>
    </row>
    <row r="120" spans="1:25" s="26" customFormat="1" ht="21" customHeight="1">
      <c r="A120" s="83"/>
      <c r="B120" s="79"/>
      <c r="C120" s="83">
        <v>4210</v>
      </c>
      <c r="D120" s="41" t="s">
        <v>95</v>
      </c>
      <c r="E120" s="78">
        <v>190000</v>
      </c>
      <c r="F120" s="78">
        <v>-115000</v>
      </c>
      <c r="G120" s="78">
        <f t="shared" si="89"/>
        <v>75000</v>
      </c>
      <c r="H120" s="78"/>
      <c r="I120" s="78">
        <f t="shared" si="90"/>
        <v>75000</v>
      </c>
      <c r="J120" s="78"/>
      <c r="K120" s="78">
        <f t="shared" si="91"/>
        <v>75000</v>
      </c>
      <c r="L120" s="78"/>
      <c r="M120" s="78">
        <f t="shared" si="92"/>
        <v>75000</v>
      </c>
      <c r="N120" s="78"/>
      <c r="O120" s="78">
        <f t="shared" si="93"/>
        <v>75000</v>
      </c>
      <c r="P120" s="78"/>
      <c r="Q120" s="78">
        <f t="shared" si="94"/>
        <v>75000</v>
      </c>
      <c r="R120" s="78"/>
      <c r="S120" s="78">
        <f t="shared" si="95"/>
        <v>75000</v>
      </c>
      <c r="T120" s="78"/>
      <c r="U120" s="78">
        <f t="shared" si="96"/>
        <v>75000</v>
      </c>
      <c r="V120" s="78"/>
      <c r="W120" s="78">
        <f t="shared" si="97"/>
        <v>75000</v>
      </c>
      <c r="X120" s="78"/>
      <c r="Y120" s="78">
        <f t="shared" si="98"/>
        <v>75000</v>
      </c>
    </row>
    <row r="121" spans="1:25" s="26" customFormat="1" ht="21" customHeight="1">
      <c r="A121" s="83"/>
      <c r="B121" s="79"/>
      <c r="C121" s="65">
        <v>4300</v>
      </c>
      <c r="D121" s="41" t="s">
        <v>82</v>
      </c>
      <c r="E121" s="78">
        <f>268360+3000</f>
        <v>271360</v>
      </c>
      <c r="F121" s="196">
        <v>-175000</v>
      </c>
      <c r="G121" s="78">
        <f t="shared" si="89"/>
        <v>96360</v>
      </c>
      <c r="H121" s="196"/>
      <c r="I121" s="78">
        <f t="shared" si="90"/>
        <v>96360</v>
      </c>
      <c r="J121" s="196"/>
      <c r="K121" s="78">
        <f t="shared" si="91"/>
        <v>96360</v>
      </c>
      <c r="L121" s="196"/>
      <c r="M121" s="78">
        <f t="shared" si="92"/>
        <v>96360</v>
      </c>
      <c r="N121" s="78">
        <v>7000</v>
      </c>
      <c r="O121" s="78">
        <f t="shared" si="93"/>
        <v>103360</v>
      </c>
      <c r="P121" s="78"/>
      <c r="Q121" s="78">
        <f t="shared" si="94"/>
        <v>103360</v>
      </c>
      <c r="R121" s="78"/>
      <c r="S121" s="78">
        <f t="shared" si="95"/>
        <v>103360</v>
      </c>
      <c r="T121" s="78"/>
      <c r="U121" s="78">
        <f t="shared" si="96"/>
        <v>103360</v>
      </c>
      <c r="V121" s="78"/>
      <c r="W121" s="78">
        <f t="shared" si="97"/>
        <v>103360</v>
      </c>
      <c r="X121" s="78"/>
      <c r="Y121" s="78">
        <f t="shared" si="98"/>
        <v>103360</v>
      </c>
    </row>
    <row r="122" spans="1:25" s="26" customFormat="1" ht="21" customHeight="1">
      <c r="A122" s="83"/>
      <c r="B122" s="79"/>
      <c r="C122" s="65">
        <v>4350</v>
      </c>
      <c r="D122" s="41" t="s">
        <v>215</v>
      </c>
      <c r="E122" s="78">
        <v>5000</v>
      </c>
      <c r="F122" s="78">
        <v>-4000</v>
      </c>
      <c r="G122" s="78">
        <f t="shared" si="89"/>
        <v>1000</v>
      </c>
      <c r="H122" s="78"/>
      <c r="I122" s="78">
        <f t="shared" si="90"/>
        <v>1000</v>
      </c>
      <c r="J122" s="78"/>
      <c r="K122" s="78">
        <f t="shared" si="91"/>
        <v>1000</v>
      </c>
      <c r="L122" s="78"/>
      <c r="M122" s="78">
        <f t="shared" si="92"/>
        <v>1000</v>
      </c>
      <c r="N122" s="78"/>
      <c r="O122" s="78">
        <f t="shared" si="93"/>
        <v>1000</v>
      </c>
      <c r="P122" s="78"/>
      <c r="Q122" s="78">
        <f t="shared" si="94"/>
        <v>1000</v>
      </c>
      <c r="R122" s="78"/>
      <c r="S122" s="78">
        <f t="shared" si="95"/>
        <v>1000</v>
      </c>
      <c r="T122" s="78"/>
      <c r="U122" s="78">
        <f t="shared" si="96"/>
        <v>1000</v>
      </c>
      <c r="V122" s="78"/>
      <c r="W122" s="78">
        <f t="shared" si="97"/>
        <v>1000</v>
      </c>
      <c r="X122" s="78"/>
      <c r="Y122" s="78">
        <f t="shared" si="98"/>
        <v>1000</v>
      </c>
    </row>
    <row r="123" spans="1:25" s="26" customFormat="1" ht="21" customHeight="1">
      <c r="A123" s="83"/>
      <c r="B123" s="79"/>
      <c r="C123" s="65">
        <v>4410</v>
      </c>
      <c r="D123" s="41" t="s">
        <v>93</v>
      </c>
      <c r="E123" s="78">
        <v>3000</v>
      </c>
      <c r="F123" s="78"/>
      <c r="G123" s="78">
        <f t="shared" si="89"/>
        <v>3000</v>
      </c>
      <c r="H123" s="78"/>
      <c r="I123" s="78">
        <f t="shared" si="90"/>
        <v>3000</v>
      </c>
      <c r="J123" s="78"/>
      <c r="K123" s="78">
        <f t="shared" si="91"/>
        <v>3000</v>
      </c>
      <c r="L123" s="78"/>
      <c r="M123" s="78">
        <f t="shared" si="92"/>
        <v>3000</v>
      </c>
      <c r="N123" s="78"/>
      <c r="O123" s="78">
        <f t="shared" si="93"/>
        <v>3000</v>
      </c>
      <c r="P123" s="78"/>
      <c r="Q123" s="78">
        <f t="shared" si="94"/>
        <v>3000</v>
      </c>
      <c r="R123" s="78"/>
      <c r="S123" s="78">
        <f t="shared" si="95"/>
        <v>3000</v>
      </c>
      <c r="T123" s="78">
        <v>-1800</v>
      </c>
      <c r="U123" s="78">
        <f t="shared" si="96"/>
        <v>1200</v>
      </c>
      <c r="V123" s="78"/>
      <c r="W123" s="78">
        <f t="shared" si="97"/>
        <v>1200</v>
      </c>
      <c r="X123" s="78"/>
      <c r="Y123" s="78">
        <f t="shared" si="98"/>
        <v>1200</v>
      </c>
    </row>
    <row r="124" spans="1:25" s="26" customFormat="1" ht="21" customHeight="1">
      <c r="A124" s="83"/>
      <c r="B124" s="79"/>
      <c r="C124" s="83">
        <v>4420</v>
      </c>
      <c r="D124" s="41" t="s">
        <v>96</v>
      </c>
      <c r="E124" s="78">
        <v>3000</v>
      </c>
      <c r="F124" s="78"/>
      <c r="G124" s="78">
        <f t="shared" si="89"/>
        <v>3000</v>
      </c>
      <c r="H124" s="78"/>
      <c r="I124" s="78">
        <f t="shared" si="90"/>
        <v>3000</v>
      </c>
      <c r="J124" s="78"/>
      <c r="K124" s="78">
        <f t="shared" si="91"/>
        <v>3000</v>
      </c>
      <c r="L124" s="78"/>
      <c r="M124" s="78">
        <f t="shared" si="92"/>
        <v>3000</v>
      </c>
      <c r="N124" s="78"/>
      <c r="O124" s="78">
        <f t="shared" si="93"/>
        <v>3000</v>
      </c>
      <c r="P124" s="78"/>
      <c r="Q124" s="78">
        <f t="shared" si="94"/>
        <v>3000</v>
      </c>
      <c r="R124" s="78"/>
      <c r="S124" s="78">
        <f t="shared" si="95"/>
        <v>3000</v>
      </c>
      <c r="T124" s="78">
        <v>1800</v>
      </c>
      <c r="U124" s="78">
        <f t="shared" si="96"/>
        <v>4800</v>
      </c>
      <c r="V124" s="78"/>
      <c r="W124" s="78">
        <f t="shared" si="97"/>
        <v>4800</v>
      </c>
      <c r="X124" s="78"/>
      <c r="Y124" s="78">
        <f t="shared" si="98"/>
        <v>4800</v>
      </c>
    </row>
    <row r="125" spans="1:25" s="26" customFormat="1" ht="21" customHeight="1">
      <c r="A125" s="83"/>
      <c r="B125" s="79"/>
      <c r="C125" s="65">
        <v>4430</v>
      </c>
      <c r="D125" s="41" t="s">
        <v>97</v>
      </c>
      <c r="E125" s="78">
        <v>3000</v>
      </c>
      <c r="F125" s="78">
        <v>-1000</v>
      </c>
      <c r="G125" s="78">
        <f t="shared" si="89"/>
        <v>2000</v>
      </c>
      <c r="H125" s="78"/>
      <c r="I125" s="78">
        <f t="shared" si="90"/>
        <v>2000</v>
      </c>
      <c r="J125" s="78"/>
      <c r="K125" s="78">
        <f t="shared" si="91"/>
        <v>2000</v>
      </c>
      <c r="L125" s="78"/>
      <c r="M125" s="78">
        <f t="shared" si="92"/>
        <v>2000</v>
      </c>
      <c r="N125" s="78"/>
      <c r="O125" s="78">
        <f t="shared" si="93"/>
        <v>2000</v>
      </c>
      <c r="P125" s="78"/>
      <c r="Q125" s="78">
        <f t="shared" si="94"/>
        <v>2000</v>
      </c>
      <c r="R125" s="78"/>
      <c r="S125" s="78">
        <f t="shared" si="95"/>
        <v>2000</v>
      </c>
      <c r="T125" s="78"/>
      <c r="U125" s="78">
        <f t="shared" si="96"/>
        <v>2000</v>
      </c>
      <c r="V125" s="78"/>
      <c r="W125" s="78">
        <f t="shared" si="97"/>
        <v>2000</v>
      </c>
      <c r="X125" s="78"/>
      <c r="Y125" s="78">
        <f t="shared" si="98"/>
        <v>2000</v>
      </c>
    </row>
    <row r="126" spans="1:25" s="26" customFormat="1" ht="24">
      <c r="A126" s="83"/>
      <c r="B126" s="79"/>
      <c r="C126" s="65">
        <v>4740</v>
      </c>
      <c r="D126" s="41" t="s">
        <v>236</v>
      </c>
      <c r="E126" s="78">
        <v>1000</v>
      </c>
      <c r="F126" s="78"/>
      <c r="G126" s="78">
        <f t="shared" si="89"/>
        <v>1000</v>
      </c>
      <c r="H126" s="78"/>
      <c r="I126" s="78">
        <f t="shared" si="90"/>
        <v>1000</v>
      </c>
      <c r="J126" s="78"/>
      <c r="K126" s="78">
        <f t="shared" si="91"/>
        <v>1000</v>
      </c>
      <c r="L126" s="78"/>
      <c r="M126" s="78">
        <f t="shared" si="92"/>
        <v>1000</v>
      </c>
      <c r="N126" s="78"/>
      <c r="O126" s="78">
        <f t="shared" si="93"/>
        <v>1000</v>
      </c>
      <c r="P126" s="78"/>
      <c r="Q126" s="78">
        <f t="shared" si="94"/>
        <v>1000</v>
      </c>
      <c r="R126" s="78"/>
      <c r="S126" s="78">
        <f t="shared" si="95"/>
        <v>1000</v>
      </c>
      <c r="T126" s="78"/>
      <c r="U126" s="78">
        <f t="shared" si="96"/>
        <v>1000</v>
      </c>
      <c r="V126" s="78"/>
      <c r="W126" s="78">
        <f t="shared" si="97"/>
        <v>1000</v>
      </c>
      <c r="X126" s="78"/>
      <c r="Y126" s="78">
        <f t="shared" si="98"/>
        <v>1000</v>
      </c>
    </row>
    <row r="127" spans="1:25" s="26" customFormat="1" ht="36">
      <c r="A127" s="83"/>
      <c r="B127" s="79"/>
      <c r="C127" s="65">
        <v>4750</v>
      </c>
      <c r="D127" s="41" t="s">
        <v>277</v>
      </c>
      <c r="E127" s="78">
        <v>6000</v>
      </c>
      <c r="F127" s="78">
        <v>-2500</v>
      </c>
      <c r="G127" s="78">
        <f t="shared" si="89"/>
        <v>3500</v>
      </c>
      <c r="H127" s="78"/>
      <c r="I127" s="78">
        <f t="shared" si="90"/>
        <v>3500</v>
      </c>
      <c r="J127" s="78"/>
      <c r="K127" s="78">
        <f t="shared" si="91"/>
        <v>3500</v>
      </c>
      <c r="L127" s="78"/>
      <c r="M127" s="78">
        <f t="shared" si="92"/>
        <v>3500</v>
      </c>
      <c r="N127" s="78"/>
      <c r="O127" s="78">
        <f t="shared" si="93"/>
        <v>3500</v>
      </c>
      <c r="P127" s="78"/>
      <c r="Q127" s="78">
        <f t="shared" si="94"/>
        <v>3500</v>
      </c>
      <c r="R127" s="78"/>
      <c r="S127" s="78">
        <f t="shared" si="95"/>
        <v>3500</v>
      </c>
      <c r="T127" s="78"/>
      <c r="U127" s="78">
        <f t="shared" si="96"/>
        <v>3500</v>
      </c>
      <c r="V127" s="78"/>
      <c r="W127" s="78">
        <f t="shared" si="97"/>
        <v>3500</v>
      </c>
      <c r="X127" s="78"/>
      <c r="Y127" s="78">
        <f t="shared" si="98"/>
        <v>3500</v>
      </c>
    </row>
    <row r="128" spans="1:25" s="26" customFormat="1" ht="21" customHeight="1">
      <c r="A128" s="83"/>
      <c r="B128" s="79">
        <v>75095</v>
      </c>
      <c r="C128" s="65"/>
      <c r="D128" s="41" t="s">
        <v>6</v>
      </c>
      <c r="E128" s="78">
        <f aca="true" t="shared" si="99" ref="E128:K128">SUM(E129:E134)</f>
        <v>124580</v>
      </c>
      <c r="F128" s="78">
        <f t="shared" si="99"/>
        <v>0</v>
      </c>
      <c r="G128" s="78">
        <f t="shared" si="99"/>
        <v>124580</v>
      </c>
      <c r="H128" s="78">
        <f t="shared" si="99"/>
        <v>0</v>
      </c>
      <c r="I128" s="78">
        <f t="shared" si="99"/>
        <v>124580</v>
      </c>
      <c r="J128" s="78">
        <f t="shared" si="99"/>
        <v>0</v>
      </c>
      <c r="K128" s="78">
        <f t="shared" si="99"/>
        <v>124580</v>
      </c>
      <c r="L128" s="78">
        <f aca="true" t="shared" si="100" ref="L128:Q128">SUM(L129:L134)</f>
        <v>0</v>
      </c>
      <c r="M128" s="78">
        <f t="shared" si="100"/>
        <v>124580</v>
      </c>
      <c r="N128" s="78">
        <f t="shared" si="100"/>
        <v>0</v>
      </c>
      <c r="O128" s="78">
        <f t="shared" si="100"/>
        <v>124580</v>
      </c>
      <c r="P128" s="78">
        <f t="shared" si="100"/>
        <v>0</v>
      </c>
      <c r="Q128" s="78">
        <f t="shared" si="100"/>
        <v>124580</v>
      </c>
      <c r="R128" s="78">
        <f aca="true" t="shared" si="101" ref="R128:W128">SUM(R129:R134)</f>
        <v>-800</v>
      </c>
      <c r="S128" s="78">
        <f t="shared" si="101"/>
        <v>123780</v>
      </c>
      <c r="T128" s="78">
        <f t="shared" si="101"/>
        <v>0</v>
      </c>
      <c r="U128" s="78">
        <f t="shared" si="101"/>
        <v>123780</v>
      </c>
      <c r="V128" s="78">
        <f t="shared" si="101"/>
        <v>0</v>
      </c>
      <c r="W128" s="78">
        <f t="shared" si="101"/>
        <v>123780</v>
      </c>
      <c r="X128" s="78">
        <f>SUM(X129:X134)</f>
        <v>0</v>
      </c>
      <c r="Y128" s="78">
        <f>SUM(Y129:Y134)</f>
        <v>123780</v>
      </c>
    </row>
    <row r="129" spans="1:25" s="26" customFormat="1" ht="21" customHeight="1">
      <c r="A129" s="83"/>
      <c r="B129" s="79"/>
      <c r="C129" s="65">
        <v>3030</v>
      </c>
      <c r="D129" s="41" t="s">
        <v>92</v>
      </c>
      <c r="E129" s="78">
        <v>60000</v>
      </c>
      <c r="F129" s="78"/>
      <c r="G129" s="78">
        <f aca="true" t="shared" si="102" ref="G129:G209">SUM(E129:F129)</f>
        <v>60000</v>
      </c>
      <c r="H129" s="78"/>
      <c r="I129" s="78">
        <f aca="true" t="shared" si="103" ref="I129:I134">SUM(G129:H129)</f>
        <v>60000</v>
      </c>
      <c r="J129" s="78"/>
      <c r="K129" s="78">
        <f aca="true" t="shared" si="104" ref="K129:K134">SUM(I129:J129)</f>
        <v>60000</v>
      </c>
      <c r="L129" s="78"/>
      <c r="M129" s="78">
        <f aca="true" t="shared" si="105" ref="M129:M134">SUM(K129:L129)</f>
        <v>60000</v>
      </c>
      <c r="N129" s="78"/>
      <c r="O129" s="78">
        <f aca="true" t="shared" si="106" ref="O129:O134">SUM(M129:N129)</f>
        <v>60000</v>
      </c>
      <c r="P129" s="78"/>
      <c r="Q129" s="78">
        <f aca="true" t="shared" si="107" ref="Q129:Q134">SUM(O129:P129)</f>
        <v>60000</v>
      </c>
      <c r="R129" s="78"/>
      <c r="S129" s="78">
        <f aca="true" t="shared" si="108" ref="S129:S134">SUM(Q129:R129)</f>
        <v>60000</v>
      </c>
      <c r="T129" s="78">
        <v>-1000</v>
      </c>
      <c r="U129" s="78">
        <f aca="true" t="shared" si="109" ref="U129:U134">SUM(S129:T129)</f>
        <v>59000</v>
      </c>
      <c r="V129" s="78"/>
      <c r="W129" s="78">
        <f aca="true" t="shared" si="110" ref="W129:W134">SUM(U129:V129)</f>
        <v>59000</v>
      </c>
      <c r="X129" s="78"/>
      <c r="Y129" s="78">
        <f aca="true" t="shared" si="111" ref="Y129:Y134">SUM(W129:X129)</f>
        <v>59000</v>
      </c>
    </row>
    <row r="130" spans="1:25" s="26" customFormat="1" ht="21" customHeight="1">
      <c r="A130" s="83"/>
      <c r="B130" s="79"/>
      <c r="C130" s="65">
        <v>4210</v>
      </c>
      <c r="D130" s="41" t="s">
        <v>95</v>
      </c>
      <c r="E130" s="78">
        <f>22980+1000</f>
        <v>23980</v>
      </c>
      <c r="F130" s="78"/>
      <c r="G130" s="78">
        <f t="shared" si="102"/>
        <v>23980</v>
      </c>
      <c r="H130" s="78"/>
      <c r="I130" s="78">
        <f t="shared" si="103"/>
        <v>23980</v>
      </c>
      <c r="J130" s="78"/>
      <c r="K130" s="78">
        <f t="shared" si="104"/>
        <v>23980</v>
      </c>
      <c r="L130" s="78"/>
      <c r="M130" s="78">
        <f t="shared" si="105"/>
        <v>23980</v>
      </c>
      <c r="N130" s="78"/>
      <c r="O130" s="78">
        <f t="shared" si="106"/>
        <v>23980</v>
      </c>
      <c r="P130" s="78"/>
      <c r="Q130" s="78">
        <f t="shared" si="107"/>
        <v>23980</v>
      </c>
      <c r="R130" s="78">
        <v>-800</v>
      </c>
      <c r="S130" s="78">
        <f t="shared" si="108"/>
        <v>23180</v>
      </c>
      <c r="T130" s="78"/>
      <c r="U130" s="78">
        <f t="shared" si="109"/>
        <v>23180</v>
      </c>
      <c r="V130" s="78">
        <f>100-100</f>
        <v>0</v>
      </c>
      <c r="W130" s="78">
        <f t="shared" si="110"/>
        <v>23180</v>
      </c>
      <c r="X130" s="78">
        <f>100-100</f>
        <v>0</v>
      </c>
      <c r="Y130" s="78">
        <f t="shared" si="111"/>
        <v>23180</v>
      </c>
    </row>
    <row r="131" spans="1:25" s="26" customFormat="1" ht="21" customHeight="1">
      <c r="A131" s="83"/>
      <c r="B131" s="79"/>
      <c r="C131" s="65">
        <v>4300</v>
      </c>
      <c r="D131" s="41" t="s">
        <v>82</v>
      </c>
      <c r="E131" s="78">
        <v>5500</v>
      </c>
      <c r="F131" s="78"/>
      <c r="G131" s="78">
        <f t="shared" si="102"/>
        <v>5500</v>
      </c>
      <c r="H131" s="78"/>
      <c r="I131" s="78">
        <f t="shared" si="103"/>
        <v>5500</v>
      </c>
      <c r="J131" s="78"/>
      <c r="K131" s="78">
        <f t="shared" si="104"/>
        <v>5500</v>
      </c>
      <c r="L131" s="78"/>
      <c r="M131" s="78">
        <f t="shared" si="105"/>
        <v>5500</v>
      </c>
      <c r="N131" s="78"/>
      <c r="O131" s="78">
        <f t="shared" si="106"/>
        <v>5500</v>
      </c>
      <c r="P131" s="78"/>
      <c r="Q131" s="78">
        <f t="shared" si="107"/>
        <v>5500</v>
      </c>
      <c r="R131" s="78"/>
      <c r="S131" s="78">
        <f t="shared" si="108"/>
        <v>5500</v>
      </c>
      <c r="T131" s="78"/>
      <c r="U131" s="78">
        <f t="shared" si="109"/>
        <v>5500</v>
      </c>
      <c r="V131" s="78"/>
      <c r="W131" s="78">
        <f t="shared" si="110"/>
        <v>5500</v>
      </c>
      <c r="X131" s="78"/>
      <c r="Y131" s="78">
        <f t="shared" si="111"/>
        <v>5500</v>
      </c>
    </row>
    <row r="132" spans="1:25" s="26" customFormat="1" ht="21" customHeight="1">
      <c r="A132" s="83"/>
      <c r="B132" s="79"/>
      <c r="C132" s="65">
        <v>4410</v>
      </c>
      <c r="D132" s="41" t="s">
        <v>93</v>
      </c>
      <c r="E132" s="78">
        <v>5000</v>
      </c>
      <c r="F132" s="78"/>
      <c r="G132" s="78">
        <f t="shared" si="102"/>
        <v>5000</v>
      </c>
      <c r="H132" s="78"/>
      <c r="I132" s="78">
        <f t="shared" si="103"/>
        <v>5000</v>
      </c>
      <c r="J132" s="78"/>
      <c r="K132" s="78">
        <f t="shared" si="104"/>
        <v>5000</v>
      </c>
      <c r="L132" s="78"/>
      <c r="M132" s="78">
        <f t="shared" si="105"/>
        <v>5000</v>
      </c>
      <c r="N132" s="78"/>
      <c r="O132" s="78">
        <f t="shared" si="106"/>
        <v>5000</v>
      </c>
      <c r="P132" s="78"/>
      <c r="Q132" s="78">
        <f t="shared" si="107"/>
        <v>5000</v>
      </c>
      <c r="R132" s="78"/>
      <c r="S132" s="78">
        <f t="shared" si="108"/>
        <v>5000</v>
      </c>
      <c r="T132" s="78">
        <v>-900</v>
      </c>
      <c r="U132" s="78">
        <f t="shared" si="109"/>
        <v>4100</v>
      </c>
      <c r="V132" s="78"/>
      <c r="W132" s="78">
        <f t="shared" si="110"/>
        <v>4100</v>
      </c>
      <c r="X132" s="78"/>
      <c r="Y132" s="78">
        <f t="shared" si="111"/>
        <v>4100</v>
      </c>
    </row>
    <row r="133" spans="1:25" s="26" customFormat="1" ht="21" customHeight="1">
      <c r="A133" s="83"/>
      <c r="B133" s="79"/>
      <c r="C133" s="65">
        <v>4430</v>
      </c>
      <c r="D133" s="41" t="s">
        <v>97</v>
      </c>
      <c r="E133" s="78">
        <v>30000</v>
      </c>
      <c r="F133" s="78"/>
      <c r="G133" s="78">
        <f t="shared" si="102"/>
        <v>30000</v>
      </c>
      <c r="H133" s="78"/>
      <c r="I133" s="78">
        <f t="shared" si="103"/>
        <v>30000</v>
      </c>
      <c r="J133" s="78"/>
      <c r="K133" s="78">
        <f t="shared" si="104"/>
        <v>30000</v>
      </c>
      <c r="L133" s="78"/>
      <c r="M133" s="78">
        <f t="shared" si="105"/>
        <v>30000</v>
      </c>
      <c r="N133" s="78"/>
      <c r="O133" s="78">
        <f t="shared" si="106"/>
        <v>30000</v>
      </c>
      <c r="P133" s="78"/>
      <c r="Q133" s="78">
        <f t="shared" si="107"/>
        <v>30000</v>
      </c>
      <c r="R133" s="78"/>
      <c r="S133" s="78">
        <f t="shared" si="108"/>
        <v>30000</v>
      </c>
      <c r="T133" s="78">
        <v>1900</v>
      </c>
      <c r="U133" s="78">
        <f t="shared" si="109"/>
        <v>31900</v>
      </c>
      <c r="V133" s="78"/>
      <c r="W133" s="78">
        <f t="shared" si="110"/>
        <v>31900</v>
      </c>
      <c r="X133" s="78"/>
      <c r="Y133" s="78">
        <f t="shared" si="111"/>
        <v>31900</v>
      </c>
    </row>
    <row r="134" spans="1:25" s="26" customFormat="1" ht="24">
      <c r="A134" s="83"/>
      <c r="B134" s="79"/>
      <c r="C134" s="65">
        <v>4740</v>
      </c>
      <c r="D134" s="41" t="s">
        <v>236</v>
      </c>
      <c r="E134" s="78">
        <v>100</v>
      </c>
      <c r="F134" s="78"/>
      <c r="G134" s="78">
        <f t="shared" si="102"/>
        <v>100</v>
      </c>
      <c r="H134" s="78"/>
      <c r="I134" s="78">
        <f t="shared" si="103"/>
        <v>100</v>
      </c>
      <c r="J134" s="78"/>
      <c r="K134" s="78">
        <f t="shared" si="104"/>
        <v>100</v>
      </c>
      <c r="L134" s="78"/>
      <c r="M134" s="78">
        <f t="shared" si="105"/>
        <v>100</v>
      </c>
      <c r="N134" s="78"/>
      <c r="O134" s="78">
        <f t="shared" si="106"/>
        <v>100</v>
      </c>
      <c r="P134" s="78"/>
      <c r="Q134" s="78">
        <f t="shared" si="107"/>
        <v>100</v>
      </c>
      <c r="R134" s="78"/>
      <c r="S134" s="78">
        <f t="shared" si="108"/>
        <v>100</v>
      </c>
      <c r="T134" s="78"/>
      <c r="U134" s="78">
        <f t="shared" si="109"/>
        <v>100</v>
      </c>
      <c r="V134" s="78"/>
      <c r="W134" s="78">
        <f t="shared" si="110"/>
        <v>100</v>
      </c>
      <c r="X134" s="78"/>
      <c r="Y134" s="78">
        <f t="shared" si="111"/>
        <v>100</v>
      </c>
    </row>
    <row r="135" spans="1:25" s="8" customFormat="1" ht="36">
      <c r="A135" s="36">
        <v>751</v>
      </c>
      <c r="B135" s="37"/>
      <c r="C135" s="38"/>
      <c r="D135" s="39" t="s">
        <v>101</v>
      </c>
      <c r="E135" s="40">
        <f aca="true" t="shared" si="112" ref="E135:J135">SUM(E136)</f>
        <v>3910</v>
      </c>
      <c r="F135" s="40">
        <f t="shared" si="112"/>
        <v>0</v>
      </c>
      <c r="G135" s="40">
        <f t="shared" si="112"/>
        <v>3910</v>
      </c>
      <c r="H135" s="40">
        <f t="shared" si="112"/>
        <v>0</v>
      </c>
      <c r="I135" s="40">
        <f t="shared" si="112"/>
        <v>3910</v>
      </c>
      <c r="J135" s="40">
        <f t="shared" si="112"/>
        <v>0</v>
      </c>
      <c r="K135" s="40">
        <f aca="true" t="shared" si="113" ref="K135:Q135">SUM(K136,K144)</f>
        <v>3910</v>
      </c>
      <c r="L135" s="40">
        <f t="shared" si="113"/>
        <v>19932</v>
      </c>
      <c r="M135" s="40">
        <f t="shared" si="113"/>
        <v>23842</v>
      </c>
      <c r="N135" s="40">
        <f t="shared" si="113"/>
        <v>0</v>
      </c>
      <c r="O135" s="40">
        <f t="shared" si="113"/>
        <v>23842</v>
      </c>
      <c r="P135" s="40">
        <f t="shared" si="113"/>
        <v>1000</v>
      </c>
      <c r="Q135" s="40">
        <f t="shared" si="113"/>
        <v>24842</v>
      </c>
      <c r="R135" s="40">
        <f aca="true" t="shared" si="114" ref="R135:W135">SUM(R136,R144)</f>
        <v>0</v>
      </c>
      <c r="S135" s="40">
        <f t="shared" si="114"/>
        <v>24842</v>
      </c>
      <c r="T135" s="40">
        <f t="shared" si="114"/>
        <v>21240</v>
      </c>
      <c r="U135" s="40">
        <f t="shared" si="114"/>
        <v>46082</v>
      </c>
      <c r="V135" s="40">
        <f t="shared" si="114"/>
        <v>0</v>
      </c>
      <c r="W135" s="40">
        <f t="shared" si="114"/>
        <v>46082</v>
      </c>
      <c r="X135" s="40">
        <f>SUM(X136,X144)</f>
        <v>0</v>
      </c>
      <c r="Y135" s="40">
        <f>SUM(Y136,Y144)</f>
        <v>46082</v>
      </c>
    </row>
    <row r="136" spans="1:25" s="26" customFormat="1" ht="26.25" customHeight="1">
      <c r="A136" s="83"/>
      <c r="B136" s="79">
        <v>75101</v>
      </c>
      <c r="C136" s="83"/>
      <c r="D136" s="41" t="s">
        <v>21</v>
      </c>
      <c r="E136" s="78">
        <f aca="true" t="shared" si="115" ref="E136:K136">SUM(E140:E143)</f>
        <v>3910</v>
      </c>
      <c r="F136" s="78">
        <f t="shared" si="115"/>
        <v>0</v>
      </c>
      <c r="G136" s="78">
        <f t="shared" si="115"/>
        <v>3910</v>
      </c>
      <c r="H136" s="78">
        <f t="shared" si="115"/>
        <v>0</v>
      </c>
      <c r="I136" s="78">
        <f t="shared" si="115"/>
        <v>3910</v>
      </c>
      <c r="J136" s="78">
        <f t="shared" si="115"/>
        <v>0</v>
      </c>
      <c r="K136" s="78">
        <f t="shared" si="115"/>
        <v>3910</v>
      </c>
      <c r="L136" s="78">
        <f aca="true" t="shared" si="116" ref="L136:Q136">SUM(L140:L143)</f>
        <v>0</v>
      </c>
      <c r="M136" s="78">
        <f t="shared" si="116"/>
        <v>3910</v>
      </c>
      <c r="N136" s="78">
        <f t="shared" si="116"/>
        <v>0</v>
      </c>
      <c r="O136" s="78">
        <f t="shared" si="116"/>
        <v>3910</v>
      </c>
      <c r="P136" s="78">
        <f t="shared" si="116"/>
        <v>0</v>
      </c>
      <c r="Q136" s="78">
        <f t="shared" si="116"/>
        <v>3910</v>
      </c>
      <c r="R136" s="78">
        <f>SUM(R140:R143)</f>
        <v>0</v>
      </c>
      <c r="S136" s="78">
        <f>SUM(S140:S143)</f>
        <v>3910</v>
      </c>
      <c r="T136" s="78">
        <f>SUM(T140:T143)</f>
        <v>0</v>
      </c>
      <c r="U136" s="78">
        <f>SUM(U137:U143)</f>
        <v>3910</v>
      </c>
      <c r="V136" s="78">
        <f>SUM(V137:V143)</f>
        <v>0</v>
      </c>
      <c r="W136" s="78">
        <f>SUM(W137:W143)</f>
        <v>3910</v>
      </c>
      <c r="X136" s="78">
        <f>SUM(X137:X143)</f>
        <v>0</v>
      </c>
      <c r="Y136" s="78">
        <f>SUM(Y137:Y143)</f>
        <v>3910</v>
      </c>
    </row>
    <row r="137" spans="1:27" s="26" customFormat="1" ht="26.25" customHeight="1">
      <c r="A137" s="83"/>
      <c r="B137" s="79"/>
      <c r="C137" s="83">
        <v>4010</v>
      </c>
      <c r="D137" s="41" t="s">
        <v>87</v>
      </c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>
        <v>0</v>
      </c>
      <c r="V137" s="78">
        <v>2771</v>
      </c>
      <c r="W137" s="78">
        <f aca="true" t="shared" si="117" ref="W137:W143">SUM(U137:V137)</f>
        <v>2771</v>
      </c>
      <c r="X137" s="78"/>
      <c r="Y137" s="78">
        <f aca="true" t="shared" si="118" ref="Y137:Y143">SUM(W137:X137)</f>
        <v>2771</v>
      </c>
      <c r="Z137" s="117"/>
      <c r="AA137" s="117"/>
    </row>
    <row r="138" spans="1:27" s="26" customFormat="1" ht="26.25" customHeight="1">
      <c r="A138" s="83"/>
      <c r="B138" s="79"/>
      <c r="C138" s="83">
        <v>4110</v>
      </c>
      <c r="D138" s="41" t="s">
        <v>454</v>
      </c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>
        <v>0</v>
      </c>
      <c r="V138" s="78">
        <v>420</v>
      </c>
      <c r="W138" s="78">
        <f t="shared" si="117"/>
        <v>420</v>
      </c>
      <c r="X138" s="78"/>
      <c r="Y138" s="78">
        <f t="shared" si="118"/>
        <v>420</v>
      </c>
      <c r="Z138" s="117"/>
      <c r="AA138" s="117"/>
    </row>
    <row r="139" spans="1:27" s="26" customFormat="1" ht="26.25" customHeight="1">
      <c r="A139" s="83"/>
      <c r="B139" s="79"/>
      <c r="C139" s="83">
        <v>4120</v>
      </c>
      <c r="D139" s="41" t="s">
        <v>90</v>
      </c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>
        <v>0</v>
      </c>
      <c r="V139" s="78">
        <v>67</v>
      </c>
      <c r="W139" s="78">
        <f t="shared" si="117"/>
        <v>67</v>
      </c>
      <c r="X139" s="78"/>
      <c r="Y139" s="78">
        <f t="shared" si="118"/>
        <v>67</v>
      </c>
      <c r="Z139" s="117"/>
      <c r="AA139" s="117"/>
    </row>
    <row r="140" spans="1:25" s="26" customFormat="1" ht="21" customHeight="1">
      <c r="A140" s="83"/>
      <c r="B140" s="79"/>
      <c r="C140" s="65">
        <v>4210</v>
      </c>
      <c r="D140" s="41" t="s">
        <v>95</v>
      </c>
      <c r="E140" s="78">
        <v>1410</v>
      </c>
      <c r="F140" s="78"/>
      <c r="G140" s="78">
        <f t="shared" si="102"/>
        <v>1410</v>
      </c>
      <c r="H140" s="78"/>
      <c r="I140" s="78">
        <f>SUM(G140:H140)</f>
        <v>1410</v>
      </c>
      <c r="J140" s="78"/>
      <c r="K140" s="78">
        <f>SUM(I140:J140)</f>
        <v>1410</v>
      </c>
      <c r="L140" s="78"/>
      <c r="M140" s="78">
        <f>SUM(K140:L140)</f>
        <v>1410</v>
      </c>
      <c r="N140" s="78"/>
      <c r="O140" s="78">
        <f>SUM(M140:N140)</f>
        <v>1410</v>
      </c>
      <c r="P140" s="78"/>
      <c r="Q140" s="78">
        <f>SUM(O140:P140)</f>
        <v>1410</v>
      </c>
      <c r="R140" s="78"/>
      <c r="S140" s="78">
        <f>SUM(Q140:R140)</f>
        <v>1410</v>
      </c>
      <c r="T140" s="78"/>
      <c r="U140" s="78">
        <f>SUM(S140:T140)</f>
        <v>1410</v>
      </c>
      <c r="V140" s="78">
        <v>-1118</v>
      </c>
      <c r="W140" s="78">
        <f t="shared" si="117"/>
        <v>292</v>
      </c>
      <c r="X140" s="78"/>
      <c r="Y140" s="78">
        <f t="shared" si="118"/>
        <v>292</v>
      </c>
    </row>
    <row r="141" spans="1:25" s="26" customFormat="1" ht="27" customHeight="1">
      <c r="A141" s="83"/>
      <c r="B141" s="79"/>
      <c r="C141" s="65">
        <v>4700</v>
      </c>
      <c r="D141" s="41" t="s">
        <v>272</v>
      </c>
      <c r="E141" s="78">
        <v>500</v>
      </c>
      <c r="F141" s="78"/>
      <c r="G141" s="78">
        <f t="shared" si="102"/>
        <v>500</v>
      </c>
      <c r="H141" s="78"/>
      <c r="I141" s="78">
        <f>SUM(G141:H141)</f>
        <v>500</v>
      </c>
      <c r="J141" s="78"/>
      <c r="K141" s="78">
        <f>SUM(I141:J141)</f>
        <v>500</v>
      </c>
      <c r="L141" s="78"/>
      <c r="M141" s="78">
        <f>SUM(K141:L141)</f>
        <v>500</v>
      </c>
      <c r="N141" s="78"/>
      <c r="O141" s="78">
        <f>SUM(M141:N141)</f>
        <v>500</v>
      </c>
      <c r="P141" s="78"/>
      <c r="Q141" s="78">
        <f>SUM(O141:P141)</f>
        <v>500</v>
      </c>
      <c r="R141" s="78"/>
      <c r="S141" s="78">
        <f>SUM(Q141:R141)</f>
        <v>500</v>
      </c>
      <c r="T141" s="78"/>
      <c r="U141" s="78">
        <f>SUM(S141:T141)</f>
        <v>500</v>
      </c>
      <c r="V141" s="78">
        <v>-140</v>
      </c>
      <c r="W141" s="78">
        <f t="shared" si="117"/>
        <v>360</v>
      </c>
      <c r="X141" s="78"/>
      <c r="Y141" s="78">
        <f t="shared" si="118"/>
        <v>360</v>
      </c>
    </row>
    <row r="142" spans="1:25" s="26" customFormat="1" ht="24">
      <c r="A142" s="83"/>
      <c r="B142" s="79"/>
      <c r="C142" s="65">
        <v>4740</v>
      </c>
      <c r="D142" s="41" t="s">
        <v>236</v>
      </c>
      <c r="E142" s="78">
        <v>1000</v>
      </c>
      <c r="F142" s="78"/>
      <c r="G142" s="78">
        <f t="shared" si="102"/>
        <v>1000</v>
      </c>
      <c r="H142" s="78"/>
      <c r="I142" s="78">
        <f>SUM(G142:H142)</f>
        <v>1000</v>
      </c>
      <c r="J142" s="78"/>
      <c r="K142" s="78">
        <f>SUM(I142:J142)</f>
        <v>1000</v>
      </c>
      <c r="L142" s="78"/>
      <c r="M142" s="78">
        <f>SUM(K142:L142)</f>
        <v>1000</v>
      </c>
      <c r="N142" s="78"/>
      <c r="O142" s="78">
        <f>SUM(M142:N142)</f>
        <v>1000</v>
      </c>
      <c r="P142" s="78"/>
      <c r="Q142" s="78">
        <f>SUM(O142:P142)</f>
        <v>1000</v>
      </c>
      <c r="R142" s="78"/>
      <c r="S142" s="78">
        <f>SUM(Q142:R142)</f>
        <v>1000</v>
      </c>
      <c r="T142" s="78"/>
      <c r="U142" s="78">
        <f>SUM(S142:T142)</f>
        <v>1000</v>
      </c>
      <c r="V142" s="78">
        <v>-1000</v>
      </c>
      <c r="W142" s="78">
        <f t="shared" si="117"/>
        <v>0</v>
      </c>
      <c r="X142" s="78"/>
      <c r="Y142" s="78">
        <f t="shared" si="118"/>
        <v>0</v>
      </c>
    </row>
    <row r="143" spans="1:25" s="26" customFormat="1" ht="24">
      <c r="A143" s="83"/>
      <c r="B143" s="79"/>
      <c r="C143" s="65">
        <v>4750</v>
      </c>
      <c r="D143" s="41" t="s">
        <v>237</v>
      </c>
      <c r="E143" s="78">
        <v>1000</v>
      </c>
      <c r="F143" s="78"/>
      <c r="G143" s="78">
        <f t="shared" si="102"/>
        <v>1000</v>
      </c>
      <c r="H143" s="78"/>
      <c r="I143" s="78">
        <f>SUM(G143:H143)</f>
        <v>1000</v>
      </c>
      <c r="J143" s="78"/>
      <c r="K143" s="78">
        <f>SUM(I143:J143)</f>
        <v>1000</v>
      </c>
      <c r="L143" s="78"/>
      <c r="M143" s="78">
        <f>SUM(K143:L143)</f>
        <v>1000</v>
      </c>
      <c r="N143" s="78"/>
      <c r="O143" s="78">
        <f>SUM(M143:N143)</f>
        <v>1000</v>
      </c>
      <c r="P143" s="78"/>
      <c r="Q143" s="78">
        <f>SUM(O143:P143)</f>
        <v>1000</v>
      </c>
      <c r="R143" s="78"/>
      <c r="S143" s="78">
        <f>SUM(Q143:R143)</f>
        <v>1000</v>
      </c>
      <c r="T143" s="78"/>
      <c r="U143" s="78">
        <f>SUM(S143:T143)</f>
        <v>1000</v>
      </c>
      <c r="V143" s="78">
        <v>-1000</v>
      </c>
      <c r="W143" s="78">
        <f t="shared" si="117"/>
        <v>0</v>
      </c>
      <c r="X143" s="78"/>
      <c r="Y143" s="78">
        <f t="shared" si="118"/>
        <v>0</v>
      </c>
    </row>
    <row r="144" spans="1:25" s="26" customFormat="1" ht="21" customHeight="1">
      <c r="A144" s="83"/>
      <c r="B144" s="79">
        <v>75113</v>
      </c>
      <c r="C144" s="65"/>
      <c r="D144" s="41" t="s">
        <v>413</v>
      </c>
      <c r="E144" s="78"/>
      <c r="F144" s="78"/>
      <c r="G144" s="78"/>
      <c r="H144" s="78"/>
      <c r="I144" s="78"/>
      <c r="J144" s="78"/>
      <c r="K144" s="78">
        <f aca="true" t="shared" si="119" ref="K144:Q144">SUM(K146:K153)</f>
        <v>0</v>
      </c>
      <c r="L144" s="78">
        <f t="shared" si="119"/>
        <v>19932</v>
      </c>
      <c r="M144" s="78">
        <f t="shared" si="119"/>
        <v>19932</v>
      </c>
      <c r="N144" s="78">
        <f t="shared" si="119"/>
        <v>0</v>
      </c>
      <c r="O144" s="78">
        <f t="shared" si="119"/>
        <v>19932</v>
      </c>
      <c r="P144" s="78">
        <f t="shared" si="119"/>
        <v>1000</v>
      </c>
      <c r="Q144" s="78">
        <f t="shared" si="119"/>
        <v>20932</v>
      </c>
      <c r="R144" s="78">
        <f>SUM(R146:R153)</f>
        <v>0</v>
      </c>
      <c r="S144" s="78">
        <f aca="true" t="shared" si="120" ref="S144:Y144">SUM(S145:S153)</f>
        <v>20932</v>
      </c>
      <c r="T144" s="78">
        <f t="shared" si="120"/>
        <v>21240</v>
      </c>
      <c r="U144" s="78">
        <f t="shared" si="120"/>
        <v>42172</v>
      </c>
      <c r="V144" s="78">
        <f t="shared" si="120"/>
        <v>0</v>
      </c>
      <c r="W144" s="78">
        <f t="shared" si="120"/>
        <v>42172</v>
      </c>
      <c r="X144" s="78">
        <f t="shared" si="120"/>
        <v>0</v>
      </c>
      <c r="Y144" s="78">
        <f t="shared" si="120"/>
        <v>42172</v>
      </c>
    </row>
    <row r="145" spans="1:25" s="26" customFormat="1" ht="21" customHeight="1">
      <c r="A145" s="83"/>
      <c r="B145" s="79"/>
      <c r="C145" s="65">
        <v>3030</v>
      </c>
      <c r="D145" s="41" t="s">
        <v>92</v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>
        <v>0</v>
      </c>
      <c r="T145" s="78">
        <v>21240</v>
      </c>
      <c r="U145" s="78">
        <f aca="true" t="shared" si="121" ref="U145:U153">SUM(S145:T145)</f>
        <v>21240</v>
      </c>
      <c r="V145" s="78"/>
      <c r="W145" s="78">
        <f aca="true" t="shared" si="122" ref="W145:W153">SUM(U145:V145)</f>
        <v>21240</v>
      </c>
      <c r="X145" s="78"/>
      <c r="Y145" s="78">
        <f aca="true" t="shared" si="123" ref="Y145:Y153">SUM(W145:X145)</f>
        <v>21240</v>
      </c>
    </row>
    <row r="146" spans="1:27" s="26" customFormat="1" ht="21" customHeight="1">
      <c r="A146" s="83"/>
      <c r="B146" s="79"/>
      <c r="C146" s="65">
        <v>4110</v>
      </c>
      <c r="D146" s="41" t="s">
        <v>89</v>
      </c>
      <c r="E146" s="78"/>
      <c r="F146" s="78"/>
      <c r="G146" s="78"/>
      <c r="H146" s="78"/>
      <c r="I146" s="78"/>
      <c r="J146" s="78"/>
      <c r="K146" s="78">
        <v>0</v>
      </c>
      <c r="L146" s="78">
        <v>72</v>
      </c>
      <c r="M146" s="78">
        <f aca="true" t="shared" si="124" ref="M146:M153">SUM(K146:L146)</f>
        <v>72</v>
      </c>
      <c r="N146" s="78"/>
      <c r="O146" s="78">
        <f aca="true" t="shared" si="125" ref="O146:O153">SUM(M146:N146)</f>
        <v>72</v>
      </c>
      <c r="P146" s="78"/>
      <c r="Q146" s="78">
        <f aca="true" t="shared" si="126" ref="Q146:Q153">SUM(O146:P146)</f>
        <v>72</v>
      </c>
      <c r="R146" s="78"/>
      <c r="S146" s="78">
        <f aca="true" t="shared" si="127" ref="S146:S153">SUM(Q146:R146)</f>
        <v>72</v>
      </c>
      <c r="T146" s="78"/>
      <c r="U146" s="78">
        <f t="shared" si="121"/>
        <v>72</v>
      </c>
      <c r="V146" s="78">
        <v>507</v>
      </c>
      <c r="W146" s="78">
        <f t="shared" si="122"/>
        <v>579</v>
      </c>
      <c r="X146" s="78"/>
      <c r="Y146" s="78">
        <f t="shared" si="123"/>
        <v>579</v>
      </c>
      <c r="Z146" s="117"/>
      <c r="AA146" s="117"/>
    </row>
    <row r="147" spans="1:27" s="26" customFormat="1" ht="21" customHeight="1">
      <c r="A147" s="83"/>
      <c r="B147" s="79"/>
      <c r="C147" s="65">
        <v>4120</v>
      </c>
      <c r="D147" s="41" t="s">
        <v>227</v>
      </c>
      <c r="E147" s="78"/>
      <c r="F147" s="78"/>
      <c r="G147" s="78"/>
      <c r="H147" s="78"/>
      <c r="I147" s="78"/>
      <c r="J147" s="78"/>
      <c r="K147" s="78">
        <v>0</v>
      </c>
      <c r="L147" s="78">
        <v>428</v>
      </c>
      <c r="M147" s="78">
        <f t="shared" si="124"/>
        <v>428</v>
      </c>
      <c r="N147" s="78"/>
      <c r="O147" s="78">
        <f t="shared" si="125"/>
        <v>428</v>
      </c>
      <c r="P147" s="78"/>
      <c r="Q147" s="78">
        <f t="shared" si="126"/>
        <v>428</v>
      </c>
      <c r="R147" s="78"/>
      <c r="S147" s="78">
        <f t="shared" si="127"/>
        <v>428</v>
      </c>
      <c r="T147" s="78"/>
      <c r="U147" s="78">
        <f t="shared" si="121"/>
        <v>428</v>
      </c>
      <c r="V147" s="78">
        <v>-333</v>
      </c>
      <c r="W147" s="78">
        <f t="shared" si="122"/>
        <v>95</v>
      </c>
      <c r="X147" s="78"/>
      <c r="Y147" s="78">
        <f t="shared" si="123"/>
        <v>95</v>
      </c>
      <c r="Z147" s="117"/>
      <c r="AA147" s="117"/>
    </row>
    <row r="148" spans="1:27" s="26" customFormat="1" ht="21" customHeight="1">
      <c r="A148" s="83"/>
      <c r="B148" s="79"/>
      <c r="C148" s="65">
        <v>4170</v>
      </c>
      <c r="D148" s="41" t="s">
        <v>202</v>
      </c>
      <c r="E148" s="78"/>
      <c r="F148" s="78"/>
      <c r="G148" s="78"/>
      <c r="H148" s="78"/>
      <c r="I148" s="78"/>
      <c r="J148" s="78"/>
      <c r="K148" s="78">
        <v>0</v>
      </c>
      <c r="L148" s="78">
        <v>6580</v>
      </c>
      <c r="M148" s="78">
        <f t="shared" si="124"/>
        <v>6580</v>
      </c>
      <c r="N148" s="78"/>
      <c r="O148" s="78">
        <f t="shared" si="125"/>
        <v>6580</v>
      </c>
      <c r="P148" s="78"/>
      <c r="Q148" s="78">
        <f t="shared" si="126"/>
        <v>6580</v>
      </c>
      <c r="R148" s="78"/>
      <c r="S148" s="78">
        <f t="shared" si="127"/>
        <v>6580</v>
      </c>
      <c r="T148" s="78"/>
      <c r="U148" s="78">
        <f t="shared" si="121"/>
        <v>6580</v>
      </c>
      <c r="V148" s="78">
        <v>650</v>
      </c>
      <c r="W148" s="78">
        <f t="shared" si="122"/>
        <v>7230</v>
      </c>
      <c r="X148" s="78"/>
      <c r="Y148" s="78">
        <f t="shared" si="123"/>
        <v>7230</v>
      </c>
      <c r="Z148" s="117"/>
      <c r="AA148" s="117"/>
    </row>
    <row r="149" spans="1:25" s="26" customFormat="1" ht="24" customHeight="1">
      <c r="A149" s="83"/>
      <c r="B149" s="79"/>
      <c r="C149" s="65">
        <v>4210</v>
      </c>
      <c r="D149" s="41" t="s">
        <v>95</v>
      </c>
      <c r="E149" s="78"/>
      <c r="F149" s="78"/>
      <c r="G149" s="78"/>
      <c r="H149" s="78"/>
      <c r="I149" s="78"/>
      <c r="J149" s="78"/>
      <c r="K149" s="78">
        <v>0</v>
      </c>
      <c r="L149" s="78">
        <v>7844</v>
      </c>
      <c r="M149" s="78">
        <f t="shared" si="124"/>
        <v>7844</v>
      </c>
      <c r="N149" s="78"/>
      <c r="O149" s="78">
        <f t="shared" si="125"/>
        <v>7844</v>
      </c>
      <c r="P149" s="78">
        <v>1000</v>
      </c>
      <c r="Q149" s="78">
        <f t="shared" si="126"/>
        <v>8844</v>
      </c>
      <c r="R149" s="78">
        <v>-1000</v>
      </c>
      <c r="S149" s="78">
        <f t="shared" si="127"/>
        <v>7844</v>
      </c>
      <c r="T149" s="78"/>
      <c r="U149" s="78">
        <f t="shared" si="121"/>
        <v>7844</v>
      </c>
      <c r="V149" s="78">
        <v>-1156</v>
      </c>
      <c r="W149" s="78">
        <f t="shared" si="122"/>
        <v>6688</v>
      </c>
      <c r="X149" s="78"/>
      <c r="Y149" s="78">
        <f t="shared" si="123"/>
        <v>6688</v>
      </c>
    </row>
    <row r="150" spans="1:25" s="26" customFormat="1" ht="24" customHeight="1">
      <c r="A150" s="83"/>
      <c r="B150" s="79"/>
      <c r="C150" s="65">
        <v>4300</v>
      </c>
      <c r="D150" s="41" t="s">
        <v>82</v>
      </c>
      <c r="E150" s="78"/>
      <c r="F150" s="78"/>
      <c r="G150" s="78"/>
      <c r="H150" s="78"/>
      <c r="I150" s="78"/>
      <c r="J150" s="78"/>
      <c r="K150" s="78">
        <v>0</v>
      </c>
      <c r="L150" s="78">
        <v>2037</v>
      </c>
      <c r="M150" s="78">
        <f t="shared" si="124"/>
        <v>2037</v>
      </c>
      <c r="N150" s="78"/>
      <c r="O150" s="78">
        <f t="shared" si="125"/>
        <v>2037</v>
      </c>
      <c r="P150" s="78"/>
      <c r="Q150" s="78">
        <f t="shared" si="126"/>
        <v>2037</v>
      </c>
      <c r="R150" s="78"/>
      <c r="S150" s="78">
        <f t="shared" si="127"/>
        <v>2037</v>
      </c>
      <c r="T150" s="78"/>
      <c r="U150" s="78">
        <f t="shared" si="121"/>
        <v>2037</v>
      </c>
      <c r="V150" s="78"/>
      <c r="W150" s="78">
        <f t="shared" si="122"/>
        <v>2037</v>
      </c>
      <c r="X150" s="78"/>
      <c r="Y150" s="78">
        <f t="shared" si="123"/>
        <v>2037</v>
      </c>
    </row>
    <row r="151" spans="1:25" s="26" customFormat="1" ht="24" customHeight="1">
      <c r="A151" s="83"/>
      <c r="B151" s="79"/>
      <c r="C151" s="65">
        <v>4410</v>
      </c>
      <c r="D151" s="41" t="s">
        <v>93</v>
      </c>
      <c r="E151" s="78"/>
      <c r="F151" s="78"/>
      <c r="G151" s="78"/>
      <c r="H151" s="78"/>
      <c r="I151" s="78"/>
      <c r="J151" s="78"/>
      <c r="K151" s="78">
        <v>0</v>
      </c>
      <c r="L151" s="78">
        <v>2500</v>
      </c>
      <c r="M151" s="78">
        <f t="shared" si="124"/>
        <v>2500</v>
      </c>
      <c r="N151" s="78"/>
      <c r="O151" s="78">
        <f t="shared" si="125"/>
        <v>2500</v>
      </c>
      <c r="P151" s="78"/>
      <c r="Q151" s="78">
        <f t="shared" si="126"/>
        <v>2500</v>
      </c>
      <c r="R151" s="78"/>
      <c r="S151" s="78">
        <f t="shared" si="127"/>
        <v>2500</v>
      </c>
      <c r="T151" s="78"/>
      <c r="U151" s="78">
        <f t="shared" si="121"/>
        <v>2500</v>
      </c>
      <c r="V151" s="78">
        <v>-1395</v>
      </c>
      <c r="W151" s="78">
        <f t="shared" si="122"/>
        <v>1105</v>
      </c>
      <c r="X151" s="78"/>
      <c r="Y151" s="78">
        <f t="shared" si="123"/>
        <v>1105</v>
      </c>
    </row>
    <row r="152" spans="1:25" s="26" customFormat="1" ht="29.25" customHeight="1">
      <c r="A152" s="83"/>
      <c r="B152" s="79"/>
      <c r="C152" s="65">
        <v>4740</v>
      </c>
      <c r="D152" s="41" t="s">
        <v>236</v>
      </c>
      <c r="E152" s="78"/>
      <c r="F152" s="78"/>
      <c r="G152" s="78"/>
      <c r="H152" s="78"/>
      <c r="I152" s="78"/>
      <c r="J152" s="78"/>
      <c r="K152" s="78">
        <v>0</v>
      </c>
      <c r="L152" s="78">
        <v>238</v>
      </c>
      <c r="M152" s="78">
        <f t="shared" si="124"/>
        <v>238</v>
      </c>
      <c r="N152" s="78"/>
      <c r="O152" s="78">
        <f t="shared" si="125"/>
        <v>238</v>
      </c>
      <c r="P152" s="78"/>
      <c r="Q152" s="78">
        <f t="shared" si="126"/>
        <v>238</v>
      </c>
      <c r="R152" s="78"/>
      <c r="S152" s="78">
        <f t="shared" si="127"/>
        <v>238</v>
      </c>
      <c r="T152" s="78"/>
      <c r="U152" s="78">
        <f t="shared" si="121"/>
        <v>238</v>
      </c>
      <c r="V152" s="78">
        <v>42</v>
      </c>
      <c r="W152" s="78">
        <f t="shared" si="122"/>
        <v>280</v>
      </c>
      <c r="X152" s="78"/>
      <c r="Y152" s="78">
        <f t="shared" si="123"/>
        <v>280</v>
      </c>
    </row>
    <row r="153" spans="1:25" s="26" customFormat="1" ht="25.5" customHeight="1">
      <c r="A153" s="83"/>
      <c r="B153" s="79"/>
      <c r="C153" s="65">
        <v>4750</v>
      </c>
      <c r="D153" s="41" t="s">
        <v>237</v>
      </c>
      <c r="E153" s="78"/>
      <c r="F153" s="78"/>
      <c r="G153" s="78"/>
      <c r="H153" s="78"/>
      <c r="I153" s="78"/>
      <c r="J153" s="78"/>
      <c r="K153" s="78">
        <v>0</v>
      </c>
      <c r="L153" s="78">
        <v>233</v>
      </c>
      <c r="M153" s="78">
        <f t="shared" si="124"/>
        <v>233</v>
      </c>
      <c r="N153" s="78"/>
      <c r="O153" s="78">
        <f t="shared" si="125"/>
        <v>233</v>
      </c>
      <c r="P153" s="78"/>
      <c r="Q153" s="78">
        <f t="shared" si="126"/>
        <v>233</v>
      </c>
      <c r="R153" s="78">
        <v>1000</v>
      </c>
      <c r="S153" s="78">
        <f t="shared" si="127"/>
        <v>1233</v>
      </c>
      <c r="T153" s="78"/>
      <c r="U153" s="78">
        <f t="shared" si="121"/>
        <v>1233</v>
      </c>
      <c r="V153" s="78">
        <v>1685</v>
      </c>
      <c r="W153" s="78">
        <f t="shared" si="122"/>
        <v>2918</v>
      </c>
      <c r="X153" s="78"/>
      <c r="Y153" s="78">
        <f t="shared" si="123"/>
        <v>2918</v>
      </c>
    </row>
    <row r="154" spans="1:25" s="8" customFormat="1" ht="24.75" customHeight="1">
      <c r="A154" s="36" t="s">
        <v>22</v>
      </c>
      <c r="B154" s="37"/>
      <c r="C154" s="38"/>
      <c r="D154" s="39" t="s">
        <v>23</v>
      </c>
      <c r="E154" s="40">
        <f aca="true" t="shared" si="128" ref="E154:K154">SUM(E157,E172,E190,)</f>
        <v>448253</v>
      </c>
      <c r="F154" s="40">
        <f t="shared" si="128"/>
        <v>150000</v>
      </c>
      <c r="G154" s="40">
        <f t="shared" si="128"/>
        <v>598253</v>
      </c>
      <c r="H154" s="40">
        <f t="shared" si="128"/>
        <v>0</v>
      </c>
      <c r="I154" s="40">
        <f t="shared" si="128"/>
        <v>598253</v>
      </c>
      <c r="J154" s="40">
        <f t="shared" si="128"/>
        <v>0</v>
      </c>
      <c r="K154" s="40">
        <f t="shared" si="128"/>
        <v>598253</v>
      </c>
      <c r="L154" s="40">
        <f>SUM(L157,L172,L190,)</f>
        <v>0</v>
      </c>
      <c r="M154" s="40">
        <f>SUM(M157,M172,M190,)</f>
        <v>598253</v>
      </c>
      <c r="N154" s="40">
        <f>SUM(N157,N172,N190,)</f>
        <v>0</v>
      </c>
      <c r="O154" s="40">
        <f>SUM(O157,O172,O190,)</f>
        <v>598253</v>
      </c>
      <c r="P154" s="40">
        <f>SUM(P157,P172,P190,)</f>
        <v>0</v>
      </c>
      <c r="Q154" s="40">
        <f aca="true" t="shared" si="129" ref="Q154:W154">SUM(Q157,Q172,Q190,Q155)</f>
        <v>598253</v>
      </c>
      <c r="R154" s="40">
        <f t="shared" si="129"/>
        <v>150000</v>
      </c>
      <c r="S154" s="40">
        <f t="shared" si="129"/>
        <v>748253</v>
      </c>
      <c r="T154" s="40">
        <f t="shared" si="129"/>
        <v>0</v>
      </c>
      <c r="U154" s="40">
        <f t="shared" si="129"/>
        <v>748253</v>
      </c>
      <c r="V154" s="40">
        <f t="shared" si="129"/>
        <v>0</v>
      </c>
      <c r="W154" s="40">
        <f t="shared" si="129"/>
        <v>748253</v>
      </c>
      <c r="X154" s="40">
        <f>SUM(X157,X172,X190,X155)</f>
        <v>0</v>
      </c>
      <c r="Y154" s="40">
        <f>SUM(Y157,Y172,Y190,Y155)</f>
        <v>748253</v>
      </c>
    </row>
    <row r="155" spans="1:25" s="185" customFormat="1" ht="24.75" customHeight="1">
      <c r="A155" s="275"/>
      <c r="B155" s="279">
        <v>75411</v>
      </c>
      <c r="C155" s="280"/>
      <c r="D155" s="278" t="s">
        <v>432</v>
      </c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>
        <f aca="true" t="shared" si="130" ref="Q155:Y155">SUM(Q156)</f>
        <v>0</v>
      </c>
      <c r="R155" s="281">
        <f t="shared" si="130"/>
        <v>150000</v>
      </c>
      <c r="S155" s="281">
        <f t="shared" si="130"/>
        <v>150000</v>
      </c>
      <c r="T155" s="281">
        <f t="shared" si="130"/>
        <v>0</v>
      </c>
      <c r="U155" s="281">
        <f t="shared" si="130"/>
        <v>150000</v>
      </c>
      <c r="V155" s="281">
        <f t="shared" si="130"/>
        <v>0</v>
      </c>
      <c r="W155" s="281">
        <f t="shared" si="130"/>
        <v>150000</v>
      </c>
      <c r="X155" s="281">
        <f t="shared" si="130"/>
        <v>0</v>
      </c>
      <c r="Y155" s="281">
        <f t="shared" si="130"/>
        <v>150000</v>
      </c>
    </row>
    <row r="156" spans="1:25" s="185" customFormat="1" ht="48">
      <c r="A156" s="275"/>
      <c r="B156" s="279"/>
      <c r="C156" s="280">
        <v>6620</v>
      </c>
      <c r="D156" s="278" t="s">
        <v>433</v>
      </c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>
        <v>0</v>
      </c>
      <c r="R156" s="281">
        <v>150000</v>
      </c>
      <c r="S156" s="281">
        <f>SUM(Q156:R156)</f>
        <v>150000</v>
      </c>
      <c r="T156" s="281"/>
      <c r="U156" s="281">
        <f>SUM(S156:T156)</f>
        <v>150000</v>
      </c>
      <c r="V156" s="281"/>
      <c r="W156" s="281">
        <f>SUM(U156:V156)</f>
        <v>150000</v>
      </c>
      <c r="X156" s="281"/>
      <c r="Y156" s="281">
        <f>SUM(W156:X156)</f>
        <v>150000</v>
      </c>
    </row>
    <row r="157" spans="1:25" s="26" customFormat="1" ht="21.75" customHeight="1">
      <c r="A157" s="83"/>
      <c r="B157" s="79" t="s">
        <v>102</v>
      </c>
      <c r="C157" s="83"/>
      <c r="D157" s="41" t="s">
        <v>103</v>
      </c>
      <c r="E157" s="78">
        <f>SUM(E158:E170)</f>
        <v>184000</v>
      </c>
      <c r="F157" s="78">
        <f>SUM(F158:F170)</f>
        <v>0</v>
      </c>
      <c r="G157" s="78">
        <f>SUM(G158:G170)</f>
        <v>184000</v>
      </c>
      <c r="H157" s="78">
        <f>SUM(H158:H170)</f>
        <v>0</v>
      </c>
      <c r="I157" s="78">
        <f aca="true" t="shared" si="131" ref="I157:O157">SUM(I158:I171)</f>
        <v>184000</v>
      </c>
      <c r="J157" s="78">
        <f t="shared" si="131"/>
        <v>0</v>
      </c>
      <c r="K157" s="78">
        <f t="shared" si="131"/>
        <v>184000</v>
      </c>
      <c r="L157" s="78">
        <f t="shared" si="131"/>
        <v>0</v>
      </c>
      <c r="M157" s="78">
        <f t="shared" si="131"/>
        <v>184000</v>
      </c>
      <c r="N157" s="78">
        <f t="shared" si="131"/>
        <v>0</v>
      </c>
      <c r="O157" s="78">
        <f t="shared" si="131"/>
        <v>184000</v>
      </c>
      <c r="P157" s="78">
        <f aca="true" t="shared" si="132" ref="P157:U157">SUM(P158:P171)</f>
        <v>0</v>
      </c>
      <c r="Q157" s="78">
        <f t="shared" si="132"/>
        <v>184000</v>
      </c>
      <c r="R157" s="78">
        <f t="shared" si="132"/>
        <v>0</v>
      </c>
      <c r="S157" s="78">
        <f t="shared" si="132"/>
        <v>184000</v>
      </c>
      <c r="T157" s="78">
        <f t="shared" si="132"/>
        <v>0</v>
      </c>
      <c r="U157" s="78">
        <f t="shared" si="132"/>
        <v>184000</v>
      </c>
      <c r="V157" s="78">
        <f>SUM(V158:V171)</f>
        <v>0</v>
      </c>
      <c r="W157" s="78">
        <f>SUM(W158:W171)</f>
        <v>184000</v>
      </c>
      <c r="X157" s="78">
        <f>SUM(X158:X171)</f>
        <v>0</v>
      </c>
      <c r="Y157" s="78">
        <f>SUM(Y158:Y171)</f>
        <v>184000</v>
      </c>
    </row>
    <row r="158" spans="1:25" s="26" customFormat="1" ht="36">
      <c r="A158" s="83"/>
      <c r="B158" s="79"/>
      <c r="C158" s="83">
        <v>2820</v>
      </c>
      <c r="D158" s="41" t="s">
        <v>286</v>
      </c>
      <c r="E158" s="78">
        <v>10000</v>
      </c>
      <c r="F158" s="78"/>
      <c r="G158" s="78">
        <f t="shared" si="102"/>
        <v>10000</v>
      </c>
      <c r="H158" s="78"/>
      <c r="I158" s="78">
        <f aca="true" t="shared" si="133" ref="I158:I170">SUM(G158:H158)</f>
        <v>10000</v>
      </c>
      <c r="J158" s="78"/>
      <c r="K158" s="78">
        <f aca="true" t="shared" si="134" ref="K158:K171">SUM(I158:J158)</f>
        <v>10000</v>
      </c>
      <c r="L158" s="78"/>
      <c r="M158" s="78">
        <f aca="true" t="shared" si="135" ref="M158:M171">SUM(K158:L158)</f>
        <v>10000</v>
      </c>
      <c r="N158" s="78"/>
      <c r="O158" s="78">
        <f aca="true" t="shared" si="136" ref="O158:O171">SUM(M158:N158)</f>
        <v>10000</v>
      </c>
      <c r="P158" s="78"/>
      <c r="Q158" s="78">
        <f aca="true" t="shared" si="137" ref="Q158:Q171">SUM(O158:P158)</f>
        <v>10000</v>
      </c>
      <c r="R158" s="78"/>
      <c r="S158" s="78">
        <f aca="true" t="shared" si="138" ref="S158:S171">SUM(Q158:R158)</f>
        <v>10000</v>
      </c>
      <c r="T158" s="78"/>
      <c r="U158" s="78">
        <f aca="true" t="shared" si="139" ref="U158:U171">SUM(S158:T158)</f>
        <v>10000</v>
      </c>
      <c r="V158" s="78"/>
      <c r="W158" s="78">
        <f aca="true" t="shared" si="140" ref="W158:W171">SUM(U158:V158)</f>
        <v>10000</v>
      </c>
      <c r="X158" s="78"/>
      <c r="Y158" s="78">
        <f aca="true" t="shared" si="141" ref="Y158:Y171">SUM(W158:X158)</f>
        <v>10000</v>
      </c>
    </row>
    <row r="159" spans="1:25" s="26" customFormat="1" ht="24" customHeight="1">
      <c r="A159" s="83"/>
      <c r="B159" s="79"/>
      <c r="C159" s="83">
        <v>3020</v>
      </c>
      <c r="D159" s="41" t="s">
        <v>199</v>
      </c>
      <c r="E159" s="78">
        <v>19350</v>
      </c>
      <c r="F159" s="78"/>
      <c r="G159" s="78">
        <f t="shared" si="102"/>
        <v>19350</v>
      </c>
      <c r="H159" s="78"/>
      <c r="I159" s="78">
        <f t="shared" si="133"/>
        <v>19350</v>
      </c>
      <c r="J159" s="78"/>
      <c r="K159" s="78">
        <f t="shared" si="134"/>
        <v>19350</v>
      </c>
      <c r="L159" s="78"/>
      <c r="M159" s="78">
        <f t="shared" si="135"/>
        <v>19350</v>
      </c>
      <c r="N159" s="78"/>
      <c r="O159" s="78">
        <f t="shared" si="136"/>
        <v>19350</v>
      </c>
      <c r="P159" s="78"/>
      <c r="Q159" s="78">
        <f t="shared" si="137"/>
        <v>19350</v>
      </c>
      <c r="R159" s="78"/>
      <c r="S159" s="78">
        <f t="shared" si="138"/>
        <v>19350</v>
      </c>
      <c r="T159" s="78"/>
      <c r="U159" s="78">
        <f t="shared" si="139"/>
        <v>19350</v>
      </c>
      <c r="V159" s="78"/>
      <c r="W159" s="78">
        <f t="shared" si="140"/>
        <v>19350</v>
      </c>
      <c r="X159" s="78"/>
      <c r="Y159" s="78">
        <f t="shared" si="141"/>
        <v>19350</v>
      </c>
    </row>
    <row r="160" spans="1:25" s="26" customFormat="1" ht="21" customHeight="1">
      <c r="A160" s="83"/>
      <c r="B160" s="79"/>
      <c r="C160" s="83">
        <v>3030</v>
      </c>
      <c r="D160" s="41" t="s">
        <v>92</v>
      </c>
      <c r="E160" s="78">
        <v>15000</v>
      </c>
      <c r="F160" s="78"/>
      <c r="G160" s="78">
        <f t="shared" si="102"/>
        <v>15000</v>
      </c>
      <c r="H160" s="78"/>
      <c r="I160" s="78">
        <f t="shared" si="133"/>
        <v>15000</v>
      </c>
      <c r="J160" s="78"/>
      <c r="K160" s="78">
        <f t="shared" si="134"/>
        <v>15000</v>
      </c>
      <c r="L160" s="78"/>
      <c r="M160" s="78">
        <f t="shared" si="135"/>
        <v>15000</v>
      </c>
      <c r="N160" s="78"/>
      <c r="O160" s="78">
        <f t="shared" si="136"/>
        <v>15000</v>
      </c>
      <c r="P160" s="78"/>
      <c r="Q160" s="78">
        <f t="shared" si="137"/>
        <v>15000</v>
      </c>
      <c r="R160" s="78"/>
      <c r="S160" s="78">
        <f t="shared" si="138"/>
        <v>15000</v>
      </c>
      <c r="T160" s="78"/>
      <c r="U160" s="78">
        <f t="shared" si="139"/>
        <v>15000</v>
      </c>
      <c r="V160" s="78"/>
      <c r="W160" s="78">
        <f t="shared" si="140"/>
        <v>15000</v>
      </c>
      <c r="X160" s="78"/>
      <c r="Y160" s="78">
        <f t="shared" si="141"/>
        <v>15000</v>
      </c>
    </row>
    <row r="161" spans="1:27" s="26" customFormat="1" ht="21" customHeight="1">
      <c r="A161" s="83"/>
      <c r="B161" s="79"/>
      <c r="C161" s="83">
        <v>4110</v>
      </c>
      <c r="D161" s="41" t="s">
        <v>89</v>
      </c>
      <c r="E161" s="78">
        <v>4550</v>
      </c>
      <c r="F161" s="78"/>
      <c r="G161" s="78">
        <f t="shared" si="102"/>
        <v>4550</v>
      </c>
      <c r="H161" s="78"/>
      <c r="I161" s="78">
        <f t="shared" si="133"/>
        <v>4550</v>
      </c>
      <c r="J161" s="78"/>
      <c r="K161" s="78">
        <f t="shared" si="134"/>
        <v>4550</v>
      </c>
      <c r="L161" s="78"/>
      <c r="M161" s="78">
        <f t="shared" si="135"/>
        <v>4550</v>
      </c>
      <c r="N161" s="78"/>
      <c r="O161" s="78">
        <f t="shared" si="136"/>
        <v>4550</v>
      </c>
      <c r="P161" s="78"/>
      <c r="Q161" s="78">
        <f t="shared" si="137"/>
        <v>4550</v>
      </c>
      <c r="R161" s="78"/>
      <c r="S161" s="78">
        <f t="shared" si="138"/>
        <v>4550</v>
      </c>
      <c r="T161" s="78"/>
      <c r="U161" s="78">
        <f t="shared" si="139"/>
        <v>4550</v>
      </c>
      <c r="V161" s="78"/>
      <c r="W161" s="78">
        <f t="shared" si="140"/>
        <v>4550</v>
      </c>
      <c r="X161" s="78"/>
      <c r="Y161" s="78">
        <f t="shared" si="141"/>
        <v>4550</v>
      </c>
      <c r="Z161" s="117"/>
      <c r="AA161" s="117"/>
    </row>
    <row r="162" spans="1:27" s="26" customFormat="1" ht="21" customHeight="1">
      <c r="A162" s="83"/>
      <c r="B162" s="79"/>
      <c r="C162" s="83">
        <v>4120</v>
      </c>
      <c r="D162" s="41" t="s">
        <v>227</v>
      </c>
      <c r="E162" s="78">
        <v>700</v>
      </c>
      <c r="F162" s="78"/>
      <c r="G162" s="78">
        <f t="shared" si="102"/>
        <v>700</v>
      </c>
      <c r="H162" s="78"/>
      <c r="I162" s="78">
        <f t="shared" si="133"/>
        <v>700</v>
      </c>
      <c r="J162" s="78"/>
      <c r="K162" s="78">
        <f t="shared" si="134"/>
        <v>700</v>
      </c>
      <c r="L162" s="78"/>
      <c r="M162" s="78">
        <f t="shared" si="135"/>
        <v>700</v>
      </c>
      <c r="N162" s="78"/>
      <c r="O162" s="78">
        <f t="shared" si="136"/>
        <v>700</v>
      </c>
      <c r="P162" s="78"/>
      <c r="Q162" s="78">
        <f t="shared" si="137"/>
        <v>700</v>
      </c>
      <c r="R162" s="78"/>
      <c r="S162" s="78">
        <f t="shared" si="138"/>
        <v>700</v>
      </c>
      <c r="T162" s="78"/>
      <c r="U162" s="78">
        <f t="shared" si="139"/>
        <v>700</v>
      </c>
      <c r="V162" s="78"/>
      <c r="W162" s="78">
        <f t="shared" si="140"/>
        <v>700</v>
      </c>
      <c r="X162" s="78"/>
      <c r="Y162" s="78">
        <f t="shared" si="141"/>
        <v>700</v>
      </c>
      <c r="Z162" s="117"/>
      <c r="AA162" s="117"/>
    </row>
    <row r="163" spans="1:27" s="26" customFormat="1" ht="21" customHeight="1">
      <c r="A163" s="83"/>
      <c r="B163" s="79"/>
      <c r="C163" s="65">
        <v>4170</v>
      </c>
      <c r="D163" s="41" t="s">
        <v>202</v>
      </c>
      <c r="E163" s="78">
        <v>28500</v>
      </c>
      <c r="F163" s="78"/>
      <c r="G163" s="78">
        <f t="shared" si="102"/>
        <v>28500</v>
      </c>
      <c r="H163" s="78"/>
      <c r="I163" s="78">
        <f t="shared" si="133"/>
        <v>28500</v>
      </c>
      <c r="J163" s="78"/>
      <c r="K163" s="78">
        <f t="shared" si="134"/>
        <v>28500</v>
      </c>
      <c r="L163" s="78"/>
      <c r="M163" s="78">
        <f t="shared" si="135"/>
        <v>28500</v>
      </c>
      <c r="N163" s="78"/>
      <c r="O163" s="78">
        <f t="shared" si="136"/>
        <v>28500</v>
      </c>
      <c r="P163" s="78"/>
      <c r="Q163" s="78">
        <f t="shared" si="137"/>
        <v>28500</v>
      </c>
      <c r="R163" s="78"/>
      <c r="S163" s="78">
        <f t="shared" si="138"/>
        <v>28500</v>
      </c>
      <c r="T163" s="78"/>
      <c r="U163" s="78">
        <f t="shared" si="139"/>
        <v>28500</v>
      </c>
      <c r="V163" s="78"/>
      <c r="W163" s="78">
        <f t="shared" si="140"/>
        <v>28500</v>
      </c>
      <c r="X163" s="78"/>
      <c r="Y163" s="78">
        <f t="shared" si="141"/>
        <v>28500</v>
      </c>
      <c r="Z163" s="117"/>
      <c r="AA163" s="117"/>
    </row>
    <row r="164" spans="1:25" s="26" customFormat="1" ht="21" customHeight="1">
      <c r="A164" s="83"/>
      <c r="B164" s="79"/>
      <c r="C164" s="65">
        <v>4210</v>
      </c>
      <c r="D164" s="41" t="s">
        <v>95</v>
      </c>
      <c r="E164" s="78">
        <f>9000+43500</f>
        <v>52500</v>
      </c>
      <c r="F164" s="78"/>
      <c r="G164" s="78">
        <f t="shared" si="102"/>
        <v>52500</v>
      </c>
      <c r="H164" s="78"/>
      <c r="I164" s="78">
        <f t="shared" si="133"/>
        <v>52500</v>
      </c>
      <c r="J164" s="78">
        <v>-170</v>
      </c>
      <c r="K164" s="78">
        <f t="shared" si="134"/>
        <v>52330</v>
      </c>
      <c r="L164" s="78"/>
      <c r="M164" s="78">
        <f t="shared" si="135"/>
        <v>52330</v>
      </c>
      <c r="N164" s="78"/>
      <c r="O164" s="78">
        <f t="shared" si="136"/>
        <v>52330</v>
      </c>
      <c r="P164" s="78"/>
      <c r="Q164" s="78">
        <f t="shared" si="137"/>
        <v>52330</v>
      </c>
      <c r="R164" s="78"/>
      <c r="S164" s="78">
        <f t="shared" si="138"/>
        <v>52330</v>
      </c>
      <c r="T164" s="78"/>
      <c r="U164" s="78">
        <f t="shared" si="139"/>
        <v>52330</v>
      </c>
      <c r="V164" s="78"/>
      <c r="W164" s="78">
        <f t="shared" si="140"/>
        <v>52330</v>
      </c>
      <c r="X164" s="78"/>
      <c r="Y164" s="78">
        <f t="shared" si="141"/>
        <v>52330</v>
      </c>
    </row>
    <row r="165" spans="1:25" s="26" customFormat="1" ht="21" customHeight="1">
      <c r="A165" s="83"/>
      <c r="B165" s="79"/>
      <c r="C165" s="65">
        <v>4260</v>
      </c>
      <c r="D165" s="41" t="s">
        <v>98</v>
      </c>
      <c r="E165" s="78">
        <v>15000</v>
      </c>
      <c r="F165" s="78"/>
      <c r="G165" s="78">
        <f t="shared" si="102"/>
        <v>15000</v>
      </c>
      <c r="H165" s="78"/>
      <c r="I165" s="78">
        <f t="shared" si="133"/>
        <v>15000</v>
      </c>
      <c r="J165" s="78"/>
      <c r="K165" s="78">
        <f t="shared" si="134"/>
        <v>15000</v>
      </c>
      <c r="L165" s="78"/>
      <c r="M165" s="78">
        <f t="shared" si="135"/>
        <v>15000</v>
      </c>
      <c r="N165" s="78"/>
      <c r="O165" s="78">
        <f t="shared" si="136"/>
        <v>15000</v>
      </c>
      <c r="P165" s="78"/>
      <c r="Q165" s="78">
        <f t="shared" si="137"/>
        <v>15000</v>
      </c>
      <c r="R165" s="78"/>
      <c r="S165" s="78">
        <f t="shared" si="138"/>
        <v>15000</v>
      </c>
      <c r="T165" s="78"/>
      <c r="U165" s="78">
        <f t="shared" si="139"/>
        <v>15000</v>
      </c>
      <c r="V165" s="78"/>
      <c r="W165" s="78">
        <f t="shared" si="140"/>
        <v>15000</v>
      </c>
      <c r="X165" s="78"/>
      <c r="Y165" s="78">
        <f t="shared" si="141"/>
        <v>15000</v>
      </c>
    </row>
    <row r="166" spans="1:25" s="26" customFormat="1" ht="21" customHeight="1">
      <c r="A166" s="83"/>
      <c r="B166" s="79"/>
      <c r="C166" s="65">
        <v>4270</v>
      </c>
      <c r="D166" s="41" t="s">
        <v>81</v>
      </c>
      <c r="E166" s="78">
        <v>13000</v>
      </c>
      <c r="F166" s="78"/>
      <c r="G166" s="78">
        <f t="shared" si="102"/>
        <v>13000</v>
      </c>
      <c r="H166" s="78"/>
      <c r="I166" s="78">
        <f t="shared" si="133"/>
        <v>13000</v>
      </c>
      <c r="J166" s="78"/>
      <c r="K166" s="78">
        <f t="shared" si="134"/>
        <v>13000</v>
      </c>
      <c r="L166" s="78"/>
      <c r="M166" s="78">
        <f t="shared" si="135"/>
        <v>13000</v>
      </c>
      <c r="N166" s="78"/>
      <c r="O166" s="78">
        <f t="shared" si="136"/>
        <v>13000</v>
      </c>
      <c r="P166" s="78"/>
      <c r="Q166" s="78">
        <f t="shared" si="137"/>
        <v>13000</v>
      </c>
      <c r="R166" s="78"/>
      <c r="S166" s="78">
        <f t="shared" si="138"/>
        <v>13000</v>
      </c>
      <c r="T166" s="78"/>
      <c r="U166" s="78">
        <f t="shared" si="139"/>
        <v>13000</v>
      </c>
      <c r="V166" s="78"/>
      <c r="W166" s="78">
        <f t="shared" si="140"/>
        <v>13000</v>
      </c>
      <c r="X166" s="78"/>
      <c r="Y166" s="78">
        <f t="shared" si="141"/>
        <v>13000</v>
      </c>
    </row>
    <row r="167" spans="1:25" s="26" customFormat="1" ht="21" customHeight="1">
      <c r="A167" s="83"/>
      <c r="B167" s="79"/>
      <c r="C167" s="65">
        <v>4280</v>
      </c>
      <c r="D167" s="41" t="s">
        <v>226</v>
      </c>
      <c r="E167" s="78">
        <v>6000</v>
      </c>
      <c r="F167" s="78"/>
      <c r="G167" s="78">
        <f t="shared" si="102"/>
        <v>6000</v>
      </c>
      <c r="H167" s="78"/>
      <c r="I167" s="78">
        <f t="shared" si="133"/>
        <v>6000</v>
      </c>
      <c r="J167" s="78"/>
      <c r="K167" s="78">
        <f t="shared" si="134"/>
        <v>6000</v>
      </c>
      <c r="L167" s="78"/>
      <c r="M167" s="78">
        <f t="shared" si="135"/>
        <v>6000</v>
      </c>
      <c r="N167" s="78"/>
      <c r="O167" s="78">
        <f t="shared" si="136"/>
        <v>6000</v>
      </c>
      <c r="P167" s="78"/>
      <c r="Q167" s="78">
        <f t="shared" si="137"/>
        <v>6000</v>
      </c>
      <c r="R167" s="78"/>
      <c r="S167" s="78">
        <f t="shared" si="138"/>
        <v>6000</v>
      </c>
      <c r="T167" s="78"/>
      <c r="U167" s="78">
        <f t="shared" si="139"/>
        <v>6000</v>
      </c>
      <c r="V167" s="78"/>
      <c r="W167" s="78">
        <f t="shared" si="140"/>
        <v>6000</v>
      </c>
      <c r="X167" s="78"/>
      <c r="Y167" s="78">
        <f t="shared" si="141"/>
        <v>6000</v>
      </c>
    </row>
    <row r="168" spans="1:25" s="26" customFormat="1" ht="21" customHeight="1">
      <c r="A168" s="83"/>
      <c r="B168" s="79"/>
      <c r="C168" s="65">
        <v>4300</v>
      </c>
      <c r="D168" s="41" t="s">
        <v>82</v>
      </c>
      <c r="E168" s="78">
        <v>5400</v>
      </c>
      <c r="F168" s="78"/>
      <c r="G168" s="78">
        <f t="shared" si="102"/>
        <v>5400</v>
      </c>
      <c r="H168" s="78"/>
      <c r="I168" s="78">
        <f t="shared" si="133"/>
        <v>5400</v>
      </c>
      <c r="J168" s="78"/>
      <c r="K168" s="78">
        <f t="shared" si="134"/>
        <v>5400</v>
      </c>
      <c r="L168" s="78"/>
      <c r="M168" s="78">
        <f t="shared" si="135"/>
        <v>5400</v>
      </c>
      <c r="N168" s="78"/>
      <c r="O168" s="78">
        <f t="shared" si="136"/>
        <v>5400</v>
      </c>
      <c r="P168" s="78"/>
      <c r="Q168" s="78">
        <f t="shared" si="137"/>
        <v>5400</v>
      </c>
      <c r="R168" s="78"/>
      <c r="S168" s="78">
        <f t="shared" si="138"/>
        <v>5400</v>
      </c>
      <c r="T168" s="78"/>
      <c r="U168" s="78">
        <f t="shared" si="139"/>
        <v>5400</v>
      </c>
      <c r="V168" s="78"/>
      <c r="W168" s="78">
        <f t="shared" si="140"/>
        <v>5400</v>
      </c>
      <c r="X168" s="78"/>
      <c r="Y168" s="78">
        <f t="shared" si="141"/>
        <v>5400</v>
      </c>
    </row>
    <row r="169" spans="1:25" s="26" customFormat="1" ht="21" customHeight="1">
      <c r="A169" s="83"/>
      <c r="B169" s="79"/>
      <c r="C169" s="65">
        <v>4410</v>
      </c>
      <c r="D169" s="41" t="s">
        <v>93</v>
      </c>
      <c r="E169" s="78">
        <v>4000</v>
      </c>
      <c r="F169" s="78"/>
      <c r="G169" s="78">
        <f t="shared" si="102"/>
        <v>4000</v>
      </c>
      <c r="H169" s="78"/>
      <c r="I169" s="78">
        <f t="shared" si="133"/>
        <v>4000</v>
      </c>
      <c r="J169" s="78"/>
      <c r="K169" s="78">
        <f t="shared" si="134"/>
        <v>4000</v>
      </c>
      <c r="L169" s="78"/>
      <c r="M169" s="78">
        <f t="shared" si="135"/>
        <v>4000</v>
      </c>
      <c r="N169" s="78"/>
      <c r="O169" s="78">
        <f t="shared" si="136"/>
        <v>4000</v>
      </c>
      <c r="P169" s="78"/>
      <c r="Q169" s="78">
        <f t="shared" si="137"/>
        <v>4000</v>
      </c>
      <c r="R169" s="78"/>
      <c r="S169" s="78">
        <f t="shared" si="138"/>
        <v>4000</v>
      </c>
      <c r="T169" s="78"/>
      <c r="U169" s="78">
        <f t="shared" si="139"/>
        <v>4000</v>
      </c>
      <c r="V169" s="78"/>
      <c r="W169" s="78">
        <f t="shared" si="140"/>
        <v>4000</v>
      </c>
      <c r="X169" s="78"/>
      <c r="Y169" s="78">
        <f t="shared" si="141"/>
        <v>4000</v>
      </c>
    </row>
    <row r="170" spans="1:25" s="26" customFormat="1" ht="21" customHeight="1">
      <c r="A170" s="83"/>
      <c r="B170" s="79"/>
      <c r="C170" s="65">
        <v>4430</v>
      </c>
      <c r="D170" s="41" t="s">
        <v>97</v>
      </c>
      <c r="E170" s="78">
        <v>10000</v>
      </c>
      <c r="F170" s="78"/>
      <c r="G170" s="78">
        <f t="shared" si="102"/>
        <v>10000</v>
      </c>
      <c r="H170" s="78"/>
      <c r="I170" s="78">
        <f t="shared" si="133"/>
        <v>10000</v>
      </c>
      <c r="J170" s="78"/>
      <c r="K170" s="78">
        <f t="shared" si="134"/>
        <v>10000</v>
      </c>
      <c r="L170" s="78"/>
      <c r="M170" s="78">
        <f t="shared" si="135"/>
        <v>10000</v>
      </c>
      <c r="N170" s="78"/>
      <c r="O170" s="78">
        <f t="shared" si="136"/>
        <v>10000</v>
      </c>
      <c r="P170" s="78"/>
      <c r="Q170" s="78">
        <f t="shared" si="137"/>
        <v>10000</v>
      </c>
      <c r="R170" s="78"/>
      <c r="S170" s="78">
        <f t="shared" si="138"/>
        <v>10000</v>
      </c>
      <c r="T170" s="78"/>
      <c r="U170" s="78">
        <f t="shared" si="139"/>
        <v>10000</v>
      </c>
      <c r="V170" s="78"/>
      <c r="W170" s="78">
        <f t="shared" si="140"/>
        <v>10000</v>
      </c>
      <c r="X170" s="78"/>
      <c r="Y170" s="78">
        <f t="shared" si="141"/>
        <v>10000</v>
      </c>
    </row>
    <row r="171" spans="1:25" s="26" customFormat="1" ht="24" customHeight="1">
      <c r="A171" s="83"/>
      <c r="B171" s="79"/>
      <c r="C171" s="65">
        <v>6050</v>
      </c>
      <c r="D171" s="14" t="s">
        <v>76</v>
      </c>
      <c r="E171" s="78"/>
      <c r="F171" s="78"/>
      <c r="G171" s="78"/>
      <c r="H171" s="78"/>
      <c r="I171" s="78">
        <v>0</v>
      </c>
      <c r="J171" s="78">
        <v>170</v>
      </c>
      <c r="K171" s="78">
        <f t="shared" si="134"/>
        <v>170</v>
      </c>
      <c r="L171" s="78"/>
      <c r="M171" s="78">
        <f t="shared" si="135"/>
        <v>170</v>
      </c>
      <c r="N171" s="78"/>
      <c r="O171" s="78">
        <f t="shared" si="136"/>
        <v>170</v>
      </c>
      <c r="P171" s="78"/>
      <c r="Q171" s="78">
        <f t="shared" si="137"/>
        <v>170</v>
      </c>
      <c r="R171" s="78"/>
      <c r="S171" s="78">
        <f t="shared" si="138"/>
        <v>170</v>
      </c>
      <c r="T171" s="78"/>
      <c r="U171" s="78">
        <f t="shared" si="139"/>
        <v>170</v>
      </c>
      <c r="V171" s="78"/>
      <c r="W171" s="78">
        <f t="shared" si="140"/>
        <v>170</v>
      </c>
      <c r="X171" s="78"/>
      <c r="Y171" s="78">
        <f t="shared" si="141"/>
        <v>170</v>
      </c>
    </row>
    <row r="172" spans="1:25" s="26" customFormat="1" ht="21" customHeight="1">
      <c r="A172" s="83"/>
      <c r="B172" s="79">
        <v>75416</v>
      </c>
      <c r="C172" s="83"/>
      <c r="D172" s="41" t="s">
        <v>25</v>
      </c>
      <c r="E172" s="78">
        <f aca="true" t="shared" si="142" ref="E172:K172">SUM(E173:E189)</f>
        <v>259253</v>
      </c>
      <c r="F172" s="78">
        <f t="shared" si="142"/>
        <v>0</v>
      </c>
      <c r="G172" s="78">
        <f t="shared" si="142"/>
        <v>259253</v>
      </c>
      <c r="H172" s="78">
        <f t="shared" si="142"/>
        <v>0</v>
      </c>
      <c r="I172" s="78">
        <f t="shared" si="142"/>
        <v>259253</v>
      </c>
      <c r="J172" s="78">
        <f t="shared" si="142"/>
        <v>0</v>
      </c>
      <c r="K172" s="78">
        <f t="shared" si="142"/>
        <v>259253</v>
      </c>
      <c r="L172" s="78">
        <f aca="true" t="shared" si="143" ref="L172:Q172">SUM(L173:L189)</f>
        <v>0</v>
      </c>
      <c r="M172" s="78">
        <f t="shared" si="143"/>
        <v>259253</v>
      </c>
      <c r="N172" s="78">
        <f t="shared" si="143"/>
        <v>0</v>
      </c>
      <c r="O172" s="78">
        <f t="shared" si="143"/>
        <v>259253</v>
      </c>
      <c r="P172" s="78">
        <f t="shared" si="143"/>
        <v>0</v>
      </c>
      <c r="Q172" s="78">
        <f t="shared" si="143"/>
        <v>259253</v>
      </c>
      <c r="R172" s="78">
        <f aca="true" t="shared" si="144" ref="R172:W172">SUM(R173:R189)</f>
        <v>0</v>
      </c>
      <c r="S172" s="78">
        <f t="shared" si="144"/>
        <v>259253</v>
      </c>
      <c r="T172" s="78">
        <f t="shared" si="144"/>
        <v>0</v>
      </c>
      <c r="U172" s="78">
        <f t="shared" si="144"/>
        <v>259253</v>
      </c>
      <c r="V172" s="78">
        <f t="shared" si="144"/>
        <v>0</v>
      </c>
      <c r="W172" s="78">
        <f t="shared" si="144"/>
        <v>259253</v>
      </c>
      <c r="X172" s="78">
        <f>SUM(X173:X189)</f>
        <v>0</v>
      </c>
      <c r="Y172" s="78">
        <f>SUM(Y173:Y189)</f>
        <v>259253</v>
      </c>
    </row>
    <row r="173" spans="1:25" s="26" customFormat="1" ht="27.75" customHeight="1">
      <c r="A173" s="83"/>
      <c r="B173" s="79"/>
      <c r="C173" s="65">
        <v>3020</v>
      </c>
      <c r="D173" s="41" t="s">
        <v>199</v>
      </c>
      <c r="E173" s="78">
        <v>6045</v>
      </c>
      <c r="F173" s="78"/>
      <c r="G173" s="78">
        <f t="shared" si="102"/>
        <v>6045</v>
      </c>
      <c r="H173" s="78"/>
      <c r="I173" s="78">
        <f aca="true" t="shared" si="145" ref="I173:I189">SUM(G173:H173)</f>
        <v>6045</v>
      </c>
      <c r="J173" s="78"/>
      <c r="K173" s="78">
        <f aca="true" t="shared" si="146" ref="K173:K189">SUM(I173:J173)</f>
        <v>6045</v>
      </c>
      <c r="L173" s="78"/>
      <c r="M173" s="78">
        <f aca="true" t="shared" si="147" ref="M173:M189">SUM(K173:L173)</f>
        <v>6045</v>
      </c>
      <c r="N173" s="78"/>
      <c r="O173" s="78">
        <f aca="true" t="shared" si="148" ref="O173:O189">SUM(M173:N173)</f>
        <v>6045</v>
      </c>
      <c r="P173" s="78"/>
      <c r="Q173" s="78">
        <f aca="true" t="shared" si="149" ref="Q173:Q189">SUM(O173:P173)</f>
        <v>6045</v>
      </c>
      <c r="R173" s="78"/>
      <c r="S173" s="78">
        <f aca="true" t="shared" si="150" ref="S173:S189">SUM(Q173:R173)</f>
        <v>6045</v>
      </c>
      <c r="T173" s="78"/>
      <c r="U173" s="78">
        <f aca="true" t="shared" si="151" ref="U173:U189">SUM(S173:T173)</f>
        <v>6045</v>
      </c>
      <c r="V173" s="78"/>
      <c r="W173" s="78">
        <f aca="true" t="shared" si="152" ref="W173:W189">SUM(U173:V173)</f>
        <v>6045</v>
      </c>
      <c r="X173" s="78"/>
      <c r="Y173" s="78">
        <f aca="true" t="shared" si="153" ref="Y173:Y189">SUM(W173:X173)</f>
        <v>6045</v>
      </c>
    </row>
    <row r="174" spans="1:27" s="26" customFormat="1" ht="21" customHeight="1">
      <c r="A174" s="83"/>
      <c r="B174" s="79"/>
      <c r="C174" s="65">
        <v>4010</v>
      </c>
      <c r="D174" s="41" t="s">
        <v>87</v>
      </c>
      <c r="E174" s="78">
        <v>176055</v>
      </c>
      <c r="F174" s="78"/>
      <c r="G174" s="78">
        <f t="shared" si="102"/>
        <v>176055</v>
      </c>
      <c r="H174" s="78"/>
      <c r="I174" s="78">
        <f t="shared" si="145"/>
        <v>176055</v>
      </c>
      <c r="J174" s="78"/>
      <c r="K174" s="78">
        <f t="shared" si="146"/>
        <v>176055</v>
      </c>
      <c r="L174" s="78"/>
      <c r="M174" s="78">
        <f t="shared" si="147"/>
        <v>176055</v>
      </c>
      <c r="N174" s="78"/>
      <c r="O174" s="78">
        <f t="shared" si="148"/>
        <v>176055</v>
      </c>
      <c r="P174" s="78"/>
      <c r="Q174" s="78">
        <f t="shared" si="149"/>
        <v>176055</v>
      </c>
      <c r="R174" s="78"/>
      <c r="S174" s="78">
        <f t="shared" si="150"/>
        <v>176055</v>
      </c>
      <c r="T174" s="78"/>
      <c r="U174" s="78">
        <f t="shared" si="151"/>
        <v>176055</v>
      </c>
      <c r="V174" s="78"/>
      <c r="W174" s="78">
        <f t="shared" si="152"/>
        <v>176055</v>
      </c>
      <c r="X174" s="78"/>
      <c r="Y174" s="78">
        <f t="shared" si="153"/>
        <v>176055</v>
      </c>
      <c r="Z174" s="117"/>
      <c r="AA174" s="117"/>
    </row>
    <row r="175" spans="1:27" s="26" customFormat="1" ht="21" customHeight="1">
      <c r="A175" s="83"/>
      <c r="B175" s="79"/>
      <c r="C175" s="65">
        <v>4040</v>
      </c>
      <c r="D175" s="41" t="s">
        <v>88</v>
      </c>
      <c r="E175" s="78">
        <v>10000</v>
      </c>
      <c r="F175" s="78"/>
      <c r="G175" s="78">
        <f t="shared" si="102"/>
        <v>10000</v>
      </c>
      <c r="H175" s="78"/>
      <c r="I175" s="78">
        <f t="shared" si="145"/>
        <v>10000</v>
      </c>
      <c r="J175" s="78"/>
      <c r="K175" s="78">
        <f t="shared" si="146"/>
        <v>10000</v>
      </c>
      <c r="L175" s="78"/>
      <c r="M175" s="78">
        <f t="shared" si="147"/>
        <v>10000</v>
      </c>
      <c r="N175" s="78"/>
      <c r="O175" s="78">
        <f t="shared" si="148"/>
        <v>10000</v>
      </c>
      <c r="P175" s="78"/>
      <c r="Q175" s="78">
        <f t="shared" si="149"/>
        <v>10000</v>
      </c>
      <c r="R175" s="78"/>
      <c r="S175" s="78">
        <f t="shared" si="150"/>
        <v>10000</v>
      </c>
      <c r="T175" s="78"/>
      <c r="U175" s="78">
        <f t="shared" si="151"/>
        <v>10000</v>
      </c>
      <c r="V175" s="78"/>
      <c r="W175" s="78">
        <f t="shared" si="152"/>
        <v>10000</v>
      </c>
      <c r="X175" s="78"/>
      <c r="Y175" s="78">
        <f t="shared" si="153"/>
        <v>10000</v>
      </c>
      <c r="Z175" s="117"/>
      <c r="AA175" s="117"/>
    </row>
    <row r="176" spans="1:27" s="26" customFormat="1" ht="21" customHeight="1">
      <c r="A176" s="83"/>
      <c r="B176" s="79"/>
      <c r="C176" s="65">
        <v>4110</v>
      </c>
      <c r="D176" s="41" t="s">
        <v>89</v>
      </c>
      <c r="E176" s="78">
        <v>28487</v>
      </c>
      <c r="F176" s="78"/>
      <c r="G176" s="78">
        <f t="shared" si="102"/>
        <v>28487</v>
      </c>
      <c r="H176" s="78"/>
      <c r="I176" s="78">
        <f t="shared" si="145"/>
        <v>28487</v>
      </c>
      <c r="J176" s="78"/>
      <c r="K176" s="78">
        <f t="shared" si="146"/>
        <v>28487</v>
      </c>
      <c r="L176" s="78"/>
      <c r="M176" s="78">
        <f t="shared" si="147"/>
        <v>28487</v>
      </c>
      <c r="N176" s="78"/>
      <c r="O176" s="78">
        <f t="shared" si="148"/>
        <v>28487</v>
      </c>
      <c r="P176" s="78"/>
      <c r="Q176" s="78">
        <f t="shared" si="149"/>
        <v>28487</v>
      </c>
      <c r="R176" s="78"/>
      <c r="S176" s="78">
        <f t="shared" si="150"/>
        <v>28487</v>
      </c>
      <c r="T176" s="78"/>
      <c r="U176" s="78">
        <f t="shared" si="151"/>
        <v>28487</v>
      </c>
      <c r="V176" s="78"/>
      <c r="W176" s="78">
        <f t="shared" si="152"/>
        <v>28487</v>
      </c>
      <c r="X176" s="78"/>
      <c r="Y176" s="78">
        <f t="shared" si="153"/>
        <v>28487</v>
      </c>
      <c r="Z176" s="117"/>
      <c r="AA176" s="117"/>
    </row>
    <row r="177" spans="1:27" s="26" customFormat="1" ht="21" customHeight="1">
      <c r="A177" s="83"/>
      <c r="B177" s="79"/>
      <c r="C177" s="65">
        <v>4120</v>
      </c>
      <c r="D177" s="41" t="s">
        <v>90</v>
      </c>
      <c r="E177" s="78">
        <v>4491</v>
      </c>
      <c r="F177" s="78"/>
      <c r="G177" s="78">
        <f t="shared" si="102"/>
        <v>4491</v>
      </c>
      <c r="H177" s="78"/>
      <c r="I177" s="78">
        <f t="shared" si="145"/>
        <v>4491</v>
      </c>
      <c r="J177" s="78"/>
      <c r="K177" s="78">
        <f t="shared" si="146"/>
        <v>4491</v>
      </c>
      <c r="L177" s="78"/>
      <c r="M177" s="78">
        <f t="shared" si="147"/>
        <v>4491</v>
      </c>
      <c r="N177" s="78"/>
      <c r="O177" s="78">
        <f t="shared" si="148"/>
        <v>4491</v>
      </c>
      <c r="P177" s="78"/>
      <c r="Q177" s="78">
        <f t="shared" si="149"/>
        <v>4491</v>
      </c>
      <c r="R177" s="78"/>
      <c r="S177" s="78">
        <f t="shared" si="150"/>
        <v>4491</v>
      </c>
      <c r="T177" s="78"/>
      <c r="U177" s="78">
        <f t="shared" si="151"/>
        <v>4491</v>
      </c>
      <c r="V177" s="78"/>
      <c r="W177" s="78">
        <f t="shared" si="152"/>
        <v>4491</v>
      </c>
      <c r="X177" s="78"/>
      <c r="Y177" s="78">
        <f t="shared" si="153"/>
        <v>4491</v>
      </c>
      <c r="Z177" s="117"/>
      <c r="AA177" s="117"/>
    </row>
    <row r="178" spans="1:25" s="26" customFormat="1" ht="21" customHeight="1">
      <c r="A178" s="83"/>
      <c r="B178" s="79"/>
      <c r="C178" s="65">
        <v>4210</v>
      </c>
      <c r="D178" s="41" t="s">
        <v>95</v>
      </c>
      <c r="E178" s="78">
        <v>12900</v>
      </c>
      <c r="F178" s="78"/>
      <c r="G178" s="78">
        <f t="shared" si="102"/>
        <v>12900</v>
      </c>
      <c r="H178" s="78"/>
      <c r="I178" s="78">
        <f t="shared" si="145"/>
        <v>12900</v>
      </c>
      <c r="J178" s="78"/>
      <c r="K178" s="78">
        <f t="shared" si="146"/>
        <v>12900</v>
      </c>
      <c r="L178" s="78"/>
      <c r="M178" s="78">
        <f t="shared" si="147"/>
        <v>12900</v>
      </c>
      <c r="N178" s="78"/>
      <c r="O178" s="78">
        <f t="shared" si="148"/>
        <v>12900</v>
      </c>
      <c r="P178" s="78"/>
      <c r="Q178" s="78">
        <f t="shared" si="149"/>
        <v>12900</v>
      </c>
      <c r="R178" s="78"/>
      <c r="S178" s="78">
        <f t="shared" si="150"/>
        <v>12900</v>
      </c>
      <c r="T178" s="78"/>
      <c r="U178" s="78">
        <f t="shared" si="151"/>
        <v>12900</v>
      </c>
      <c r="V178" s="78"/>
      <c r="W178" s="78">
        <f t="shared" si="152"/>
        <v>12900</v>
      </c>
      <c r="X178" s="78"/>
      <c r="Y178" s="78">
        <f t="shared" si="153"/>
        <v>12900</v>
      </c>
    </row>
    <row r="179" spans="1:25" s="26" customFormat="1" ht="21" customHeight="1">
      <c r="A179" s="83"/>
      <c r="B179" s="79"/>
      <c r="C179" s="65">
        <v>4270</v>
      </c>
      <c r="D179" s="41" t="s">
        <v>81</v>
      </c>
      <c r="E179" s="78">
        <v>2000</v>
      </c>
      <c r="F179" s="78"/>
      <c r="G179" s="78">
        <f t="shared" si="102"/>
        <v>2000</v>
      </c>
      <c r="H179" s="78"/>
      <c r="I179" s="78">
        <f t="shared" si="145"/>
        <v>2000</v>
      </c>
      <c r="J179" s="78"/>
      <c r="K179" s="78">
        <f t="shared" si="146"/>
        <v>2000</v>
      </c>
      <c r="L179" s="78"/>
      <c r="M179" s="78">
        <f t="shared" si="147"/>
        <v>2000</v>
      </c>
      <c r="N179" s="78"/>
      <c r="O179" s="78">
        <f t="shared" si="148"/>
        <v>2000</v>
      </c>
      <c r="P179" s="78"/>
      <c r="Q179" s="78">
        <f t="shared" si="149"/>
        <v>2000</v>
      </c>
      <c r="R179" s="78"/>
      <c r="S179" s="78">
        <f t="shared" si="150"/>
        <v>2000</v>
      </c>
      <c r="T179" s="78"/>
      <c r="U179" s="78">
        <f t="shared" si="151"/>
        <v>2000</v>
      </c>
      <c r="V179" s="78"/>
      <c r="W179" s="78">
        <f t="shared" si="152"/>
        <v>2000</v>
      </c>
      <c r="X179" s="78"/>
      <c r="Y179" s="78">
        <f t="shared" si="153"/>
        <v>2000</v>
      </c>
    </row>
    <row r="180" spans="1:25" s="26" customFormat="1" ht="21" customHeight="1">
      <c r="A180" s="83"/>
      <c r="B180" s="79"/>
      <c r="C180" s="65">
        <v>4280</v>
      </c>
      <c r="D180" s="41" t="s">
        <v>226</v>
      </c>
      <c r="E180" s="78">
        <v>1200</v>
      </c>
      <c r="F180" s="78"/>
      <c r="G180" s="78">
        <f t="shared" si="102"/>
        <v>1200</v>
      </c>
      <c r="H180" s="78"/>
      <c r="I180" s="78">
        <f t="shared" si="145"/>
        <v>1200</v>
      </c>
      <c r="J180" s="78"/>
      <c r="K180" s="78">
        <f t="shared" si="146"/>
        <v>1200</v>
      </c>
      <c r="L180" s="78"/>
      <c r="M180" s="78">
        <f t="shared" si="147"/>
        <v>1200</v>
      </c>
      <c r="N180" s="78"/>
      <c r="O180" s="78">
        <f t="shared" si="148"/>
        <v>1200</v>
      </c>
      <c r="P180" s="78"/>
      <c r="Q180" s="78">
        <f t="shared" si="149"/>
        <v>1200</v>
      </c>
      <c r="R180" s="78"/>
      <c r="S180" s="78">
        <f t="shared" si="150"/>
        <v>1200</v>
      </c>
      <c r="T180" s="78"/>
      <c r="U180" s="78">
        <f t="shared" si="151"/>
        <v>1200</v>
      </c>
      <c r="V180" s="78"/>
      <c r="W180" s="78">
        <f t="shared" si="152"/>
        <v>1200</v>
      </c>
      <c r="X180" s="78"/>
      <c r="Y180" s="78">
        <f t="shared" si="153"/>
        <v>1200</v>
      </c>
    </row>
    <row r="181" spans="1:25" s="26" customFormat="1" ht="21" customHeight="1">
      <c r="A181" s="83"/>
      <c r="B181" s="79"/>
      <c r="C181" s="65">
        <v>4300</v>
      </c>
      <c r="D181" s="41" t="s">
        <v>82</v>
      </c>
      <c r="E181" s="78">
        <v>3000</v>
      </c>
      <c r="F181" s="78"/>
      <c r="G181" s="78">
        <f t="shared" si="102"/>
        <v>3000</v>
      </c>
      <c r="H181" s="78"/>
      <c r="I181" s="78">
        <f t="shared" si="145"/>
        <v>3000</v>
      </c>
      <c r="J181" s="78"/>
      <c r="K181" s="78">
        <f t="shared" si="146"/>
        <v>3000</v>
      </c>
      <c r="L181" s="78"/>
      <c r="M181" s="78">
        <f t="shared" si="147"/>
        <v>3000</v>
      </c>
      <c r="N181" s="78"/>
      <c r="O181" s="78">
        <f t="shared" si="148"/>
        <v>3000</v>
      </c>
      <c r="P181" s="78"/>
      <c r="Q181" s="78">
        <f t="shared" si="149"/>
        <v>3000</v>
      </c>
      <c r="R181" s="78"/>
      <c r="S181" s="78">
        <f t="shared" si="150"/>
        <v>3000</v>
      </c>
      <c r="T181" s="78"/>
      <c r="U181" s="78">
        <f t="shared" si="151"/>
        <v>3000</v>
      </c>
      <c r="V181" s="78"/>
      <c r="W181" s="78">
        <f t="shared" si="152"/>
        <v>3000</v>
      </c>
      <c r="X181" s="78"/>
      <c r="Y181" s="78">
        <f t="shared" si="153"/>
        <v>3000</v>
      </c>
    </row>
    <row r="182" spans="1:25" s="26" customFormat="1" ht="24">
      <c r="A182" s="83"/>
      <c r="B182" s="79"/>
      <c r="C182" s="65">
        <v>4360</v>
      </c>
      <c r="D182" s="41" t="s">
        <v>238</v>
      </c>
      <c r="E182" s="78">
        <v>1800</v>
      </c>
      <c r="F182" s="78"/>
      <c r="G182" s="78">
        <f t="shared" si="102"/>
        <v>1800</v>
      </c>
      <c r="H182" s="78"/>
      <c r="I182" s="78">
        <f t="shared" si="145"/>
        <v>1800</v>
      </c>
      <c r="J182" s="78"/>
      <c r="K182" s="78">
        <f t="shared" si="146"/>
        <v>1800</v>
      </c>
      <c r="L182" s="78"/>
      <c r="M182" s="78">
        <f t="shared" si="147"/>
        <v>1800</v>
      </c>
      <c r="N182" s="78"/>
      <c r="O182" s="78">
        <f t="shared" si="148"/>
        <v>1800</v>
      </c>
      <c r="P182" s="78"/>
      <c r="Q182" s="78">
        <f t="shared" si="149"/>
        <v>1800</v>
      </c>
      <c r="R182" s="78"/>
      <c r="S182" s="78">
        <f t="shared" si="150"/>
        <v>1800</v>
      </c>
      <c r="T182" s="78"/>
      <c r="U182" s="78">
        <f t="shared" si="151"/>
        <v>1800</v>
      </c>
      <c r="V182" s="78"/>
      <c r="W182" s="78">
        <f t="shared" si="152"/>
        <v>1800</v>
      </c>
      <c r="X182" s="78"/>
      <c r="Y182" s="78">
        <f t="shared" si="153"/>
        <v>1800</v>
      </c>
    </row>
    <row r="183" spans="1:25" s="26" customFormat="1" ht="24">
      <c r="A183" s="83"/>
      <c r="B183" s="79"/>
      <c r="C183" s="65">
        <v>4400</v>
      </c>
      <c r="D183" s="41" t="s">
        <v>263</v>
      </c>
      <c r="E183" s="78">
        <v>1000</v>
      </c>
      <c r="F183" s="78"/>
      <c r="G183" s="78">
        <f t="shared" si="102"/>
        <v>1000</v>
      </c>
      <c r="H183" s="78"/>
      <c r="I183" s="78">
        <f t="shared" si="145"/>
        <v>1000</v>
      </c>
      <c r="J183" s="78">
        <v>-96</v>
      </c>
      <c r="K183" s="78">
        <f t="shared" si="146"/>
        <v>904</v>
      </c>
      <c r="L183" s="78"/>
      <c r="M183" s="78">
        <f t="shared" si="147"/>
        <v>904</v>
      </c>
      <c r="N183" s="78"/>
      <c r="O183" s="78">
        <f t="shared" si="148"/>
        <v>904</v>
      </c>
      <c r="P183" s="78"/>
      <c r="Q183" s="78">
        <f t="shared" si="149"/>
        <v>904</v>
      </c>
      <c r="R183" s="78"/>
      <c r="S183" s="78">
        <f t="shared" si="150"/>
        <v>904</v>
      </c>
      <c r="T183" s="78"/>
      <c r="U183" s="78">
        <f t="shared" si="151"/>
        <v>904</v>
      </c>
      <c r="V183" s="78"/>
      <c r="W183" s="78">
        <f t="shared" si="152"/>
        <v>904</v>
      </c>
      <c r="X183" s="78"/>
      <c r="Y183" s="78">
        <f t="shared" si="153"/>
        <v>904</v>
      </c>
    </row>
    <row r="184" spans="1:25" s="26" customFormat="1" ht="21" customHeight="1">
      <c r="A184" s="83"/>
      <c r="B184" s="79"/>
      <c r="C184" s="65">
        <v>4410</v>
      </c>
      <c r="D184" s="41" t="s">
        <v>93</v>
      </c>
      <c r="E184" s="78">
        <v>1200</v>
      </c>
      <c r="F184" s="78"/>
      <c r="G184" s="78">
        <f t="shared" si="102"/>
        <v>1200</v>
      </c>
      <c r="H184" s="78"/>
      <c r="I184" s="78">
        <f t="shared" si="145"/>
        <v>1200</v>
      </c>
      <c r="J184" s="78"/>
      <c r="K184" s="78">
        <f t="shared" si="146"/>
        <v>1200</v>
      </c>
      <c r="L184" s="78"/>
      <c r="M184" s="78">
        <f t="shared" si="147"/>
        <v>1200</v>
      </c>
      <c r="N184" s="78"/>
      <c r="O184" s="78">
        <f t="shared" si="148"/>
        <v>1200</v>
      </c>
      <c r="P184" s="78"/>
      <c r="Q184" s="78">
        <f t="shared" si="149"/>
        <v>1200</v>
      </c>
      <c r="R184" s="78"/>
      <c r="S184" s="78">
        <f t="shared" si="150"/>
        <v>1200</v>
      </c>
      <c r="T184" s="78"/>
      <c r="U184" s="78">
        <f t="shared" si="151"/>
        <v>1200</v>
      </c>
      <c r="V184" s="78"/>
      <c r="W184" s="78">
        <f t="shared" si="152"/>
        <v>1200</v>
      </c>
      <c r="X184" s="78"/>
      <c r="Y184" s="78">
        <f t="shared" si="153"/>
        <v>1200</v>
      </c>
    </row>
    <row r="185" spans="1:25" s="26" customFormat="1" ht="21" customHeight="1">
      <c r="A185" s="83"/>
      <c r="B185" s="79"/>
      <c r="C185" s="68">
        <v>4430</v>
      </c>
      <c r="D185" s="41" t="s">
        <v>97</v>
      </c>
      <c r="E185" s="78">
        <v>3500</v>
      </c>
      <c r="F185" s="78"/>
      <c r="G185" s="78">
        <f t="shared" si="102"/>
        <v>3500</v>
      </c>
      <c r="H185" s="78"/>
      <c r="I185" s="78">
        <f t="shared" si="145"/>
        <v>3500</v>
      </c>
      <c r="J185" s="78"/>
      <c r="K185" s="78">
        <f t="shared" si="146"/>
        <v>3500</v>
      </c>
      <c r="L185" s="78"/>
      <c r="M185" s="78">
        <f t="shared" si="147"/>
        <v>3500</v>
      </c>
      <c r="N185" s="78"/>
      <c r="O185" s="78">
        <f t="shared" si="148"/>
        <v>3500</v>
      </c>
      <c r="P185" s="78"/>
      <c r="Q185" s="78">
        <f t="shared" si="149"/>
        <v>3500</v>
      </c>
      <c r="R185" s="78"/>
      <c r="S185" s="78">
        <f t="shared" si="150"/>
        <v>3500</v>
      </c>
      <c r="T185" s="78"/>
      <c r="U185" s="78">
        <f t="shared" si="151"/>
        <v>3500</v>
      </c>
      <c r="V185" s="78"/>
      <c r="W185" s="78">
        <f t="shared" si="152"/>
        <v>3500</v>
      </c>
      <c r="X185" s="78"/>
      <c r="Y185" s="78">
        <f t="shared" si="153"/>
        <v>3500</v>
      </c>
    </row>
    <row r="186" spans="1:25" s="26" customFormat="1" ht="21" customHeight="1">
      <c r="A186" s="83"/>
      <c r="B186" s="79"/>
      <c r="C186" s="68">
        <v>4440</v>
      </c>
      <c r="D186" s="41" t="s">
        <v>91</v>
      </c>
      <c r="E186" s="78">
        <v>4875</v>
      </c>
      <c r="F186" s="78"/>
      <c r="G186" s="78">
        <f t="shared" si="102"/>
        <v>4875</v>
      </c>
      <c r="H186" s="78"/>
      <c r="I186" s="78">
        <f t="shared" si="145"/>
        <v>4875</v>
      </c>
      <c r="J186" s="78"/>
      <c r="K186" s="78">
        <f t="shared" si="146"/>
        <v>4875</v>
      </c>
      <c r="L186" s="78"/>
      <c r="M186" s="78">
        <f t="shared" si="147"/>
        <v>4875</v>
      </c>
      <c r="N186" s="78"/>
      <c r="O186" s="78">
        <f t="shared" si="148"/>
        <v>4875</v>
      </c>
      <c r="P186" s="78"/>
      <c r="Q186" s="78">
        <f t="shared" si="149"/>
        <v>4875</v>
      </c>
      <c r="R186" s="78"/>
      <c r="S186" s="78">
        <f t="shared" si="150"/>
        <v>4875</v>
      </c>
      <c r="T186" s="78"/>
      <c r="U186" s="78">
        <f t="shared" si="151"/>
        <v>4875</v>
      </c>
      <c r="V186" s="78"/>
      <c r="W186" s="78">
        <f t="shared" si="152"/>
        <v>4875</v>
      </c>
      <c r="X186" s="78"/>
      <c r="Y186" s="78">
        <f t="shared" si="153"/>
        <v>4875</v>
      </c>
    </row>
    <row r="187" spans="1:25" s="26" customFormat="1" ht="21" customHeight="1">
      <c r="A187" s="83"/>
      <c r="B187" s="79"/>
      <c r="C187" s="68">
        <v>4510</v>
      </c>
      <c r="D187" s="41" t="s">
        <v>150</v>
      </c>
      <c r="E187" s="78">
        <v>200</v>
      </c>
      <c r="F187" s="78"/>
      <c r="G187" s="78">
        <f t="shared" si="102"/>
        <v>200</v>
      </c>
      <c r="H187" s="78"/>
      <c r="I187" s="78">
        <f t="shared" si="145"/>
        <v>200</v>
      </c>
      <c r="J187" s="78"/>
      <c r="K187" s="78">
        <f t="shared" si="146"/>
        <v>200</v>
      </c>
      <c r="L187" s="78"/>
      <c r="M187" s="78">
        <f t="shared" si="147"/>
        <v>200</v>
      </c>
      <c r="N187" s="78"/>
      <c r="O187" s="78">
        <f t="shared" si="148"/>
        <v>200</v>
      </c>
      <c r="P187" s="78"/>
      <c r="Q187" s="78">
        <f t="shared" si="149"/>
        <v>200</v>
      </c>
      <c r="R187" s="78"/>
      <c r="S187" s="78">
        <f t="shared" si="150"/>
        <v>200</v>
      </c>
      <c r="T187" s="78"/>
      <c r="U187" s="78">
        <f t="shared" si="151"/>
        <v>200</v>
      </c>
      <c r="V187" s="78"/>
      <c r="W187" s="78">
        <f t="shared" si="152"/>
        <v>200</v>
      </c>
      <c r="X187" s="78"/>
      <c r="Y187" s="78">
        <f t="shared" si="153"/>
        <v>200</v>
      </c>
    </row>
    <row r="188" spans="1:25" s="26" customFormat="1" ht="21" customHeight="1">
      <c r="A188" s="83"/>
      <c r="B188" s="79"/>
      <c r="C188" s="68">
        <v>4580</v>
      </c>
      <c r="D188" s="41" t="s">
        <v>11</v>
      </c>
      <c r="E188" s="78"/>
      <c r="F188" s="78"/>
      <c r="G188" s="78"/>
      <c r="H188" s="78"/>
      <c r="I188" s="78">
        <v>0</v>
      </c>
      <c r="J188" s="78">
        <v>96</v>
      </c>
      <c r="K188" s="78">
        <f t="shared" si="146"/>
        <v>96</v>
      </c>
      <c r="L188" s="78"/>
      <c r="M188" s="78">
        <f t="shared" si="147"/>
        <v>96</v>
      </c>
      <c r="N188" s="78"/>
      <c r="O188" s="78">
        <f t="shared" si="148"/>
        <v>96</v>
      </c>
      <c r="P188" s="78"/>
      <c r="Q188" s="78">
        <f t="shared" si="149"/>
        <v>96</v>
      </c>
      <c r="R188" s="78"/>
      <c r="S188" s="78">
        <f t="shared" si="150"/>
        <v>96</v>
      </c>
      <c r="T188" s="78"/>
      <c r="U188" s="78">
        <f t="shared" si="151"/>
        <v>96</v>
      </c>
      <c r="V188" s="78"/>
      <c r="W188" s="78">
        <f t="shared" si="152"/>
        <v>96</v>
      </c>
      <c r="X188" s="78"/>
      <c r="Y188" s="78">
        <f t="shared" si="153"/>
        <v>96</v>
      </c>
    </row>
    <row r="189" spans="1:25" s="26" customFormat="1" ht="24">
      <c r="A189" s="83"/>
      <c r="B189" s="79"/>
      <c r="C189" s="68">
        <v>4700</v>
      </c>
      <c r="D189" s="41" t="s">
        <v>272</v>
      </c>
      <c r="E189" s="78">
        <v>2500</v>
      </c>
      <c r="F189" s="78"/>
      <c r="G189" s="78">
        <f t="shared" si="102"/>
        <v>2500</v>
      </c>
      <c r="H189" s="78"/>
      <c r="I189" s="78">
        <f t="shared" si="145"/>
        <v>2500</v>
      </c>
      <c r="J189" s="78"/>
      <c r="K189" s="78">
        <f t="shared" si="146"/>
        <v>2500</v>
      </c>
      <c r="L189" s="78"/>
      <c r="M189" s="78">
        <f t="shared" si="147"/>
        <v>2500</v>
      </c>
      <c r="N189" s="78"/>
      <c r="O189" s="78">
        <f t="shared" si="148"/>
        <v>2500</v>
      </c>
      <c r="P189" s="78"/>
      <c r="Q189" s="78">
        <f t="shared" si="149"/>
        <v>2500</v>
      </c>
      <c r="R189" s="78"/>
      <c r="S189" s="78">
        <f t="shared" si="150"/>
        <v>2500</v>
      </c>
      <c r="T189" s="78"/>
      <c r="U189" s="78">
        <f t="shared" si="151"/>
        <v>2500</v>
      </c>
      <c r="V189" s="78"/>
      <c r="W189" s="78">
        <f t="shared" si="152"/>
        <v>2500</v>
      </c>
      <c r="X189" s="78"/>
      <c r="Y189" s="78">
        <f t="shared" si="153"/>
        <v>2500</v>
      </c>
    </row>
    <row r="190" spans="1:25" s="26" customFormat="1" ht="21" customHeight="1">
      <c r="A190" s="83"/>
      <c r="B190" s="79" t="s">
        <v>104</v>
      </c>
      <c r="C190" s="83"/>
      <c r="D190" s="41" t="s">
        <v>6</v>
      </c>
      <c r="E190" s="78">
        <f aca="true" t="shared" si="154" ref="E190:K190">SUM(E191:E192)</f>
        <v>5000</v>
      </c>
      <c r="F190" s="78">
        <f t="shared" si="154"/>
        <v>150000</v>
      </c>
      <c r="G190" s="78">
        <f t="shared" si="154"/>
        <v>155000</v>
      </c>
      <c r="H190" s="78">
        <f t="shared" si="154"/>
        <v>0</v>
      </c>
      <c r="I190" s="78">
        <f t="shared" si="154"/>
        <v>155000</v>
      </c>
      <c r="J190" s="78">
        <f t="shared" si="154"/>
        <v>0</v>
      </c>
      <c r="K190" s="78">
        <f t="shared" si="154"/>
        <v>155000</v>
      </c>
      <c r="L190" s="78">
        <f aca="true" t="shared" si="155" ref="L190:Q190">SUM(L191:L192)</f>
        <v>0</v>
      </c>
      <c r="M190" s="78">
        <f t="shared" si="155"/>
        <v>155000</v>
      </c>
      <c r="N190" s="78">
        <f t="shared" si="155"/>
        <v>0</v>
      </c>
      <c r="O190" s="78">
        <f t="shared" si="155"/>
        <v>155000</v>
      </c>
      <c r="P190" s="78">
        <f t="shared" si="155"/>
        <v>0</v>
      </c>
      <c r="Q190" s="78">
        <f t="shared" si="155"/>
        <v>155000</v>
      </c>
      <c r="R190" s="78">
        <f aca="true" t="shared" si="156" ref="R190:W190">SUM(R191:R192)</f>
        <v>0</v>
      </c>
      <c r="S190" s="78">
        <f t="shared" si="156"/>
        <v>155000</v>
      </c>
      <c r="T190" s="78">
        <f t="shared" si="156"/>
        <v>0</v>
      </c>
      <c r="U190" s="78">
        <f t="shared" si="156"/>
        <v>155000</v>
      </c>
      <c r="V190" s="78">
        <f t="shared" si="156"/>
        <v>0</v>
      </c>
      <c r="W190" s="78">
        <f t="shared" si="156"/>
        <v>155000</v>
      </c>
      <c r="X190" s="78">
        <f>SUM(X191:X192)</f>
        <v>0</v>
      </c>
      <c r="Y190" s="78">
        <f>SUM(Y191:Y192)</f>
        <v>155000</v>
      </c>
    </row>
    <row r="191" spans="1:25" s="26" customFormat="1" ht="21" customHeight="1">
      <c r="A191" s="83"/>
      <c r="B191" s="79"/>
      <c r="C191" s="68">
        <v>4430</v>
      </c>
      <c r="D191" s="41" t="s">
        <v>97</v>
      </c>
      <c r="E191" s="78">
        <v>5000</v>
      </c>
      <c r="F191" s="78"/>
      <c r="G191" s="78">
        <f t="shared" si="102"/>
        <v>5000</v>
      </c>
      <c r="H191" s="78"/>
      <c r="I191" s="78">
        <f>SUM(G191:H191)</f>
        <v>5000</v>
      </c>
      <c r="J191" s="78"/>
      <c r="K191" s="78">
        <f>SUM(I191:J191)</f>
        <v>5000</v>
      </c>
      <c r="L191" s="78"/>
      <c r="M191" s="78">
        <f>SUM(K191:L191)</f>
        <v>5000</v>
      </c>
      <c r="N191" s="78"/>
      <c r="O191" s="78">
        <f>SUM(M191:N191)</f>
        <v>5000</v>
      </c>
      <c r="P191" s="78"/>
      <c r="Q191" s="78">
        <f>SUM(O191:P191)</f>
        <v>5000</v>
      </c>
      <c r="R191" s="78"/>
      <c r="S191" s="78">
        <f>SUM(Q191:R191)</f>
        <v>5000</v>
      </c>
      <c r="T191" s="78"/>
      <c r="U191" s="78">
        <f>SUM(S191:T191)</f>
        <v>5000</v>
      </c>
      <c r="V191" s="78"/>
      <c r="W191" s="78">
        <f>SUM(U191:V191)</f>
        <v>5000</v>
      </c>
      <c r="X191" s="78"/>
      <c r="Y191" s="78">
        <f>SUM(W191:X191)</f>
        <v>5000</v>
      </c>
    </row>
    <row r="192" spans="1:25" s="26" customFormat="1" ht="26.25" customHeight="1">
      <c r="A192" s="83"/>
      <c r="B192" s="79"/>
      <c r="C192" s="68">
        <v>6050</v>
      </c>
      <c r="D192" s="14" t="s">
        <v>76</v>
      </c>
      <c r="E192" s="78">
        <v>0</v>
      </c>
      <c r="F192" s="78">
        <v>150000</v>
      </c>
      <c r="G192" s="78">
        <f t="shared" si="102"/>
        <v>150000</v>
      </c>
      <c r="H192" s="78"/>
      <c r="I192" s="78">
        <f>SUM(G192:H192)</f>
        <v>150000</v>
      </c>
      <c r="J192" s="78"/>
      <c r="K192" s="78">
        <f>SUM(I192:J192)</f>
        <v>150000</v>
      </c>
      <c r="L192" s="78"/>
      <c r="M192" s="78">
        <f>SUM(K192:L192)</f>
        <v>150000</v>
      </c>
      <c r="N192" s="78"/>
      <c r="O192" s="78">
        <f>SUM(M192:N192)</f>
        <v>150000</v>
      </c>
      <c r="P192" s="78"/>
      <c r="Q192" s="78">
        <f>SUM(O192:P192)</f>
        <v>150000</v>
      </c>
      <c r="R192" s="78"/>
      <c r="S192" s="78">
        <f>SUM(Q192:R192)</f>
        <v>150000</v>
      </c>
      <c r="T192" s="78"/>
      <c r="U192" s="78">
        <f>SUM(S192:T192)</f>
        <v>150000</v>
      </c>
      <c r="V192" s="78"/>
      <c r="W192" s="78">
        <f>SUM(U192:V192)</f>
        <v>150000</v>
      </c>
      <c r="X192" s="78"/>
      <c r="Y192" s="78">
        <f>SUM(W192:X192)</f>
        <v>150000</v>
      </c>
    </row>
    <row r="193" spans="1:25" s="43" customFormat="1" ht="72">
      <c r="A193" s="38">
        <v>756</v>
      </c>
      <c r="B193" s="60"/>
      <c r="C193" s="59"/>
      <c r="D193" s="39" t="s">
        <v>276</v>
      </c>
      <c r="E193" s="40">
        <f aca="true" t="shared" si="157" ref="E193:Y193">SUM(E194)</f>
        <v>109900</v>
      </c>
      <c r="F193" s="40">
        <f t="shared" si="157"/>
        <v>0</v>
      </c>
      <c r="G193" s="40">
        <f t="shared" si="157"/>
        <v>109900</v>
      </c>
      <c r="H193" s="40">
        <f t="shared" si="157"/>
        <v>0</v>
      </c>
      <c r="I193" s="40">
        <f t="shared" si="157"/>
        <v>109900</v>
      </c>
      <c r="J193" s="40">
        <f t="shared" si="157"/>
        <v>0</v>
      </c>
      <c r="K193" s="40">
        <f t="shared" si="157"/>
        <v>109900</v>
      </c>
      <c r="L193" s="40">
        <f t="shared" si="157"/>
        <v>0</v>
      </c>
      <c r="M193" s="40">
        <f t="shared" si="157"/>
        <v>109900</v>
      </c>
      <c r="N193" s="40">
        <f t="shared" si="157"/>
        <v>0</v>
      </c>
      <c r="O193" s="40">
        <f t="shared" si="157"/>
        <v>109900</v>
      </c>
      <c r="P193" s="40">
        <f t="shared" si="157"/>
        <v>0</v>
      </c>
      <c r="Q193" s="40">
        <f t="shared" si="157"/>
        <v>109900</v>
      </c>
      <c r="R193" s="40">
        <f t="shared" si="157"/>
        <v>0</v>
      </c>
      <c r="S193" s="40">
        <f t="shared" si="157"/>
        <v>109900</v>
      </c>
      <c r="T193" s="40">
        <f t="shared" si="157"/>
        <v>0</v>
      </c>
      <c r="U193" s="40">
        <f t="shared" si="157"/>
        <v>109900</v>
      </c>
      <c r="V193" s="40">
        <f t="shared" si="157"/>
        <v>0</v>
      </c>
      <c r="W193" s="40">
        <f t="shared" si="157"/>
        <v>109900</v>
      </c>
      <c r="X193" s="40">
        <f t="shared" si="157"/>
        <v>0</v>
      </c>
      <c r="Y193" s="40">
        <f t="shared" si="157"/>
        <v>109900</v>
      </c>
    </row>
    <row r="194" spans="1:25" s="26" customFormat="1" ht="25.5" customHeight="1">
      <c r="A194" s="83"/>
      <c r="B194" s="79">
        <v>75647</v>
      </c>
      <c r="C194" s="68"/>
      <c r="D194" s="41" t="s">
        <v>186</v>
      </c>
      <c r="E194" s="78">
        <f aca="true" t="shared" si="158" ref="E194:K194">SUM(E195:E202)</f>
        <v>109900</v>
      </c>
      <c r="F194" s="78">
        <f t="shared" si="158"/>
        <v>0</v>
      </c>
      <c r="G194" s="78">
        <f t="shared" si="158"/>
        <v>109900</v>
      </c>
      <c r="H194" s="78">
        <f t="shared" si="158"/>
        <v>0</v>
      </c>
      <c r="I194" s="78">
        <f t="shared" si="158"/>
        <v>109900</v>
      </c>
      <c r="J194" s="78">
        <f t="shared" si="158"/>
        <v>0</v>
      </c>
      <c r="K194" s="78">
        <f t="shared" si="158"/>
        <v>109900</v>
      </c>
      <c r="L194" s="78">
        <f aca="true" t="shared" si="159" ref="L194:Q194">SUM(L195:L202)</f>
        <v>0</v>
      </c>
      <c r="M194" s="78">
        <f t="shared" si="159"/>
        <v>109900</v>
      </c>
      <c r="N194" s="78">
        <f t="shared" si="159"/>
        <v>0</v>
      </c>
      <c r="O194" s="78">
        <f t="shared" si="159"/>
        <v>109900</v>
      </c>
      <c r="P194" s="78">
        <f t="shared" si="159"/>
        <v>0</v>
      </c>
      <c r="Q194" s="78">
        <f t="shared" si="159"/>
        <v>109900</v>
      </c>
      <c r="R194" s="78">
        <f aca="true" t="shared" si="160" ref="R194:W194">SUM(R195:R202)</f>
        <v>0</v>
      </c>
      <c r="S194" s="78">
        <f t="shared" si="160"/>
        <v>109900</v>
      </c>
      <c r="T194" s="78">
        <f t="shared" si="160"/>
        <v>0</v>
      </c>
      <c r="U194" s="78">
        <f t="shared" si="160"/>
        <v>109900</v>
      </c>
      <c r="V194" s="78">
        <f t="shared" si="160"/>
        <v>0</v>
      </c>
      <c r="W194" s="78">
        <f t="shared" si="160"/>
        <v>109900</v>
      </c>
      <c r="X194" s="78">
        <f>SUM(X195:X202)</f>
        <v>0</v>
      </c>
      <c r="Y194" s="78">
        <f>SUM(Y195:Y202)</f>
        <v>109900</v>
      </c>
    </row>
    <row r="195" spans="1:27" s="26" customFormat="1" ht="21" customHeight="1">
      <c r="A195" s="83"/>
      <c r="B195" s="79"/>
      <c r="C195" s="68">
        <v>4100</v>
      </c>
      <c r="D195" s="41" t="s">
        <v>100</v>
      </c>
      <c r="E195" s="78">
        <v>40000</v>
      </c>
      <c r="F195" s="78"/>
      <c r="G195" s="78">
        <f t="shared" si="102"/>
        <v>40000</v>
      </c>
      <c r="H195" s="78"/>
      <c r="I195" s="78">
        <f aca="true" t="shared" si="161" ref="I195:I202">SUM(G195:H195)</f>
        <v>40000</v>
      </c>
      <c r="J195" s="78"/>
      <c r="K195" s="78">
        <f aca="true" t="shared" si="162" ref="K195:K202">SUM(I195:J195)</f>
        <v>40000</v>
      </c>
      <c r="L195" s="78"/>
      <c r="M195" s="78">
        <f aca="true" t="shared" si="163" ref="M195:M202">SUM(K195:L195)</f>
        <v>40000</v>
      </c>
      <c r="N195" s="78"/>
      <c r="O195" s="78">
        <f aca="true" t="shared" si="164" ref="O195:O202">SUM(M195:N195)</f>
        <v>40000</v>
      </c>
      <c r="P195" s="78"/>
      <c r="Q195" s="78">
        <f aca="true" t="shared" si="165" ref="Q195:Q202">SUM(O195:P195)</f>
        <v>40000</v>
      </c>
      <c r="R195" s="78"/>
      <c r="S195" s="78">
        <f aca="true" t="shared" si="166" ref="S195:S202">SUM(Q195:R195)</f>
        <v>40000</v>
      </c>
      <c r="T195" s="78"/>
      <c r="U195" s="78">
        <f aca="true" t="shared" si="167" ref="U195:U202">SUM(S195:T195)</f>
        <v>40000</v>
      </c>
      <c r="V195" s="78"/>
      <c r="W195" s="78">
        <f aca="true" t="shared" si="168" ref="W195:W202">SUM(U195:V195)</f>
        <v>40000</v>
      </c>
      <c r="X195" s="78"/>
      <c r="Y195" s="78">
        <f aca="true" t="shared" si="169" ref="Y195:Y202">SUM(W195:X195)</f>
        <v>40000</v>
      </c>
      <c r="Z195" s="117"/>
      <c r="AA195" s="117"/>
    </row>
    <row r="196" spans="1:27" s="26" customFormat="1" ht="21" customHeight="1">
      <c r="A196" s="83"/>
      <c r="B196" s="79"/>
      <c r="C196" s="68">
        <v>4170</v>
      </c>
      <c r="D196" s="41" t="s">
        <v>202</v>
      </c>
      <c r="E196" s="78">
        <v>5000</v>
      </c>
      <c r="F196" s="78"/>
      <c r="G196" s="78">
        <f t="shared" si="102"/>
        <v>5000</v>
      </c>
      <c r="H196" s="78"/>
      <c r="I196" s="78">
        <f t="shared" si="161"/>
        <v>5000</v>
      </c>
      <c r="J196" s="78"/>
      <c r="K196" s="78">
        <f t="shared" si="162"/>
        <v>5000</v>
      </c>
      <c r="L196" s="78"/>
      <c r="M196" s="78">
        <f t="shared" si="163"/>
        <v>5000</v>
      </c>
      <c r="N196" s="78"/>
      <c r="O196" s="78">
        <f t="shared" si="164"/>
        <v>5000</v>
      </c>
      <c r="P196" s="78"/>
      <c r="Q196" s="78">
        <f t="shared" si="165"/>
        <v>5000</v>
      </c>
      <c r="R196" s="78"/>
      <c r="S196" s="78">
        <f t="shared" si="166"/>
        <v>5000</v>
      </c>
      <c r="T196" s="78"/>
      <c r="U196" s="78">
        <f t="shared" si="167"/>
        <v>5000</v>
      </c>
      <c r="V196" s="78"/>
      <c r="W196" s="78">
        <f t="shared" si="168"/>
        <v>5000</v>
      </c>
      <c r="X196" s="78"/>
      <c r="Y196" s="78">
        <f t="shared" si="169"/>
        <v>5000</v>
      </c>
      <c r="Z196" s="117"/>
      <c r="AA196" s="117"/>
    </row>
    <row r="197" spans="1:25" s="26" customFormat="1" ht="21" customHeight="1">
      <c r="A197" s="83"/>
      <c r="B197" s="79"/>
      <c r="C197" s="68">
        <v>4210</v>
      </c>
      <c r="D197" s="41" t="s">
        <v>75</v>
      </c>
      <c r="E197" s="78">
        <v>2000</v>
      </c>
      <c r="F197" s="78"/>
      <c r="G197" s="78">
        <f t="shared" si="102"/>
        <v>2000</v>
      </c>
      <c r="H197" s="78"/>
      <c r="I197" s="78">
        <f t="shared" si="161"/>
        <v>2000</v>
      </c>
      <c r="J197" s="78"/>
      <c r="K197" s="78">
        <f t="shared" si="162"/>
        <v>2000</v>
      </c>
      <c r="L197" s="78"/>
      <c r="M197" s="78">
        <f t="shared" si="163"/>
        <v>2000</v>
      </c>
      <c r="N197" s="78"/>
      <c r="O197" s="78">
        <f t="shared" si="164"/>
        <v>2000</v>
      </c>
      <c r="P197" s="78"/>
      <c r="Q197" s="78">
        <f t="shared" si="165"/>
        <v>2000</v>
      </c>
      <c r="R197" s="78"/>
      <c r="S197" s="78">
        <f t="shared" si="166"/>
        <v>2000</v>
      </c>
      <c r="T197" s="78"/>
      <c r="U197" s="78">
        <f t="shared" si="167"/>
        <v>2000</v>
      </c>
      <c r="V197" s="78"/>
      <c r="W197" s="78">
        <f t="shared" si="168"/>
        <v>2000</v>
      </c>
      <c r="X197" s="78"/>
      <c r="Y197" s="78">
        <f t="shared" si="169"/>
        <v>2000</v>
      </c>
    </row>
    <row r="198" spans="1:25" s="26" customFormat="1" ht="21" customHeight="1">
      <c r="A198" s="83"/>
      <c r="B198" s="79"/>
      <c r="C198" s="68">
        <v>4300</v>
      </c>
      <c r="D198" s="41" t="s">
        <v>82</v>
      </c>
      <c r="E198" s="78">
        <v>20000</v>
      </c>
      <c r="F198" s="78"/>
      <c r="G198" s="78">
        <f t="shared" si="102"/>
        <v>20000</v>
      </c>
      <c r="H198" s="78"/>
      <c r="I198" s="78">
        <f t="shared" si="161"/>
        <v>20000</v>
      </c>
      <c r="J198" s="78"/>
      <c r="K198" s="78">
        <f t="shared" si="162"/>
        <v>20000</v>
      </c>
      <c r="L198" s="78"/>
      <c r="M198" s="78">
        <f t="shared" si="163"/>
        <v>20000</v>
      </c>
      <c r="N198" s="78"/>
      <c r="O198" s="78">
        <f t="shared" si="164"/>
        <v>20000</v>
      </c>
      <c r="P198" s="78"/>
      <c r="Q198" s="78">
        <f t="shared" si="165"/>
        <v>20000</v>
      </c>
      <c r="R198" s="78"/>
      <c r="S198" s="78">
        <f t="shared" si="166"/>
        <v>20000</v>
      </c>
      <c r="T198" s="78"/>
      <c r="U198" s="78">
        <f t="shared" si="167"/>
        <v>20000</v>
      </c>
      <c r="V198" s="78"/>
      <c r="W198" s="78">
        <f t="shared" si="168"/>
        <v>20000</v>
      </c>
      <c r="X198" s="78"/>
      <c r="Y198" s="78">
        <f t="shared" si="169"/>
        <v>20000</v>
      </c>
    </row>
    <row r="199" spans="1:25" s="26" customFormat="1" ht="21" customHeight="1">
      <c r="A199" s="83"/>
      <c r="B199" s="79"/>
      <c r="C199" s="68">
        <v>4430</v>
      </c>
      <c r="D199" s="41" t="s">
        <v>97</v>
      </c>
      <c r="E199" s="78">
        <v>4900</v>
      </c>
      <c r="F199" s="78"/>
      <c r="G199" s="78">
        <f t="shared" si="102"/>
        <v>4900</v>
      </c>
      <c r="H199" s="78"/>
      <c r="I199" s="78">
        <f t="shared" si="161"/>
        <v>4900</v>
      </c>
      <c r="J199" s="78"/>
      <c r="K199" s="78">
        <f t="shared" si="162"/>
        <v>4900</v>
      </c>
      <c r="L199" s="78"/>
      <c r="M199" s="78">
        <f t="shared" si="163"/>
        <v>4900</v>
      </c>
      <c r="N199" s="78"/>
      <c r="O199" s="78">
        <f t="shared" si="164"/>
        <v>4900</v>
      </c>
      <c r="P199" s="78"/>
      <c r="Q199" s="78">
        <f t="shared" si="165"/>
        <v>4900</v>
      </c>
      <c r="R199" s="78"/>
      <c r="S199" s="78">
        <f t="shared" si="166"/>
        <v>4900</v>
      </c>
      <c r="T199" s="78"/>
      <c r="U199" s="78">
        <f t="shared" si="167"/>
        <v>4900</v>
      </c>
      <c r="V199" s="78"/>
      <c r="W199" s="78">
        <f t="shared" si="168"/>
        <v>4900</v>
      </c>
      <c r="X199" s="78"/>
      <c r="Y199" s="78">
        <f t="shared" si="169"/>
        <v>4900</v>
      </c>
    </row>
    <row r="200" spans="1:25" s="26" customFormat="1" ht="24">
      <c r="A200" s="83"/>
      <c r="B200" s="79"/>
      <c r="C200" s="68">
        <v>4610</v>
      </c>
      <c r="D200" s="41" t="s">
        <v>188</v>
      </c>
      <c r="E200" s="78">
        <f>24000+10000</f>
        <v>34000</v>
      </c>
      <c r="F200" s="78"/>
      <c r="G200" s="78">
        <f t="shared" si="102"/>
        <v>34000</v>
      </c>
      <c r="H200" s="78"/>
      <c r="I200" s="78">
        <f t="shared" si="161"/>
        <v>34000</v>
      </c>
      <c r="J200" s="78"/>
      <c r="K200" s="78">
        <f t="shared" si="162"/>
        <v>34000</v>
      </c>
      <c r="L200" s="78"/>
      <c r="M200" s="78">
        <f t="shared" si="163"/>
        <v>34000</v>
      </c>
      <c r="N200" s="78"/>
      <c r="O200" s="78">
        <f t="shared" si="164"/>
        <v>34000</v>
      </c>
      <c r="P200" s="78"/>
      <c r="Q200" s="78">
        <f t="shared" si="165"/>
        <v>34000</v>
      </c>
      <c r="R200" s="78"/>
      <c r="S200" s="78">
        <f t="shared" si="166"/>
        <v>34000</v>
      </c>
      <c r="T200" s="78"/>
      <c r="U200" s="78">
        <f t="shared" si="167"/>
        <v>34000</v>
      </c>
      <c r="V200" s="78"/>
      <c r="W200" s="78">
        <f t="shared" si="168"/>
        <v>34000</v>
      </c>
      <c r="X200" s="78"/>
      <c r="Y200" s="78">
        <f t="shared" si="169"/>
        <v>34000</v>
      </c>
    </row>
    <row r="201" spans="1:25" s="26" customFormat="1" ht="24">
      <c r="A201" s="83"/>
      <c r="B201" s="79"/>
      <c r="C201" s="68">
        <v>4740</v>
      </c>
      <c r="D201" s="41" t="s">
        <v>236</v>
      </c>
      <c r="E201" s="78">
        <v>2000</v>
      </c>
      <c r="F201" s="78"/>
      <c r="G201" s="78">
        <f t="shared" si="102"/>
        <v>2000</v>
      </c>
      <c r="H201" s="78"/>
      <c r="I201" s="78">
        <f t="shared" si="161"/>
        <v>2000</v>
      </c>
      <c r="J201" s="78"/>
      <c r="K201" s="78">
        <f t="shared" si="162"/>
        <v>2000</v>
      </c>
      <c r="L201" s="78"/>
      <c r="M201" s="78">
        <f t="shared" si="163"/>
        <v>2000</v>
      </c>
      <c r="N201" s="78"/>
      <c r="O201" s="78">
        <f t="shared" si="164"/>
        <v>2000</v>
      </c>
      <c r="P201" s="78"/>
      <c r="Q201" s="78">
        <f t="shared" si="165"/>
        <v>2000</v>
      </c>
      <c r="R201" s="78"/>
      <c r="S201" s="78">
        <f t="shared" si="166"/>
        <v>2000</v>
      </c>
      <c r="T201" s="78"/>
      <c r="U201" s="78">
        <f t="shared" si="167"/>
        <v>2000</v>
      </c>
      <c r="V201" s="78"/>
      <c r="W201" s="78">
        <f t="shared" si="168"/>
        <v>2000</v>
      </c>
      <c r="X201" s="78"/>
      <c r="Y201" s="78">
        <f t="shared" si="169"/>
        <v>2000</v>
      </c>
    </row>
    <row r="202" spans="1:25" s="26" customFormat="1" ht="24">
      <c r="A202" s="83"/>
      <c r="B202" s="79"/>
      <c r="C202" s="68">
        <v>4750</v>
      </c>
      <c r="D202" s="41" t="s">
        <v>237</v>
      </c>
      <c r="E202" s="78">
        <v>2000</v>
      </c>
      <c r="F202" s="78"/>
      <c r="G202" s="78">
        <f t="shared" si="102"/>
        <v>2000</v>
      </c>
      <c r="H202" s="78"/>
      <c r="I202" s="78">
        <f t="shared" si="161"/>
        <v>2000</v>
      </c>
      <c r="J202" s="78"/>
      <c r="K202" s="78">
        <f t="shared" si="162"/>
        <v>2000</v>
      </c>
      <c r="L202" s="78"/>
      <c r="M202" s="78">
        <f t="shared" si="163"/>
        <v>2000</v>
      </c>
      <c r="N202" s="78"/>
      <c r="O202" s="78">
        <f t="shared" si="164"/>
        <v>2000</v>
      </c>
      <c r="P202" s="78"/>
      <c r="Q202" s="78">
        <f t="shared" si="165"/>
        <v>2000</v>
      </c>
      <c r="R202" s="78"/>
      <c r="S202" s="78">
        <f t="shared" si="166"/>
        <v>2000</v>
      </c>
      <c r="T202" s="78"/>
      <c r="U202" s="78">
        <f t="shared" si="167"/>
        <v>2000</v>
      </c>
      <c r="V202" s="78"/>
      <c r="W202" s="78">
        <f t="shared" si="168"/>
        <v>2000</v>
      </c>
      <c r="X202" s="78"/>
      <c r="Y202" s="78">
        <f t="shared" si="169"/>
        <v>2000</v>
      </c>
    </row>
    <row r="203" spans="1:25" s="8" customFormat="1" ht="21.75" customHeight="1">
      <c r="A203" s="36" t="s">
        <v>105</v>
      </c>
      <c r="B203" s="37"/>
      <c r="C203" s="38"/>
      <c r="D203" s="39" t="s">
        <v>106</v>
      </c>
      <c r="E203" s="40">
        <f aca="true" t="shared" si="170" ref="E203:Y203">SUM(E204)</f>
        <v>356637</v>
      </c>
      <c r="F203" s="40">
        <f t="shared" si="170"/>
        <v>0</v>
      </c>
      <c r="G203" s="40">
        <f t="shared" si="170"/>
        <v>356637</v>
      </c>
      <c r="H203" s="40">
        <f t="shared" si="170"/>
        <v>0</v>
      </c>
      <c r="I203" s="40">
        <f t="shared" si="170"/>
        <v>356637</v>
      </c>
      <c r="J203" s="40">
        <f t="shared" si="170"/>
        <v>0</v>
      </c>
      <c r="K203" s="40">
        <f t="shared" si="170"/>
        <v>356637</v>
      </c>
      <c r="L203" s="40">
        <f t="shared" si="170"/>
        <v>0</v>
      </c>
      <c r="M203" s="40">
        <f t="shared" si="170"/>
        <v>356637</v>
      </c>
      <c r="N203" s="40">
        <f t="shared" si="170"/>
        <v>0</v>
      </c>
      <c r="O203" s="40">
        <f t="shared" si="170"/>
        <v>356637</v>
      </c>
      <c r="P203" s="40">
        <f t="shared" si="170"/>
        <v>0</v>
      </c>
      <c r="Q203" s="40">
        <f t="shared" si="170"/>
        <v>356637</v>
      </c>
      <c r="R203" s="40">
        <f t="shared" si="170"/>
        <v>0</v>
      </c>
      <c r="S203" s="40">
        <f t="shared" si="170"/>
        <v>356637</v>
      </c>
      <c r="T203" s="40">
        <f t="shared" si="170"/>
        <v>0</v>
      </c>
      <c r="U203" s="40">
        <f t="shared" si="170"/>
        <v>356637</v>
      </c>
      <c r="V203" s="40">
        <f t="shared" si="170"/>
        <v>0</v>
      </c>
      <c r="W203" s="40">
        <f t="shared" si="170"/>
        <v>356637</v>
      </c>
      <c r="X203" s="40">
        <f t="shared" si="170"/>
        <v>0</v>
      </c>
      <c r="Y203" s="40">
        <f t="shared" si="170"/>
        <v>356637</v>
      </c>
    </row>
    <row r="204" spans="1:25" s="26" customFormat="1" ht="36">
      <c r="A204" s="65"/>
      <c r="B204" s="79" t="s">
        <v>107</v>
      </c>
      <c r="C204" s="83"/>
      <c r="D204" s="41" t="s">
        <v>108</v>
      </c>
      <c r="E204" s="78">
        <f aca="true" t="shared" si="171" ref="E204:Y204">SUM(E205:E205)</f>
        <v>356637</v>
      </c>
      <c r="F204" s="78">
        <f t="shared" si="171"/>
        <v>0</v>
      </c>
      <c r="G204" s="78">
        <f t="shared" si="171"/>
        <v>356637</v>
      </c>
      <c r="H204" s="78">
        <f t="shared" si="171"/>
        <v>0</v>
      </c>
      <c r="I204" s="78">
        <f t="shared" si="171"/>
        <v>356637</v>
      </c>
      <c r="J204" s="78">
        <f t="shared" si="171"/>
        <v>0</v>
      </c>
      <c r="K204" s="78">
        <f t="shared" si="171"/>
        <v>356637</v>
      </c>
      <c r="L204" s="78">
        <f t="shared" si="171"/>
        <v>0</v>
      </c>
      <c r="M204" s="78">
        <f t="shared" si="171"/>
        <v>356637</v>
      </c>
      <c r="N204" s="78">
        <f t="shared" si="171"/>
        <v>0</v>
      </c>
      <c r="O204" s="78">
        <f t="shared" si="171"/>
        <v>356637</v>
      </c>
      <c r="P204" s="78">
        <f t="shared" si="171"/>
        <v>0</v>
      </c>
      <c r="Q204" s="78">
        <f t="shared" si="171"/>
        <v>356637</v>
      </c>
      <c r="R204" s="78">
        <f t="shared" si="171"/>
        <v>0</v>
      </c>
      <c r="S204" s="78">
        <f t="shared" si="171"/>
        <v>356637</v>
      </c>
      <c r="T204" s="78">
        <f t="shared" si="171"/>
        <v>0</v>
      </c>
      <c r="U204" s="78">
        <f t="shared" si="171"/>
        <v>356637</v>
      </c>
      <c r="V204" s="78">
        <f t="shared" si="171"/>
        <v>0</v>
      </c>
      <c r="W204" s="78">
        <f t="shared" si="171"/>
        <v>356637</v>
      </c>
      <c r="X204" s="78">
        <f t="shared" si="171"/>
        <v>0</v>
      </c>
      <c r="Y204" s="78">
        <f t="shared" si="171"/>
        <v>356637</v>
      </c>
    </row>
    <row r="205" spans="1:25" s="26" customFormat="1" ht="49.5" customHeight="1">
      <c r="A205" s="65"/>
      <c r="B205" s="84"/>
      <c r="C205" s="83">
        <v>8070</v>
      </c>
      <c r="D205" s="41" t="s">
        <v>287</v>
      </c>
      <c r="E205" s="78">
        <v>356637</v>
      </c>
      <c r="F205" s="78"/>
      <c r="G205" s="78">
        <f t="shared" si="102"/>
        <v>356637</v>
      </c>
      <c r="H205" s="78"/>
      <c r="I205" s="78">
        <f>SUM(G205:H205)</f>
        <v>356637</v>
      </c>
      <c r="J205" s="78"/>
      <c r="K205" s="78">
        <f>SUM(I205:J205)</f>
        <v>356637</v>
      </c>
      <c r="L205" s="78"/>
      <c r="M205" s="78">
        <f>SUM(K205:L205)</f>
        <v>356637</v>
      </c>
      <c r="N205" s="78"/>
      <c r="O205" s="78">
        <f>SUM(M205:N205)</f>
        <v>356637</v>
      </c>
      <c r="P205" s="78"/>
      <c r="Q205" s="78">
        <f>SUM(O205:P205)</f>
        <v>356637</v>
      </c>
      <c r="R205" s="78"/>
      <c r="S205" s="78">
        <f>SUM(Q205:R205)</f>
        <v>356637</v>
      </c>
      <c r="T205" s="78"/>
      <c r="U205" s="78">
        <f>SUM(S205:T205)</f>
        <v>356637</v>
      </c>
      <c r="V205" s="78"/>
      <c r="W205" s="78">
        <f>SUM(U205:V205)</f>
        <v>356637</v>
      </c>
      <c r="X205" s="78"/>
      <c r="Y205" s="78">
        <f>SUM(W205:X205)</f>
        <v>356637</v>
      </c>
    </row>
    <row r="206" spans="1:25" s="8" customFormat="1" ht="21" customHeight="1">
      <c r="A206" s="36" t="s">
        <v>47</v>
      </c>
      <c r="B206" s="37"/>
      <c r="C206" s="38"/>
      <c r="D206" s="39" t="s">
        <v>48</v>
      </c>
      <c r="E206" s="40">
        <f aca="true" t="shared" si="172" ref="E206:Y206">SUM(E207)</f>
        <v>1167300</v>
      </c>
      <c r="F206" s="40">
        <f t="shared" si="172"/>
        <v>1050000</v>
      </c>
      <c r="G206" s="40">
        <f t="shared" si="172"/>
        <v>2217300</v>
      </c>
      <c r="H206" s="40">
        <f t="shared" si="172"/>
        <v>-511010</v>
      </c>
      <c r="I206" s="40">
        <f t="shared" si="172"/>
        <v>1706290</v>
      </c>
      <c r="J206" s="40">
        <f t="shared" si="172"/>
        <v>-599645</v>
      </c>
      <c r="K206" s="40">
        <f t="shared" si="172"/>
        <v>1106645</v>
      </c>
      <c r="L206" s="40">
        <f t="shared" si="172"/>
        <v>0</v>
      </c>
      <c r="M206" s="40">
        <f t="shared" si="172"/>
        <v>1106645</v>
      </c>
      <c r="N206" s="40">
        <f t="shared" si="172"/>
        <v>0</v>
      </c>
      <c r="O206" s="40">
        <f t="shared" si="172"/>
        <v>1106645</v>
      </c>
      <c r="P206" s="40">
        <f t="shared" si="172"/>
        <v>0</v>
      </c>
      <c r="Q206" s="40">
        <f t="shared" si="172"/>
        <v>1106645</v>
      </c>
      <c r="R206" s="40">
        <f t="shared" si="172"/>
        <v>-150000</v>
      </c>
      <c r="S206" s="40">
        <f t="shared" si="172"/>
        <v>956645</v>
      </c>
      <c r="T206" s="40">
        <f t="shared" si="172"/>
        <v>0</v>
      </c>
      <c r="U206" s="40">
        <f t="shared" si="172"/>
        <v>956645</v>
      </c>
      <c r="V206" s="40">
        <f t="shared" si="172"/>
        <v>-30600</v>
      </c>
      <c r="W206" s="40">
        <f t="shared" si="172"/>
        <v>926045</v>
      </c>
      <c r="X206" s="40">
        <f t="shared" si="172"/>
        <v>-38250</v>
      </c>
      <c r="Y206" s="40">
        <f t="shared" si="172"/>
        <v>887795</v>
      </c>
    </row>
    <row r="207" spans="1:25" s="26" customFormat="1" ht="21" customHeight="1">
      <c r="A207" s="65"/>
      <c r="B207" s="79" t="s">
        <v>109</v>
      </c>
      <c r="C207" s="83"/>
      <c r="D207" s="41" t="s">
        <v>110</v>
      </c>
      <c r="E207" s="78">
        <f aca="true" t="shared" si="173" ref="E207:K207">SUM(E208:E209)</f>
        <v>1167300</v>
      </c>
      <c r="F207" s="78">
        <f t="shared" si="173"/>
        <v>1050000</v>
      </c>
      <c r="G207" s="78">
        <f t="shared" si="173"/>
        <v>2217300</v>
      </c>
      <c r="H207" s="78">
        <f t="shared" si="173"/>
        <v>-511010</v>
      </c>
      <c r="I207" s="78">
        <f t="shared" si="173"/>
        <v>1706290</v>
      </c>
      <c r="J207" s="78">
        <f t="shared" si="173"/>
        <v>-599645</v>
      </c>
      <c r="K207" s="78">
        <f t="shared" si="173"/>
        <v>1106645</v>
      </c>
      <c r="L207" s="78">
        <f aca="true" t="shared" si="174" ref="L207:Q207">SUM(L208:L209)</f>
        <v>0</v>
      </c>
      <c r="M207" s="78">
        <f t="shared" si="174"/>
        <v>1106645</v>
      </c>
      <c r="N207" s="78">
        <f t="shared" si="174"/>
        <v>0</v>
      </c>
      <c r="O207" s="78">
        <f t="shared" si="174"/>
        <v>1106645</v>
      </c>
      <c r="P207" s="78">
        <f t="shared" si="174"/>
        <v>0</v>
      </c>
      <c r="Q207" s="78">
        <f t="shared" si="174"/>
        <v>1106645</v>
      </c>
      <c r="R207" s="78">
        <f aca="true" t="shared" si="175" ref="R207:W207">SUM(R208:R209)</f>
        <v>-150000</v>
      </c>
      <c r="S207" s="78">
        <f t="shared" si="175"/>
        <v>956645</v>
      </c>
      <c r="T207" s="78">
        <f t="shared" si="175"/>
        <v>0</v>
      </c>
      <c r="U207" s="78">
        <f t="shared" si="175"/>
        <v>956645</v>
      </c>
      <c r="V207" s="78">
        <f t="shared" si="175"/>
        <v>-30600</v>
      </c>
      <c r="W207" s="78">
        <f t="shared" si="175"/>
        <v>926045</v>
      </c>
      <c r="X207" s="78">
        <f>SUM(X208:X209)</f>
        <v>-38250</v>
      </c>
      <c r="Y207" s="78">
        <f>SUM(Y208:Y209)</f>
        <v>887795</v>
      </c>
    </row>
    <row r="208" spans="1:25" s="26" customFormat="1" ht="21" customHeight="1">
      <c r="A208" s="65"/>
      <c r="B208" s="84"/>
      <c r="C208" s="83">
        <v>4810</v>
      </c>
      <c r="D208" s="41" t="s">
        <v>111</v>
      </c>
      <c r="E208" s="78">
        <f>68800+48500+200000+300000</f>
        <v>617300</v>
      </c>
      <c r="F208" s="78">
        <f>100000+60000+10000+65000+5000+300000+190000</f>
        <v>730000</v>
      </c>
      <c r="G208" s="78">
        <f t="shared" si="102"/>
        <v>1347300</v>
      </c>
      <c r="H208" s="78">
        <f>-58190-5820-447000</f>
        <v>-511010</v>
      </c>
      <c r="I208" s="78">
        <f>SUM(G208:H208)</f>
        <v>836290</v>
      </c>
      <c r="J208" s="78">
        <f>-175597+24400-119-329-148000</f>
        <v>-299645</v>
      </c>
      <c r="K208" s="78">
        <f>SUM(I208:J208)</f>
        <v>536645</v>
      </c>
      <c r="L208" s="78"/>
      <c r="M208" s="78">
        <f>SUM(K208:L208)</f>
        <v>536645</v>
      </c>
      <c r="N208" s="78"/>
      <c r="O208" s="78">
        <f>SUM(M208:N208)</f>
        <v>536645</v>
      </c>
      <c r="P208" s="78"/>
      <c r="Q208" s="78">
        <f>SUM(O208:P208)</f>
        <v>536645</v>
      </c>
      <c r="R208" s="78"/>
      <c r="S208" s="78">
        <f>SUM(Q208:R208)</f>
        <v>536645</v>
      </c>
      <c r="T208" s="78"/>
      <c r="U208" s="78">
        <f>SUM(S208:T208)</f>
        <v>536645</v>
      </c>
      <c r="V208" s="78">
        <f>-20600-10000</f>
        <v>-30600</v>
      </c>
      <c r="W208" s="78">
        <f>SUM(U208:V208)</f>
        <v>506045</v>
      </c>
      <c r="X208" s="78">
        <v>-38250</v>
      </c>
      <c r="Y208" s="78">
        <f>SUM(W208:X208)</f>
        <v>467795</v>
      </c>
    </row>
    <row r="209" spans="1:25" s="26" customFormat="1" ht="24">
      <c r="A209" s="65"/>
      <c r="B209" s="84"/>
      <c r="C209" s="83">
        <v>6800</v>
      </c>
      <c r="D209" s="41" t="s">
        <v>278</v>
      </c>
      <c r="E209" s="78">
        <f>150000+400000</f>
        <v>550000</v>
      </c>
      <c r="F209" s="78">
        <f>300000+20000</f>
        <v>320000</v>
      </c>
      <c r="G209" s="78">
        <f t="shared" si="102"/>
        <v>870000</v>
      </c>
      <c r="H209" s="78"/>
      <c r="I209" s="78">
        <f>SUM(G209:H209)</f>
        <v>870000</v>
      </c>
      <c r="J209" s="78">
        <v>-300000</v>
      </c>
      <c r="K209" s="78">
        <f>SUM(I209:J209)</f>
        <v>570000</v>
      </c>
      <c r="L209" s="78"/>
      <c r="M209" s="78">
        <f>SUM(K209:L209)</f>
        <v>570000</v>
      </c>
      <c r="N209" s="78"/>
      <c r="O209" s="78">
        <f>SUM(M209:N209)</f>
        <v>570000</v>
      </c>
      <c r="P209" s="78"/>
      <c r="Q209" s="78">
        <f>SUM(O209:P209)</f>
        <v>570000</v>
      </c>
      <c r="R209" s="78">
        <v>-150000</v>
      </c>
      <c r="S209" s="78">
        <f>SUM(Q209:R209)</f>
        <v>420000</v>
      </c>
      <c r="T209" s="78"/>
      <c r="U209" s="78">
        <f>SUM(S209:T209)</f>
        <v>420000</v>
      </c>
      <c r="V209" s="78">
        <v>0</v>
      </c>
      <c r="W209" s="78">
        <f>SUM(U209:V209)</f>
        <v>420000</v>
      </c>
      <c r="X209" s="78">
        <v>0</v>
      </c>
      <c r="Y209" s="78">
        <f>SUM(W209:X209)</f>
        <v>420000</v>
      </c>
    </row>
    <row r="210" spans="1:25" s="9" customFormat="1" ht="20.25" customHeight="1">
      <c r="A210" s="36" t="s">
        <v>112</v>
      </c>
      <c r="B210" s="37"/>
      <c r="C210" s="38"/>
      <c r="D210" s="39" t="s">
        <v>113</v>
      </c>
      <c r="E210" s="40">
        <f aca="true" t="shared" si="176" ref="E210:K210">SUM(E211,E240,E254,E258,E285,E292,E297,E308)</f>
        <v>27468430</v>
      </c>
      <c r="F210" s="40">
        <f t="shared" si="176"/>
        <v>-1600000</v>
      </c>
      <c r="G210" s="40">
        <f t="shared" si="176"/>
        <v>25868430</v>
      </c>
      <c r="H210" s="40">
        <f t="shared" si="176"/>
        <v>0</v>
      </c>
      <c r="I210" s="40">
        <f t="shared" si="176"/>
        <v>25868430</v>
      </c>
      <c r="J210" s="40">
        <f t="shared" si="176"/>
        <v>125888</v>
      </c>
      <c r="K210" s="40">
        <f t="shared" si="176"/>
        <v>25994318</v>
      </c>
      <c r="L210" s="40">
        <f aca="true" t="shared" si="177" ref="L210:Q210">SUM(L211,L240,L254,L258,L285,L292,L297,L308)</f>
        <v>0</v>
      </c>
      <c r="M210" s="40">
        <f t="shared" si="177"/>
        <v>25994318</v>
      </c>
      <c r="N210" s="40">
        <f t="shared" si="177"/>
        <v>0</v>
      </c>
      <c r="O210" s="40">
        <f t="shared" si="177"/>
        <v>25994318</v>
      </c>
      <c r="P210" s="40">
        <f t="shared" si="177"/>
        <v>0</v>
      </c>
      <c r="Q210" s="40">
        <f t="shared" si="177"/>
        <v>25994318</v>
      </c>
      <c r="R210" s="40">
        <f aca="true" t="shared" si="178" ref="R210:W210">SUM(R211,R240,R254,R258,R285,R292,R297,R308)</f>
        <v>7600</v>
      </c>
      <c r="S210" s="40">
        <f t="shared" si="178"/>
        <v>26001918</v>
      </c>
      <c r="T210" s="40">
        <f t="shared" si="178"/>
        <v>0</v>
      </c>
      <c r="U210" s="40">
        <f t="shared" si="178"/>
        <v>26001918</v>
      </c>
      <c r="V210" s="40">
        <f t="shared" si="178"/>
        <v>1251</v>
      </c>
      <c r="W210" s="40">
        <f t="shared" si="178"/>
        <v>26003169</v>
      </c>
      <c r="X210" s="40">
        <f>SUM(X211,X240,X254,X258,X285,X292,X297,X308)</f>
        <v>0</v>
      </c>
      <c r="Y210" s="40">
        <f>SUM(Y211,Y240,Y254,Y258,Y285,Y292,Y297,Y308)</f>
        <v>26003169</v>
      </c>
    </row>
    <row r="211" spans="1:25" s="26" customFormat="1" ht="22.5" customHeight="1">
      <c r="A211" s="65"/>
      <c r="B211" s="79" t="s">
        <v>114</v>
      </c>
      <c r="C211" s="83"/>
      <c r="D211" s="41" t="s">
        <v>53</v>
      </c>
      <c r="E211" s="78">
        <f aca="true" t="shared" si="179" ref="E211:K211">SUM(E212:E239)</f>
        <v>13620346</v>
      </c>
      <c r="F211" s="78">
        <f t="shared" si="179"/>
        <v>-1200000</v>
      </c>
      <c r="G211" s="78">
        <f t="shared" si="179"/>
        <v>12420346</v>
      </c>
      <c r="H211" s="78">
        <f t="shared" si="179"/>
        <v>0</v>
      </c>
      <c r="I211" s="78">
        <f t="shared" si="179"/>
        <v>12420346</v>
      </c>
      <c r="J211" s="78">
        <f t="shared" si="179"/>
        <v>82287</v>
      </c>
      <c r="K211" s="78">
        <f t="shared" si="179"/>
        <v>12502633</v>
      </c>
      <c r="L211" s="78">
        <f aca="true" t="shared" si="180" ref="L211:Q211">SUM(L212:L239)</f>
        <v>0</v>
      </c>
      <c r="M211" s="78">
        <f t="shared" si="180"/>
        <v>12502633</v>
      </c>
      <c r="N211" s="78">
        <f t="shared" si="180"/>
        <v>0</v>
      </c>
      <c r="O211" s="78">
        <f t="shared" si="180"/>
        <v>12502633</v>
      </c>
      <c r="P211" s="78">
        <f t="shared" si="180"/>
        <v>0</v>
      </c>
      <c r="Q211" s="78">
        <f t="shared" si="180"/>
        <v>12502633</v>
      </c>
      <c r="R211" s="78">
        <f aca="true" t="shared" si="181" ref="R211:W211">SUM(R212:R239)</f>
        <v>6100</v>
      </c>
      <c r="S211" s="78">
        <f t="shared" si="181"/>
        <v>12508733</v>
      </c>
      <c r="T211" s="78">
        <f t="shared" si="181"/>
        <v>0</v>
      </c>
      <c r="U211" s="78">
        <f t="shared" si="181"/>
        <v>12508733</v>
      </c>
      <c r="V211" s="78">
        <f t="shared" si="181"/>
        <v>931</v>
      </c>
      <c r="W211" s="78">
        <f t="shared" si="181"/>
        <v>12509664</v>
      </c>
      <c r="X211" s="78">
        <f>SUM(X212:X239)</f>
        <v>0</v>
      </c>
      <c r="Y211" s="78">
        <f>SUM(Y212:Y239)</f>
        <v>12509664</v>
      </c>
    </row>
    <row r="212" spans="1:25" s="26" customFormat="1" ht="25.5" customHeight="1">
      <c r="A212" s="65"/>
      <c r="B212" s="79"/>
      <c r="C212" s="83">
        <v>2540</v>
      </c>
      <c r="D212" s="41" t="s">
        <v>190</v>
      </c>
      <c r="E212" s="78">
        <v>447149</v>
      </c>
      <c r="F212" s="78"/>
      <c r="G212" s="78">
        <f aca="true" t="shared" si="182" ref="G212:G281">SUM(E212:F212)</f>
        <v>447149</v>
      </c>
      <c r="H212" s="78"/>
      <c r="I212" s="78">
        <f aca="true" t="shared" si="183" ref="I212:I239">SUM(G212:H212)</f>
        <v>447149</v>
      </c>
      <c r="J212" s="78"/>
      <c r="K212" s="78">
        <f aca="true" t="shared" si="184" ref="K212:K239">SUM(I212:J212)</f>
        <v>447149</v>
      </c>
      <c r="L212" s="78"/>
      <c r="M212" s="78">
        <f aca="true" t="shared" si="185" ref="M212:M239">SUM(K212:L212)</f>
        <v>447149</v>
      </c>
      <c r="N212" s="78"/>
      <c r="O212" s="78">
        <f aca="true" t="shared" si="186" ref="O212:O239">SUM(M212:N212)</f>
        <v>447149</v>
      </c>
      <c r="P212" s="78"/>
      <c r="Q212" s="78">
        <f aca="true" t="shared" si="187" ref="Q212:Q239">SUM(O212:P212)</f>
        <v>447149</v>
      </c>
      <c r="R212" s="78"/>
      <c r="S212" s="78">
        <f aca="true" t="shared" si="188" ref="S212:S239">SUM(Q212:R212)</f>
        <v>447149</v>
      </c>
      <c r="T212" s="78"/>
      <c r="U212" s="78">
        <f aca="true" t="shared" si="189" ref="U212:U239">SUM(S212:T212)</f>
        <v>447149</v>
      </c>
      <c r="V212" s="78"/>
      <c r="W212" s="78">
        <f aca="true" t="shared" si="190" ref="W212:W239">SUM(U212:V212)</f>
        <v>447149</v>
      </c>
      <c r="X212" s="78"/>
      <c r="Y212" s="78">
        <f aca="true" t="shared" si="191" ref="Y212:Y239">SUM(W212:X212)</f>
        <v>447149</v>
      </c>
    </row>
    <row r="213" spans="1:25" s="26" customFormat="1" ht="21" customHeight="1">
      <c r="A213" s="65"/>
      <c r="B213" s="79"/>
      <c r="C213" s="65">
        <v>3020</v>
      </c>
      <c r="D213" s="41" t="s">
        <v>218</v>
      </c>
      <c r="E213" s="78">
        <v>195991</v>
      </c>
      <c r="F213" s="78"/>
      <c r="G213" s="78">
        <f t="shared" si="182"/>
        <v>195991</v>
      </c>
      <c r="H213" s="78"/>
      <c r="I213" s="78">
        <f t="shared" si="183"/>
        <v>195991</v>
      </c>
      <c r="J213" s="78"/>
      <c r="K213" s="78">
        <f t="shared" si="184"/>
        <v>195991</v>
      </c>
      <c r="L213" s="78"/>
      <c r="M213" s="78">
        <f t="shared" si="185"/>
        <v>195991</v>
      </c>
      <c r="N213" s="78"/>
      <c r="O213" s="78">
        <f t="shared" si="186"/>
        <v>195991</v>
      </c>
      <c r="P213" s="78"/>
      <c r="Q213" s="78">
        <f t="shared" si="187"/>
        <v>195991</v>
      </c>
      <c r="R213" s="78"/>
      <c r="S213" s="78">
        <f t="shared" si="188"/>
        <v>195991</v>
      </c>
      <c r="T213" s="78"/>
      <c r="U213" s="78">
        <f t="shared" si="189"/>
        <v>195991</v>
      </c>
      <c r="V213" s="78"/>
      <c r="W213" s="78">
        <f t="shared" si="190"/>
        <v>195991</v>
      </c>
      <c r="X213" s="78"/>
      <c r="Y213" s="78">
        <f t="shared" si="191"/>
        <v>195991</v>
      </c>
    </row>
    <row r="214" spans="1:27" s="26" customFormat="1" ht="21" customHeight="1">
      <c r="A214" s="65"/>
      <c r="B214" s="79"/>
      <c r="C214" s="65">
        <v>4010</v>
      </c>
      <c r="D214" s="41" t="s">
        <v>87</v>
      </c>
      <c r="E214" s="78">
        <v>7107101</v>
      </c>
      <c r="F214" s="78"/>
      <c r="G214" s="78">
        <f t="shared" si="182"/>
        <v>7107101</v>
      </c>
      <c r="H214" s="78"/>
      <c r="I214" s="78">
        <f t="shared" si="183"/>
        <v>7107101</v>
      </c>
      <c r="J214" s="78">
        <v>13926</v>
      </c>
      <c r="K214" s="78">
        <f t="shared" si="184"/>
        <v>7121027</v>
      </c>
      <c r="L214" s="78"/>
      <c r="M214" s="78">
        <f t="shared" si="185"/>
        <v>7121027</v>
      </c>
      <c r="N214" s="78"/>
      <c r="O214" s="78">
        <f t="shared" si="186"/>
        <v>7121027</v>
      </c>
      <c r="P214" s="78"/>
      <c r="Q214" s="78">
        <f t="shared" si="187"/>
        <v>7121027</v>
      </c>
      <c r="R214" s="78"/>
      <c r="S214" s="78">
        <f t="shared" si="188"/>
        <v>7121027</v>
      </c>
      <c r="T214" s="78"/>
      <c r="U214" s="78">
        <f t="shared" si="189"/>
        <v>7121027</v>
      </c>
      <c r="V214" s="78"/>
      <c r="W214" s="78">
        <f t="shared" si="190"/>
        <v>7121027</v>
      </c>
      <c r="X214" s="78"/>
      <c r="Y214" s="78">
        <f t="shared" si="191"/>
        <v>7121027</v>
      </c>
      <c r="Z214" s="117"/>
      <c r="AA214" s="117"/>
    </row>
    <row r="215" spans="1:27" s="26" customFormat="1" ht="21" customHeight="1">
      <c r="A215" s="65"/>
      <c r="B215" s="79"/>
      <c r="C215" s="65">
        <v>4040</v>
      </c>
      <c r="D215" s="41" t="s">
        <v>88</v>
      </c>
      <c r="E215" s="78">
        <v>551652</v>
      </c>
      <c r="F215" s="78"/>
      <c r="G215" s="78">
        <f t="shared" si="182"/>
        <v>551652</v>
      </c>
      <c r="H215" s="78"/>
      <c r="I215" s="78">
        <f t="shared" si="183"/>
        <v>551652</v>
      </c>
      <c r="J215" s="78">
        <v>-18389</v>
      </c>
      <c r="K215" s="78">
        <f t="shared" si="184"/>
        <v>533263</v>
      </c>
      <c r="L215" s="78"/>
      <c r="M215" s="78">
        <f t="shared" si="185"/>
        <v>533263</v>
      </c>
      <c r="N215" s="78"/>
      <c r="O215" s="78">
        <f t="shared" si="186"/>
        <v>533263</v>
      </c>
      <c r="P215" s="78"/>
      <c r="Q215" s="78">
        <f t="shared" si="187"/>
        <v>533263</v>
      </c>
      <c r="R215" s="78"/>
      <c r="S215" s="78">
        <f t="shared" si="188"/>
        <v>533263</v>
      </c>
      <c r="T215" s="78"/>
      <c r="U215" s="78">
        <f t="shared" si="189"/>
        <v>533263</v>
      </c>
      <c r="V215" s="78"/>
      <c r="W215" s="78">
        <f t="shared" si="190"/>
        <v>533263</v>
      </c>
      <c r="X215" s="78"/>
      <c r="Y215" s="78">
        <f t="shared" si="191"/>
        <v>533263</v>
      </c>
      <c r="Z215" s="117"/>
      <c r="AA215" s="117"/>
    </row>
    <row r="216" spans="1:27" s="26" customFormat="1" ht="21" customHeight="1">
      <c r="A216" s="65"/>
      <c r="B216" s="79"/>
      <c r="C216" s="65">
        <v>4110</v>
      </c>
      <c r="D216" s="41" t="s">
        <v>89</v>
      </c>
      <c r="E216" s="78">
        <v>1159019</v>
      </c>
      <c r="F216" s="78"/>
      <c r="G216" s="78">
        <f t="shared" si="182"/>
        <v>1159019</v>
      </c>
      <c r="H216" s="78"/>
      <c r="I216" s="78">
        <f t="shared" si="183"/>
        <v>1159019</v>
      </c>
      <c r="J216" s="78"/>
      <c r="K216" s="78">
        <f t="shared" si="184"/>
        <v>1159019</v>
      </c>
      <c r="L216" s="78"/>
      <c r="M216" s="78">
        <f t="shared" si="185"/>
        <v>1159019</v>
      </c>
      <c r="N216" s="78"/>
      <c r="O216" s="78">
        <f t="shared" si="186"/>
        <v>1159019</v>
      </c>
      <c r="P216" s="78"/>
      <c r="Q216" s="78">
        <f t="shared" si="187"/>
        <v>1159019</v>
      </c>
      <c r="R216" s="78"/>
      <c r="S216" s="78">
        <f t="shared" si="188"/>
        <v>1159019</v>
      </c>
      <c r="T216" s="78"/>
      <c r="U216" s="78">
        <f t="shared" si="189"/>
        <v>1159019</v>
      </c>
      <c r="V216" s="78"/>
      <c r="W216" s="78">
        <f t="shared" si="190"/>
        <v>1159019</v>
      </c>
      <c r="X216" s="78"/>
      <c r="Y216" s="78">
        <f t="shared" si="191"/>
        <v>1159019</v>
      </c>
      <c r="Z216" s="117"/>
      <c r="AA216" s="117"/>
    </row>
    <row r="217" spans="1:27" s="26" customFormat="1" ht="21" customHeight="1">
      <c r="A217" s="65"/>
      <c r="B217" s="79"/>
      <c r="C217" s="65">
        <v>4120</v>
      </c>
      <c r="D217" s="41" t="s">
        <v>90</v>
      </c>
      <c r="E217" s="78">
        <v>186008</v>
      </c>
      <c r="F217" s="78"/>
      <c r="G217" s="78">
        <f t="shared" si="182"/>
        <v>186008</v>
      </c>
      <c r="H217" s="78"/>
      <c r="I217" s="78">
        <f t="shared" si="183"/>
        <v>186008</v>
      </c>
      <c r="J217" s="78"/>
      <c r="K217" s="78">
        <f t="shared" si="184"/>
        <v>186008</v>
      </c>
      <c r="L217" s="78"/>
      <c r="M217" s="78">
        <f t="shared" si="185"/>
        <v>186008</v>
      </c>
      <c r="N217" s="78"/>
      <c r="O217" s="78">
        <f t="shared" si="186"/>
        <v>186008</v>
      </c>
      <c r="P217" s="78"/>
      <c r="Q217" s="78">
        <f t="shared" si="187"/>
        <v>186008</v>
      </c>
      <c r="R217" s="78"/>
      <c r="S217" s="78">
        <f t="shared" si="188"/>
        <v>186008</v>
      </c>
      <c r="T217" s="78"/>
      <c r="U217" s="78">
        <f t="shared" si="189"/>
        <v>186008</v>
      </c>
      <c r="V217" s="78"/>
      <c r="W217" s="78">
        <f t="shared" si="190"/>
        <v>186008</v>
      </c>
      <c r="X217" s="78"/>
      <c r="Y217" s="78">
        <f t="shared" si="191"/>
        <v>186008</v>
      </c>
      <c r="Z217" s="117"/>
      <c r="AA217" s="117"/>
    </row>
    <row r="218" spans="1:27" s="26" customFormat="1" ht="21" customHeight="1">
      <c r="A218" s="65"/>
      <c r="B218" s="79"/>
      <c r="C218" s="65">
        <v>4170</v>
      </c>
      <c r="D218" s="41" t="s">
        <v>202</v>
      </c>
      <c r="E218" s="78">
        <v>13100</v>
      </c>
      <c r="F218" s="78"/>
      <c r="G218" s="78">
        <f t="shared" si="182"/>
        <v>13100</v>
      </c>
      <c r="H218" s="78"/>
      <c r="I218" s="78">
        <f t="shared" si="183"/>
        <v>13100</v>
      </c>
      <c r="J218" s="78"/>
      <c r="K218" s="78">
        <f t="shared" si="184"/>
        <v>13100</v>
      </c>
      <c r="L218" s="78">
        <v>1000</v>
      </c>
      <c r="M218" s="78">
        <f t="shared" si="185"/>
        <v>14100</v>
      </c>
      <c r="N218" s="78"/>
      <c r="O218" s="78">
        <f t="shared" si="186"/>
        <v>14100</v>
      </c>
      <c r="P218" s="78"/>
      <c r="Q218" s="78">
        <f t="shared" si="187"/>
        <v>14100</v>
      </c>
      <c r="R218" s="78"/>
      <c r="S218" s="78">
        <f t="shared" si="188"/>
        <v>14100</v>
      </c>
      <c r="T218" s="78"/>
      <c r="U218" s="78">
        <f t="shared" si="189"/>
        <v>14100</v>
      </c>
      <c r="V218" s="78"/>
      <c r="W218" s="78">
        <f t="shared" si="190"/>
        <v>14100</v>
      </c>
      <c r="X218" s="78"/>
      <c r="Y218" s="78">
        <f t="shared" si="191"/>
        <v>14100</v>
      </c>
      <c r="Z218" s="117"/>
      <c r="AA218" s="117"/>
    </row>
    <row r="219" spans="1:25" s="26" customFormat="1" ht="21" customHeight="1">
      <c r="A219" s="65"/>
      <c r="B219" s="79"/>
      <c r="C219" s="65">
        <v>4210</v>
      </c>
      <c r="D219" s="41" t="s">
        <v>95</v>
      </c>
      <c r="E219" s="78">
        <f>6800+450205</f>
        <v>457005</v>
      </c>
      <c r="F219" s="78"/>
      <c r="G219" s="78">
        <f t="shared" si="182"/>
        <v>457005</v>
      </c>
      <c r="H219" s="78"/>
      <c r="I219" s="78">
        <f t="shared" si="183"/>
        <v>457005</v>
      </c>
      <c r="J219" s="78">
        <f>1750-2700</f>
        <v>-950</v>
      </c>
      <c r="K219" s="78">
        <f t="shared" si="184"/>
        <v>456055</v>
      </c>
      <c r="L219" s="78"/>
      <c r="M219" s="78">
        <f t="shared" si="185"/>
        <v>456055</v>
      </c>
      <c r="N219" s="78">
        <v>-8704</v>
      </c>
      <c r="O219" s="78">
        <f t="shared" si="186"/>
        <v>447351</v>
      </c>
      <c r="P219" s="78"/>
      <c r="Q219" s="78">
        <f t="shared" si="187"/>
        <v>447351</v>
      </c>
      <c r="R219" s="78">
        <v>-20</v>
      </c>
      <c r="S219" s="78">
        <f t="shared" si="188"/>
        <v>447331</v>
      </c>
      <c r="T219" s="78"/>
      <c r="U219" s="78">
        <f t="shared" si="189"/>
        <v>447331</v>
      </c>
      <c r="V219" s="78"/>
      <c r="W219" s="78">
        <f t="shared" si="190"/>
        <v>447331</v>
      </c>
      <c r="X219" s="78"/>
      <c r="Y219" s="78">
        <f t="shared" si="191"/>
        <v>447331</v>
      </c>
    </row>
    <row r="220" spans="1:25" s="26" customFormat="1" ht="24">
      <c r="A220" s="65"/>
      <c r="B220" s="79"/>
      <c r="C220" s="83">
        <v>4230</v>
      </c>
      <c r="D220" s="41" t="s">
        <v>270</v>
      </c>
      <c r="E220" s="78">
        <v>2000</v>
      </c>
      <c r="F220" s="78"/>
      <c r="G220" s="78">
        <f t="shared" si="182"/>
        <v>2000</v>
      </c>
      <c r="H220" s="78"/>
      <c r="I220" s="78">
        <f t="shared" si="183"/>
        <v>2000</v>
      </c>
      <c r="J220" s="78"/>
      <c r="K220" s="78">
        <f t="shared" si="184"/>
        <v>2000</v>
      </c>
      <c r="L220" s="78"/>
      <c r="M220" s="78">
        <f t="shared" si="185"/>
        <v>2000</v>
      </c>
      <c r="N220" s="78"/>
      <c r="O220" s="78">
        <f t="shared" si="186"/>
        <v>2000</v>
      </c>
      <c r="P220" s="78"/>
      <c r="Q220" s="78">
        <f t="shared" si="187"/>
        <v>2000</v>
      </c>
      <c r="R220" s="78"/>
      <c r="S220" s="78">
        <f t="shared" si="188"/>
        <v>2000</v>
      </c>
      <c r="T220" s="78"/>
      <c r="U220" s="78">
        <f t="shared" si="189"/>
        <v>2000</v>
      </c>
      <c r="V220" s="78"/>
      <c r="W220" s="78">
        <f t="shared" si="190"/>
        <v>2000</v>
      </c>
      <c r="X220" s="78"/>
      <c r="Y220" s="78">
        <f t="shared" si="191"/>
        <v>2000</v>
      </c>
    </row>
    <row r="221" spans="1:25" s="26" customFormat="1" ht="24">
      <c r="A221" s="65"/>
      <c r="B221" s="79"/>
      <c r="C221" s="83">
        <v>4240</v>
      </c>
      <c r="D221" s="41" t="s">
        <v>126</v>
      </c>
      <c r="E221" s="78">
        <f>500+84060</f>
        <v>84560</v>
      </c>
      <c r="F221" s="78"/>
      <c r="G221" s="78">
        <f t="shared" si="182"/>
        <v>84560</v>
      </c>
      <c r="H221" s="78"/>
      <c r="I221" s="78">
        <f t="shared" si="183"/>
        <v>84560</v>
      </c>
      <c r="J221" s="78">
        <v>1700</v>
      </c>
      <c r="K221" s="78">
        <f t="shared" si="184"/>
        <v>86260</v>
      </c>
      <c r="L221" s="78"/>
      <c r="M221" s="78">
        <f t="shared" si="185"/>
        <v>86260</v>
      </c>
      <c r="N221" s="78">
        <v>7685</v>
      </c>
      <c r="O221" s="78">
        <f t="shared" si="186"/>
        <v>93945</v>
      </c>
      <c r="P221" s="78"/>
      <c r="Q221" s="78">
        <f t="shared" si="187"/>
        <v>93945</v>
      </c>
      <c r="R221" s="78"/>
      <c r="S221" s="78">
        <f t="shared" si="188"/>
        <v>93945</v>
      </c>
      <c r="T221" s="78"/>
      <c r="U221" s="78">
        <f t="shared" si="189"/>
        <v>93945</v>
      </c>
      <c r="V221" s="78">
        <v>331</v>
      </c>
      <c r="W221" s="78">
        <f t="shared" si="190"/>
        <v>94276</v>
      </c>
      <c r="X221" s="78"/>
      <c r="Y221" s="78">
        <f t="shared" si="191"/>
        <v>94276</v>
      </c>
    </row>
    <row r="222" spans="1:25" s="26" customFormat="1" ht="21" customHeight="1">
      <c r="A222" s="65"/>
      <c r="B222" s="79"/>
      <c r="C222" s="65">
        <v>4260</v>
      </c>
      <c r="D222" s="41" t="s">
        <v>98</v>
      </c>
      <c r="E222" s="78">
        <v>505430</v>
      </c>
      <c r="F222" s="78"/>
      <c r="G222" s="78">
        <f t="shared" si="182"/>
        <v>505430</v>
      </c>
      <c r="H222" s="78"/>
      <c r="I222" s="78">
        <f t="shared" si="183"/>
        <v>505430</v>
      </c>
      <c r="J222" s="78"/>
      <c r="K222" s="78">
        <f t="shared" si="184"/>
        <v>505430</v>
      </c>
      <c r="L222" s="78"/>
      <c r="M222" s="78">
        <f t="shared" si="185"/>
        <v>505430</v>
      </c>
      <c r="N222" s="78"/>
      <c r="O222" s="78">
        <f t="shared" si="186"/>
        <v>505430</v>
      </c>
      <c r="P222" s="78"/>
      <c r="Q222" s="78">
        <f t="shared" si="187"/>
        <v>505430</v>
      </c>
      <c r="R222" s="78">
        <v>6100</v>
      </c>
      <c r="S222" s="78">
        <f t="shared" si="188"/>
        <v>511530</v>
      </c>
      <c r="T222" s="78"/>
      <c r="U222" s="78">
        <f t="shared" si="189"/>
        <v>511530</v>
      </c>
      <c r="V222" s="78">
        <v>600</v>
      </c>
      <c r="W222" s="78">
        <f t="shared" si="190"/>
        <v>512130</v>
      </c>
      <c r="X222" s="78"/>
      <c r="Y222" s="78">
        <f t="shared" si="191"/>
        <v>512130</v>
      </c>
    </row>
    <row r="223" spans="1:25" s="26" customFormat="1" ht="21" customHeight="1">
      <c r="A223" s="65"/>
      <c r="B223" s="79"/>
      <c r="C223" s="65">
        <v>4270</v>
      </c>
      <c r="D223" s="41" t="s">
        <v>81</v>
      </c>
      <c r="E223" s="78">
        <v>153158</v>
      </c>
      <c r="F223" s="78"/>
      <c r="G223" s="78">
        <f t="shared" si="182"/>
        <v>153158</v>
      </c>
      <c r="H223" s="78"/>
      <c r="I223" s="78">
        <f t="shared" si="183"/>
        <v>153158</v>
      </c>
      <c r="J223" s="78">
        <v>85000</v>
      </c>
      <c r="K223" s="78">
        <f t="shared" si="184"/>
        <v>238158</v>
      </c>
      <c r="L223" s="78">
        <v>-1000</v>
      </c>
      <c r="M223" s="78">
        <f t="shared" si="185"/>
        <v>237158</v>
      </c>
      <c r="N223" s="78"/>
      <c r="O223" s="78">
        <f t="shared" si="186"/>
        <v>237158</v>
      </c>
      <c r="P223" s="78"/>
      <c r="Q223" s="78">
        <f t="shared" si="187"/>
        <v>237158</v>
      </c>
      <c r="R223" s="78"/>
      <c r="S223" s="78">
        <f t="shared" si="188"/>
        <v>237158</v>
      </c>
      <c r="T223" s="78"/>
      <c r="U223" s="78">
        <f t="shared" si="189"/>
        <v>237158</v>
      </c>
      <c r="V223" s="78"/>
      <c r="W223" s="78">
        <f t="shared" si="190"/>
        <v>237158</v>
      </c>
      <c r="X223" s="78"/>
      <c r="Y223" s="78">
        <f t="shared" si="191"/>
        <v>237158</v>
      </c>
    </row>
    <row r="224" spans="1:25" s="26" customFormat="1" ht="21" customHeight="1">
      <c r="A224" s="65"/>
      <c r="B224" s="79"/>
      <c r="C224" s="65">
        <v>4280</v>
      </c>
      <c r="D224" s="41" t="s">
        <v>207</v>
      </c>
      <c r="E224" s="78">
        <v>18900</v>
      </c>
      <c r="F224" s="78"/>
      <c r="G224" s="78">
        <f t="shared" si="182"/>
        <v>18900</v>
      </c>
      <c r="H224" s="78"/>
      <c r="I224" s="78">
        <f t="shared" si="183"/>
        <v>18900</v>
      </c>
      <c r="J224" s="78"/>
      <c r="K224" s="78">
        <f t="shared" si="184"/>
        <v>18900</v>
      </c>
      <c r="L224" s="78"/>
      <c r="M224" s="78">
        <f t="shared" si="185"/>
        <v>18900</v>
      </c>
      <c r="N224" s="78"/>
      <c r="O224" s="78">
        <f t="shared" si="186"/>
        <v>18900</v>
      </c>
      <c r="P224" s="78"/>
      <c r="Q224" s="78">
        <f t="shared" si="187"/>
        <v>18900</v>
      </c>
      <c r="R224" s="78"/>
      <c r="S224" s="78">
        <f t="shared" si="188"/>
        <v>18900</v>
      </c>
      <c r="T224" s="78"/>
      <c r="U224" s="78">
        <f t="shared" si="189"/>
        <v>18900</v>
      </c>
      <c r="V224" s="78"/>
      <c r="W224" s="78">
        <f t="shared" si="190"/>
        <v>18900</v>
      </c>
      <c r="X224" s="78"/>
      <c r="Y224" s="78">
        <f t="shared" si="191"/>
        <v>18900</v>
      </c>
    </row>
    <row r="225" spans="1:25" s="26" customFormat="1" ht="21" customHeight="1">
      <c r="A225" s="65"/>
      <c r="B225" s="79"/>
      <c r="C225" s="65">
        <v>4300</v>
      </c>
      <c r="D225" s="41" t="s">
        <v>82</v>
      </c>
      <c r="E225" s="78">
        <v>110748</v>
      </c>
      <c r="F225" s="78"/>
      <c r="G225" s="78">
        <f t="shared" si="182"/>
        <v>110748</v>
      </c>
      <c r="H225" s="78"/>
      <c r="I225" s="78">
        <f t="shared" si="183"/>
        <v>110748</v>
      </c>
      <c r="J225" s="78">
        <v>1000</v>
      </c>
      <c r="K225" s="78">
        <f t="shared" si="184"/>
        <v>111748</v>
      </c>
      <c r="L225" s="78"/>
      <c r="M225" s="78">
        <f t="shared" si="185"/>
        <v>111748</v>
      </c>
      <c r="N225" s="78">
        <v>-1000</v>
      </c>
      <c r="O225" s="78">
        <f t="shared" si="186"/>
        <v>110748</v>
      </c>
      <c r="P225" s="78"/>
      <c r="Q225" s="78">
        <f t="shared" si="187"/>
        <v>110748</v>
      </c>
      <c r="R225" s="78"/>
      <c r="S225" s="78">
        <f t="shared" si="188"/>
        <v>110748</v>
      </c>
      <c r="T225" s="78"/>
      <c r="U225" s="78">
        <f t="shared" si="189"/>
        <v>110748</v>
      </c>
      <c r="V225" s="78"/>
      <c r="W225" s="78">
        <f t="shared" si="190"/>
        <v>110748</v>
      </c>
      <c r="X225" s="78"/>
      <c r="Y225" s="78">
        <f t="shared" si="191"/>
        <v>110748</v>
      </c>
    </row>
    <row r="226" spans="1:25" s="26" customFormat="1" ht="21" customHeight="1">
      <c r="A226" s="65"/>
      <c r="B226" s="79"/>
      <c r="C226" s="65">
        <v>4350</v>
      </c>
      <c r="D226" s="41" t="s">
        <v>215</v>
      </c>
      <c r="E226" s="78">
        <v>4050</v>
      </c>
      <c r="F226" s="78"/>
      <c r="G226" s="78">
        <f t="shared" si="182"/>
        <v>4050</v>
      </c>
      <c r="H226" s="78"/>
      <c r="I226" s="78">
        <f t="shared" si="183"/>
        <v>4050</v>
      </c>
      <c r="J226" s="78"/>
      <c r="K226" s="78">
        <f t="shared" si="184"/>
        <v>4050</v>
      </c>
      <c r="L226" s="78"/>
      <c r="M226" s="78">
        <f t="shared" si="185"/>
        <v>4050</v>
      </c>
      <c r="N226" s="78">
        <v>200</v>
      </c>
      <c r="O226" s="78">
        <f t="shared" si="186"/>
        <v>4250</v>
      </c>
      <c r="P226" s="78"/>
      <c r="Q226" s="78">
        <f t="shared" si="187"/>
        <v>4250</v>
      </c>
      <c r="R226" s="78"/>
      <c r="S226" s="78">
        <f t="shared" si="188"/>
        <v>4250</v>
      </c>
      <c r="T226" s="78"/>
      <c r="U226" s="78">
        <f t="shared" si="189"/>
        <v>4250</v>
      </c>
      <c r="V226" s="78"/>
      <c r="W226" s="78">
        <f t="shared" si="190"/>
        <v>4250</v>
      </c>
      <c r="X226" s="78"/>
      <c r="Y226" s="78">
        <f t="shared" si="191"/>
        <v>4250</v>
      </c>
    </row>
    <row r="227" spans="1:25" s="26" customFormat="1" ht="27" customHeight="1">
      <c r="A227" s="65"/>
      <c r="B227" s="79"/>
      <c r="C227" s="65">
        <v>4360</v>
      </c>
      <c r="D227" s="41" t="s">
        <v>238</v>
      </c>
      <c r="E227" s="78"/>
      <c r="F227" s="78"/>
      <c r="G227" s="78"/>
      <c r="H227" s="78"/>
      <c r="I227" s="78">
        <v>0</v>
      </c>
      <c r="J227" s="78">
        <v>370</v>
      </c>
      <c r="K227" s="78">
        <f t="shared" si="184"/>
        <v>370</v>
      </c>
      <c r="L227" s="78"/>
      <c r="M227" s="78">
        <f t="shared" si="185"/>
        <v>370</v>
      </c>
      <c r="N227" s="78"/>
      <c r="O227" s="78">
        <f t="shared" si="186"/>
        <v>370</v>
      </c>
      <c r="P227" s="78"/>
      <c r="Q227" s="78">
        <f t="shared" si="187"/>
        <v>370</v>
      </c>
      <c r="R227" s="78"/>
      <c r="S227" s="78">
        <f t="shared" si="188"/>
        <v>370</v>
      </c>
      <c r="T227" s="78"/>
      <c r="U227" s="78">
        <f t="shared" si="189"/>
        <v>370</v>
      </c>
      <c r="V227" s="78"/>
      <c r="W227" s="78">
        <f t="shared" si="190"/>
        <v>370</v>
      </c>
      <c r="X227" s="78"/>
      <c r="Y227" s="78">
        <f t="shared" si="191"/>
        <v>370</v>
      </c>
    </row>
    <row r="228" spans="1:25" s="26" customFormat="1" ht="24">
      <c r="A228" s="65"/>
      <c r="B228" s="79"/>
      <c r="C228" s="65">
        <v>4370</v>
      </c>
      <c r="D228" s="14" t="s">
        <v>235</v>
      </c>
      <c r="E228" s="78">
        <v>20770</v>
      </c>
      <c r="F228" s="78"/>
      <c r="G228" s="78">
        <f t="shared" si="182"/>
        <v>20770</v>
      </c>
      <c r="H228" s="78"/>
      <c r="I228" s="78">
        <f t="shared" si="183"/>
        <v>20770</v>
      </c>
      <c r="J228" s="78">
        <v>-370</v>
      </c>
      <c r="K228" s="78">
        <f t="shared" si="184"/>
        <v>20400</v>
      </c>
      <c r="L228" s="78"/>
      <c r="M228" s="78">
        <f t="shared" si="185"/>
        <v>20400</v>
      </c>
      <c r="N228" s="78">
        <v>1000</v>
      </c>
      <c r="O228" s="78">
        <f t="shared" si="186"/>
        <v>21400</v>
      </c>
      <c r="P228" s="78"/>
      <c r="Q228" s="78">
        <f t="shared" si="187"/>
        <v>21400</v>
      </c>
      <c r="R228" s="78"/>
      <c r="S228" s="78">
        <f t="shared" si="188"/>
        <v>21400</v>
      </c>
      <c r="T228" s="78"/>
      <c r="U228" s="78">
        <f t="shared" si="189"/>
        <v>21400</v>
      </c>
      <c r="V228" s="78"/>
      <c r="W228" s="78">
        <f t="shared" si="190"/>
        <v>21400</v>
      </c>
      <c r="X228" s="78"/>
      <c r="Y228" s="78">
        <f t="shared" si="191"/>
        <v>21400</v>
      </c>
    </row>
    <row r="229" spans="1:25" s="26" customFormat="1" ht="24">
      <c r="A229" s="65"/>
      <c r="B229" s="79"/>
      <c r="C229" s="65">
        <v>4390</v>
      </c>
      <c r="D229" s="41" t="s">
        <v>289</v>
      </c>
      <c r="E229" s="78">
        <v>5400</v>
      </c>
      <c r="F229" s="78"/>
      <c r="G229" s="78">
        <f t="shared" si="182"/>
        <v>5400</v>
      </c>
      <c r="H229" s="78"/>
      <c r="I229" s="78">
        <f t="shared" si="183"/>
        <v>5400</v>
      </c>
      <c r="J229" s="78"/>
      <c r="K229" s="78">
        <f t="shared" si="184"/>
        <v>5400</v>
      </c>
      <c r="L229" s="78"/>
      <c r="M229" s="78">
        <f t="shared" si="185"/>
        <v>5400</v>
      </c>
      <c r="N229" s="78"/>
      <c r="O229" s="78">
        <f t="shared" si="186"/>
        <v>5400</v>
      </c>
      <c r="P229" s="78"/>
      <c r="Q229" s="78">
        <f t="shared" si="187"/>
        <v>5400</v>
      </c>
      <c r="R229" s="78"/>
      <c r="S229" s="78">
        <f t="shared" si="188"/>
        <v>5400</v>
      </c>
      <c r="T229" s="78"/>
      <c r="U229" s="78">
        <f t="shared" si="189"/>
        <v>5400</v>
      </c>
      <c r="V229" s="78"/>
      <c r="W229" s="78">
        <f t="shared" si="190"/>
        <v>5400</v>
      </c>
      <c r="X229" s="78"/>
      <c r="Y229" s="78">
        <f t="shared" si="191"/>
        <v>5400</v>
      </c>
    </row>
    <row r="230" spans="1:25" s="26" customFormat="1" ht="21" customHeight="1">
      <c r="A230" s="65"/>
      <c r="B230" s="79"/>
      <c r="C230" s="65">
        <v>4410</v>
      </c>
      <c r="D230" s="41" t="s">
        <v>93</v>
      </c>
      <c r="E230" s="78">
        <v>18780</v>
      </c>
      <c r="F230" s="78"/>
      <c r="G230" s="78">
        <f t="shared" si="182"/>
        <v>18780</v>
      </c>
      <c r="H230" s="78"/>
      <c r="I230" s="78">
        <f t="shared" si="183"/>
        <v>18780</v>
      </c>
      <c r="J230" s="78"/>
      <c r="K230" s="78">
        <f t="shared" si="184"/>
        <v>18780</v>
      </c>
      <c r="L230" s="78"/>
      <c r="M230" s="78">
        <f t="shared" si="185"/>
        <v>18780</v>
      </c>
      <c r="N230" s="78"/>
      <c r="O230" s="78">
        <f t="shared" si="186"/>
        <v>18780</v>
      </c>
      <c r="P230" s="78"/>
      <c r="Q230" s="78">
        <f t="shared" si="187"/>
        <v>18780</v>
      </c>
      <c r="R230" s="78"/>
      <c r="S230" s="78">
        <f t="shared" si="188"/>
        <v>18780</v>
      </c>
      <c r="T230" s="78"/>
      <c r="U230" s="78">
        <f t="shared" si="189"/>
        <v>18780</v>
      </c>
      <c r="V230" s="78">
        <v>-283</v>
      </c>
      <c r="W230" s="78">
        <f t="shared" si="190"/>
        <v>18497</v>
      </c>
      <c r="X230" s="78"/>
      <c r="Y230" s="78">
        <f t="shared" si="191"/>
        <v>18497</v>
      </c>
    </row>
    <row r="231" spans="1:25" s="26" customFormat="1" ht="21" customHeight="1">
      <c r="A231" s="65"/>
      <c r="B231" s="79"/>
      <c r="C231" s="65">
        <v>4420</v>
      </c>
      <c r="D231" s="41" t="s">
        <v>96</v>
      </c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>
        <v>0</v>
      </c>
      <c r="V231" s="78">
        <v>283</v>
      </c>
      <c r="W231" s="78">
        <f t="shared" si="190"/>
        <v>283</v>
      </c>
      <c r="X231" s="78"/>
      <c r="Y231" s="78">
        <f t="shared" si="191"/>
        <v>283</v>
      </c>
    </row>
    <row r="232" spans="1:25" s="26" customFormat="1" ht="21" customHeight="1">
      <c r="A232" s="65"/>
      <c r="B232" s="79"/>
      <c r="C232" s="68">
        <v>4430</v>
      </c>
      <c r="D232" s="41" t="s">
        <v>97</v>
      </c>
      <c r="E232" s="78">
        <v>8100</v>
      </c>
      <c r="F232" s="78"/>
      <c r="G232" s="78">
        <f t="shared" si="182"/>
        <v>8100</v>
      </c>
      <c r="H232" s="78"/>
      <c r="I232" s="78">
        <f t="shared" si="183"/>
        <v>8100</v>
      </c>
      <c r="J232" s="78"/>
      <c r="K232" s="78">
        <f t="shared" si="184"/>
        <v>8100</v>
      </c>
      <c r="L232" s="78">
        <f>1270+1500+580</f>
        <v>3350</v>
      </c>
      <c r="M232" s="78">
        <f t="shared" si="185"/>
        <v>11450</v>
      </c>
      <c r="N232" s="78">
        <v>800</v>
      </c>
      <c r="O232" s="78">
        <f t="shared" si="186"/>
        <v>12250</v>
      </c>
      <c r="P232" s="78"/>
      <c r="Q232" s="78">
        <f t="shared" si="187"/>
        <v>12250</v>
      </c>
      <c r="R232" s="78"/>
      <c r="S232" s="78">
        <f t="shared" si="188"/>
        <v>12250</v>
      </c>
      <c r="T232" s="78"/>
      <c r="U232" s="78">
        <f t="shared" si="189"/>
        <v>12250</v>
      </c>
      <c r="V232" s="78"/>
      <c r="W232" s="78">
        <f t="shared" si="190"/>
        <v>12250</v>
      </c>
      <c r="X232" s="78"/>
      <c r="Y232" s="78">
        <f t="shared" si="191"/>
        <v>12250</v>
      </c>
    </row>
    <row r="233" spans="1:25" s="26" customFormat="1" ht="24">
      <c r="A233" s="65"/>
      <c r="B233" s="79"/>
      <c r="C233" s="68">
        <v>4440</v>
      </c>
      <c r="D233" s="41" t="s">
        <v>91</v>
      </c>
      <c r="E233" s="78">
        <v>414975</v>
      </c>
      <c r="F233" s="78"/>
      <c r="G233" s="78">
        <f t="shared" si="182"/>
        <v>414975</v>
      </c>
      <c r="H233" s="78"/>
      <c r="I233" s="78">
        <f t="shared" si="183"/>
        <v>414975</v>
      </c>
      <c r="J233" s="78"/>
      <c r="K233" s="78">
        <f t="shared" si="184"/>
        <v>414975</v>
      </c>
      <c r="L233" s="78"/>
      <c r="M233" s="78">
        <f t="shared" si="185"/>
        <v>414975</v>
      </c>
      <c r="N233" s="78"/>
      <c r="O233" s="78">
        <f t="shared" si="186"/>
        <v>414975</v>
      </c>
      <c r="P233" s="78"/>
      <c r="Q233" s="78">
        <f t="shared" si="187"/>
        <v>414975</v>
      </c>
      <c r="R233" s="78"/>
      <c r="S233" s="78">
        <f t="shared" si="188"/>
        <v>414975</v>
      </c>
      <c r="T233" s="78"/>
      <c r="U233" s="78">
        <f t="shared" si="189"/>
        <v>414975</v>
      </c>
      <c r="V233" s="78"/>
      <c r="W233" s="78">
        <f t="shared" si="190"/>
        <v>414975</v>
      </c>
      <c r="X233" s="78"/>
      <c r="Y233" s="78">
        <f t="shared" si="191"/>
        <v>414975</v>
      </c>
    </row>
    <row r="234" spans="1:25" s="26" customFormat="1" ht="22.5" customHeight="1">
      <c r="A234" s="65"/>
      <c r="B234" s="79"/>
      <c r="C234" s="68">
        <v>4570</v>
      </c>
      <c r="D234" s="41" t="s">
        <v>437</v>
      </c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>
        <v>0</v>
      </c>
      <c r="R234" s="78">
        <f>19+20</f>
        <v>39</v>
      </c>
      <c r="S234" s="78">
        <f t="shared" si="188"/>
        <v>39</v>
      </c>
      <c r="T234" s="78"/>
      <c r="U234" s="78">
        <f t="shared" si="189"/>
        <v>39</v>
      </c>
      <c r="V234" s="78"/>
      <c r="W234" s="78">
        <f t="shared" si="190"/>
        <v>39</v>
      </c>
      <c r="X234" s="78"/>
      <c r="Y234" s="78">
        <f t="shared" si="191"/>
        <v>39</v>
      </c>
    </row>
    <row r="235" spans="1:25" s="26" customFormat="1" ht="21" customHeight="1">
      <c r="A235" s="65"/>
      <c r="B235" s="79"/>
      <c r="C235" s="68">
        <v>4580</v>
      </c>
      <c r="D235" s="41" t="s">
        <v>11</v>
      </c>
      <c r="E235" s="78"/>
      <c r="F235" s="78"/>
      <c r="G235" s="78"/>
      <c r="H235" s="78"/>
      <c r="I235" s="78"/>
      <c r="J235" s="78"/>
      <c r="K235" s="78"/>
      <c r="L235" s="78"/>
      <c r="M235" s="78">
        <v>0</v>
      </c>
      <c r="N235" s="78">
        <v>19</v>
      </c>
      <c r="O235" s="78">
        <f t="shared" si="186"/>
        <v>19</v>
      </c>
      <c r="P235" s="78"/>
      <c r="Q235" s="78">
        <f t="shared" si="187"/>
        <v>19</v>
      </c>
      <c r="R235" s="78">
        <v>-19</v>
      </c>
      <c r="S235" s="78">
        <f t="shared" si="188"/>
        <v>0</v>
      </c>
      <c r="T235" s="78"/>
      <c r="U235" s="78">
        <f t="shared" si="189"/>
        <v>0</v>
      </c>
      <c r="V235" s="78"/>
      <c r="W235" s="78">
        <f t="shared" si="190"/>
        <v>0</v>
      </c>
      <c r="X235" s="78"/>
      <c r="Y235" s="78">
        <f t="shared" si="191"/>
        <v>0</v>
      </c>
    </row>
    <row r="236" spans="1:25" s="26" customFormat="1" ht="24">
      <c r="A236" s="65"/>
      <c r="B236" s="79"/>
      <c r="C236" s="68">
        <v>4700</v>
      </c>
      <c r="D236" s="41" t="s">
        <v>272</v>
      </c>
      <c r="E236" s="78">
        <v>8860</v>
      </c>
      <c r="F236" s="78"/>
      <c r="G236" s="78">
        <f t="shared" si="182"/>
        <v>8860</v>
      </c>
      <c r="H236" s="78"/>
      <c r="I236" s="78">
        <f t="shared" si="183"/>
        <v>8860</v>
      </c>
      <c r="J236" s="78"/>
      <c r="K236" s="78">
        <f t="shared" si="184"/>
        <v>8860</v>
      </c>
      <c r="L236" s="78"/>
      <c r="M236" s="78">
        <f t="shared" si="185"/>
        <v>8860</v>
      </c>
      <c r="N236" s="78"/>
      <c r="O236" s="78">
        <f t="shared" si="186"/>
        <v>8860</v>
      </c>
      <c r="P236" s="78"/>
      <c r="Q236" s="78">
        <f t="shared" si="187"/>
        <v>8860</v>
      </c>
      <c r="R236" s="78"/>
      <c r="S236" s="78">
        <f t="shared" si="188"/>
        <v>8860</v>
      </c>
      <c r="T236" s="78"/>
      <c r="U236" s="78">
        <f t="shared" si="189"/>
        <v>8860</v>
      </c>
      <c r="V236" s="78"/>
      <c r="W236" s="78">
        <f t="shared" si="190"/>
        <v>8860</v>
      </c>
      <c r="X236" s="78"/>
      <c r="Y236" s="78">
        <f t="shared" si="191"/>
        <v>8860</v>
      </c>
    </row>
    <row r="237" spans="1:25" s="26" customFormat="1" ht="26.25" customHeight="1">
      <c r="A237" s="65"/>
      <c r="B237" s="79"/>
      <c r="C237" s="68">
        <v>4740</v>
      </c>
      <c r="D237" s="14" t="s">
        <v>236</v>
      </c>
      <c r="E237" s="78">
        <v>5900</v>
      </c>
      <c r="F237" s="78"/>
      <c r="G237" s="78">
        <f t="shared" si="182"/>
        <v>5900</v>
      </c>
      <c r="H237" s="78"/>
      <c r="I237" s="78">
        <f t="shared" si="183"/>
        <v>5900</v>
      </c>
      <c r="J237" s="78"/>
      <c r="K237" s="78">
        <f t="shared" si="184"/>
        <v>5900</v>
      </c>
      <c r="L237" s="78"/>
      <c r="M237" s="78">
        <f t="shared" si="185"/>
        <v>5900</v>
      </c>
      <c r="N237" s="78"/>
      <c r="O237" s="78">
        <f t="shared" si="186"/>
        <v>5900</v>
      </c>
      <c r="P237" s="78"/>
      <c r="Q237" s="78">
        <f t="shared" si="187"/>
        <v>5900</v>
      </c>
      <c r="R237" s="78"/>
      <c r="S237" s="78">
        <f t="shared" si="188"/>
        <v>5900</v>
      </c>
      <c r="T237" s="78"/>
      <c r="U237" s="78">
        <f t="shared" si="189"/>
        <v>5900</v>
      </c>
      <c r="V237" s="78"/>
      <c r="W237" s="78">
        <f t="shared" si="190"/>
        <v>5900</v>
      </c>
      <c r="X237" s="78"/>
      <c r="Y237" s="78">
        <f t="shared" si="191"/>
        <v>5900</v>
      </c>
    </row>
    <row r="238" spans="1:25" s="26" customFormat="1" ht="24">
      <c r="A238" s="65"/>
      <c r="B238" s="79"/>
      <c r="C238" s="68">
        <v>4750</v>
      </c>
      <c r="D238" s="14" t="s">
        <v>237</v>
      </c>
      <c r="E238" s="78">
        <v>41690</v>
      </c>
      <c r="F238" s="78"/>
      <c r="G238" s="78">
        <f t="shared" si="182"/>
        <v>41690</v>
      </c>
      <c r="H238" s="78"/>
      <c r="I238" s="78">
        <f t="shared" si="183"/>
        <v>41690</v>
      </c>
      <c r="J238" s="78"/>
      <c r="K238" s="78">
        <f t="shared" si="184"/>
        <v>41690</v>
      </c>
      <c r="L238" s="78">
        <f>-1270-1500-580</f>
        <v>-3350</v>
      </c>
      <c r="M238" s="78">
        <f t="shared" si="185"/>
        <v>38340</v>
      </c>
      <c r="N238" s="78"/>
      <c r="O238" s="78">
        <f t="shared" si="186"/>
        <v>38340</v>
      </c>
      <c r="P238" s="78"/>
      <c r="Q238" s="78">
        <f t="shared" si="187"/>
        <v>38340</v>
      </c>
      <c r="R238" s="78"/>
      <c r="S238" s="78">
        <f t="shared" si="188"/>
        <v>38340</v>
      </c>
      <c r="T238" s="78"/>
      <c r="U238" s="78">
        <f t="shared" si="189"/>
        <v>38340</v>
      </c>
      <c r="V238" s="78"/>
      <c r="W238" s="78">
        <f t="shared" si="190"/>
        <v>38340</v>
      </c>
      <c r="X238" s="78"/>
      <c r="Y238" s="78">
        <f t="shared" si="191"/>
        <v>38340</v>
      </c>
    </row>
    <row r="239" spans="1:25" s="26" customFormat="1" ht="24">
      <c r="A239" s="65"/>
      <c r="B239" s="79"/>
      <c r="C239" s="68">
        <v>6050</v>
      </c>
      <c r="D239" s="14" t="s">
        <v>76</v>
      </c>
      <c r="E239" s="78">
        <v>2100000</v>
      </c>
      <c r="F239" s="78">
        <v>-1200000</v>
      </c>
      <c r="G239" s="78">
        <f t="shared" si="182"/>
        <v>900000</v>
      </c>
      <c r="H239" s="78"/>
      <c r="I239" s="78">
        <f t="shared" si="183"/>
        <v>900000</v>
      </c>
      <c r="J239" s="78"/>
      <c r="K239" s="78">
        <f t="shared" si="184"/>
        <v>900000</v>
      </c>
      <c r="L239" s="78"/>
      <c r="M239" s="78">
        <f t="shared" si="185"/>
        <v>900000</v>
      </c>
      <c r="N239" s="78"/>
      <c r="O239" s="78">
        <f t="shared" si="186"/>
        <v>900000</v>
      </c>
      <c r="P239" s="78"/>
      <c r="Q239" s="78">
        <f t="shared" si="187"/>
        <v>900000</v>
      </c>
      <c r="R239" s="78"/>
      <c r="S239" s="78">
        <f t="shared" si="188"/>
        <v>900000</v>
      </c>
      <c r="T239" s="78"/>
      <c r="U239" s="78">
        <f t="shared" si="189"/>
        <v>900000</v>
      </c>
      <c r="V239" s="78"/>
      <c r="W239" s="78">
        <f t="shared" si="190"/>
        <v>900000</v>
      </c>
      <c r="X239" s="78"/>
      <c r="Y239" s="78">
        <f t="shared" si="191"/>
        <v>900000</v>
      </c>
    </row>
    <row r="240" spans="1:25" s="26" customFormat="1" ht="24">
      <c r="A240" s="65"/>
      <c r="B240" s="79">
        <v>80103</v>
      </c>
      <c r="C240" s="68"/>
      <c r="D240" s="41" t="s">
        <v>212</v>
      </c>
      <c r="E240" s="78">
        <f aca="true" t="shared" si="192" ref="E240:K240">SUM(E241:E253)</f>
        <v>449927</v>
      </c>
      <c r="F240" s="78">
        <f t="shared" si="192"/>
        <v>0</v>
      </c>
      <c r="G240" s="78">
        <f t="shared" si="192"/>
        <v>449927</v>
      </c>
      <c r="H240" s="78">
        <f t="shared" si="192"/>
        <v>0</v>
      </c>
      <c r="I240" s="78">
        <f t="shared" si="192"/>
        <v>449927</v>
      </c>
      <c r="J240" s="78">
        <f t="shared" si="192"/>
        <v>0</v>
      </c>
      <c r="K240" s="78">
        <f t="shared" si="192"/>
        <v>449927</v>
      </c>
      <c r="L240" s="78">
        <f aca="true" t="shared" si="193" ref="L240:Q240">SUM(L241:L253)</f>
        <v>0</v>
      </c>
      <c r="M240" s="78">
        <f t="shared" si="193"/>
        <v>449927</v>
      </c>
      <c r="N240" s="78">
        <f t="shared" si="193"/>
        <v>0</v>
      </c>
      <c r="O240" s="78">
        <f t="shared" si="193"/>
        <v>449927</v>
      </c>
      <c r="P240" s="78">
        <f t="shared" si="193"/>
        <v>0</v>
      </c>
      <c r="Q240" s="78">
        <f t="shared" si="193"/>
        <v>449927</v>
      </c>
      <c r="R240" s="78">
        <f aca="true" t="shared" si="194" ref="R240:W240">SUM(R241:R253)</f>
        <v>0</v>
      </c>
      <c r="S240" s="78">
        <f t="shared" si="194"/>
        <v>449927</v>
      </c>
      <c r="T240" s="78">
        <f t="shared" si="194"/>
        <v>0</v>
      </c>
      <c r="U240" s="78">
        <f t="shared" si="194"/>
        <v>449927</v>
      </c>
      <c r="V240" s="78">
        <f t="shared" si="194"/>
        <v>0</v>
      </c>
      <c r="W240" s="78">
        <f t="shared" si="194"/>
        <v>449927</v>
      </c>
      <c r="X240" s="78">
        <f>SUM(X241:X253)</f>
        <v>0</v>
      </c>
      <c r="Y240" s="78">
        <f>SUM(Y241:Y253)</f>
        <v>449927</v>
      </c>
    </row>
    <row r="241" spans="1:25" s="26" customFormat="1" ht="24">
      <c r="A241" s="65"/>
      <c r="B241" s="79"/>
      <c r="C241" s="83">
        <v>2540</v>
      </c>
      <c r="D241" s="41" t="s">
        <v>190</v>
      </c>
      <c r="E241" s="78">
        <v>61433</v>
      </c>
      <c r="F241" s="78"/>
      <c r="G241" s="78">
        <f t="shared" si="182"/>
        <v>61433</v>
      </c>
      <c r="H241" s="78"/>
      <c r="I241" s="78">
        <f aca="true" t="shared" si="195" ref="I241:I253">SUM(G241:H241)</f>
        <v>61433</v>
      </c>
      <c r="J241" s="78"/>
      <c r="K241" s="78">
        <f aca="true" t="shared" si="196" ref="K241:K253">SUM(I241:J241)</f>
        <v>61433</v>
      </c>
      <c r="L241" s="78"/>
      <c r="M241" s="78">
        <f aca="true" t="shared" si="197" ref="M241:M253">SUM(K241:L241)</f>
        <v>61433</v>
      </c>
      <c r="N241" s="78"/>
      <c r="O241" s="78">
        <f aca="true" t="shared" si="198" ref="O241:O253">SUM(M241:N241)</f>
        <v>61433</v>
      </c>
      <c r="P241" s="78"/>
      <c r="Q241" s="78">
        <f aca="true" t="shared" si="199" ref="Q241:Q253">SUM(O241:P241)</f>
        <v>61433</v>
      </c>
      <c r="R241" s="78"/>
      <c r="S241" s="78">
        <f aca="true" t="shared" si="200" ref="S241:S253">SUM(Q241:R241)</f>
        <v>61433</v>
      </c>
      <c r="T241" s="78"/>
      <c r="U241" s="78">
        <f aca="true" t="shared" si="201" ref="U241:U253">SUM(S241:T241)</f>
        <v>61433</v>
      </c>
      <c r="V241" s="78"/>
      <c r="W241" s="78">
        <f aca="true" t="shared" si="202" ref="W241:W253">SUM(U241:V241)</f>
        <v>61433</v>
      </c>
      <c r="X241" s="78"/>
      <c r="Y241" s="78">
        <f aca="true" t="shared" si="203" ref="Y241:Y253">SUM(W241:X241)</f>
        <v>61433</v>
      </c>
    </row>
    <row r="242" spans="1:25" s="26" customFormat="1" ht="24">
      <c r="A242" s="65"/>
      <c r="B242" s="79"/>
      <c r="C242" s="83">
        <v>3020</v>
      </c>
      <c r="D242" s="41" t="s">
        <v>199</v>
      </c>
      <c r="E242" s="78">
        <v>19723</v>
      </c>
      <c r="F242" s="78"/>
      <c r="G242" s="78">
        <f t="shared" si="182"/>
        <v>19723</v>
      </c>
      <c r="H242" s="78"/>
      <c r="I242" s="78">
        <f t="shared" si="195"/>
        <v>19723</v>
      </c>
      <c r="J242" s="78"/>
      <c r="K242" s="78">
        <f t="shared" si="196"/>
        <v>19723</v>
      </c>
      <c r="L242" s="78"/>
      <c r="M242" s="78">
        <f t="shared" si="197"/>
        <v>19723</v>
      </c>
      <c r="N242" s="78"/>
      <c r="O242" s="78">
        <f t="shared" si="198"/>
        <v>19723</v>
      </c>
      <c r="P242" s="78"/>
      <c r="Q242" s="78">
        <f t="shared" si="199"/>
        <v>19723</v>
      </c>
      <c r="R242" s="78"/>
      <c r="S242" s="78">
        <f t="shared" si="200"/>
        <v>19723</v>
      </c>
      <c r="T242" s="78"/>
      <c r="U242" s="78">
        <f t="shared" si="201"/>
        <v>19723</v>
      </c>
      <c r="V242" s="78"/>
      <c r="W242" s="78">
        <f t="shared" si="202"/>
        <v>19723</v>
      </c>
      <c r="X242" s="78"/>
      <c r="Y242" s="78">
        <f t="shared" si="203"/>
        <v>19723</v>
      </c>
    </row>
    <row r="243" spans="1:27" s="26" customFormat="1" ht="21" customHeight="1">
      <c r="A243" s="65"/>
      <c r="B243" s="79"/>
      <c r="C243" s="83">
        <v>4010</v>
      </c>
      <c r="D243" s="41" t="s">
        <v>87</v>
      </c>
      <c r="E243" s="78">
        <v>258770</v>
      </c>
      <c r="F243" s="78"/>
      <c r="G243" s="78">
        <f t="shared" si="182"/>
        <v>258770</v>
      </c>
      <c r="H243" s="78"/>
      <c r="I243" s="78">
        <f t="shared" si="195"/>
        <v>258770</v>
      </c>
      <c r="J243" s="78">
        <v>940</v>
      </c>
      <c r="K243" s="78">
        <f t="shared" si="196"/>
        <v>259710</v>
      </c>
      <c r="L243" s="78"/>
      <c r="M243" s="78">
        <f t="shared" si="197"/>
        <v>259710</v>
      </c>
      <c r="N243" s="78"/>
      <c r="O243" s="78">
        <f t="shared" si="198"/>
        <v>259710</v>
      </c>
      <c r="P243" s="78"/>
      <c r="Q243" s="78">
        <f t="shared" si="199"/>
        <v>259710</v>
      </c>
      <c r="R243" s="78"/>
      <c r="S243" s="78">
        <f t="shared" si="200"/>
        <v>259710</v>
      </c>
      <c r="T243" s="78"/>
      <c r="U243" s="78">
        <f t="shared" si="201"/>
        <v>259710</v>
      </c>
      <c r="V243" s="78"/>
      <c r="W243" s="78">
        <f t="shared" si="202"/>
        <v>259710</v>
      </c>
      <c r="X243" s="78"/>
      <c r="Y243" s="78">
        <f t="shared" si="203"/>
        <v>259710</v>
      </c>
      <c r="Z243" s="117"/>
      <c r="AA243" s="117"/>
    </row>
    <row r="244" spans="1:27" s="26" customFormat="1" ht="21" customHeight="1">
      <c r="A244" s="65"/>
      <c r="B244" s="79"/>
      <c r="C244" s="83">
        <v>4040</v>
      </c>
      <c r="D244" s="41" t="s">
        <v>88</v>
      </c>
      <c r="E244" s="78">
        <v>19531</v>
      </c>
      <c r="F244" s="78"/>
      <c r="G244" s="78">
        <f t="shared" si="182"/>
        <v>19531</v>
      </c>
      <c r="H244" s="78"/>
      <c r="I244" s="78">
        <f t="shared" si="195"/>
        <v>19531</v>
      </c>
      <c r="J244" s="78">
        <v>-940</v>
      </c>
      <c r="K244" s="78">
        <f t="shared" si="196"/>
        <v>18591</v>
      </c>
      <c r="L244" s="78"/>
      <c r="M244" s="78">
        <f t="shared" si="197"/>
        <v>18591</v>
      </c>
      <c r="N244" s="78"/>
      <c r="O244" s="78">
        <f t="shared" si="198"/>
        <v>18591</v>
      </c>
      <c r="P244" s="78"/>
      <c r="Q244" s="78">
        <f t="shared" si="199"/>
        <v>18591</v>
      </c>
      <c r="R244" s="78"/>
      <c r="S244" s="78">
        <f t="shared" si="200"/>
        <v>18591</v>
      </c>
      <c r="T244" s="78"/>
      <c r="U244" s="78">
        <f t="shared" si="201"/>
        <v>18591</v>
      </c>
      <c r="V244" s="78"/>
      <c r="W244" s="78">
        <f t="shared" si="202"/>
        <v>18591</v>
      </c>
      <c r="X244" s="78"/>
      <c r="Y244" s="78">
        <f t="shared" si="203"/>
        <v>18591</v>
      </c>
      <c r="Z244" s="117"/>
      <c r="AA244" s="117"/>
    </row>
    <row r="245" spans="1:27" s="26" customFormat="1" ht="21" customHeight="1">
      <c r="A245" s="65"/>
      <c r="B245" s="79"/>
      <c r="C245" s="83">
        <v>4110</v>
      </c>
      <c r="D245" s="41" t="s">
        <v>89</v>
      </c>
      <c r="E245" s="78">
        <v>43218</v>
      </c>
      <c r="F245" s="78"/>
      <c r="G245" s="78">
        <f t="shared" si="182"/>
        <v>43218</v>
      </c>
      <c r="H245" s="78"/>
      <c r="I245" s="78">
        <f t="shared" si="195"/>
        <v>43218</v>
      </c>
      <c r="J245" s="78"/>
      <c r="K245" s="78">
        <f t="shared" si="196"/>
        <v>43218</v>
      </c>
      <c r="L245" s="78"/>
      <c r="M245" s="78">
        <f t="shared" si="197"/>
        <v>43218</v>
      </c>
      <c r="N245" s="78"/>
      <c r="O245" s="78">
        <f t="shared" si="198"/>
        <v>43218</v>
      </c>
      <c r="P245" s="78"/>
      <c r="Q245" s="78">
        <f t="shared" si="199"/>
        <v>43218</v>
      </c>
      <c r="R245" s="78"/>
      <c r="S245" s="78">
        <f t="shared" si="200"/>
        <v>43218</v>
      </c>
      <c r="T245" s="78"/>
      <c r="U245" s="78">
        <f t="shared" si="201"/>
        <v>43218</v>
      </c>
      <c r="V245" s="78"/>
      <c r="W245" s="78">
        <f t="shared" si="202"/>
        <v>43218</v>
      </c>
      <c r="X245" s="78"/>
      <c r="Y245" s="78">
        <f t="shared" si="203"/>
        <v>43218</v>
      </c>
      <c r="Z245" s="117"/>
      <c r="AA245" s="117"/>
    </row>
    <row r="246" spans="1:27" s="26" customFormat="1" ht="21" customHeight="1">
      <c r="A246" s="65"/>
      <c r="B246" s="79"/>
      <c r="C246" s="83">
        <v>4120</v>
      </c>
      <c r="D246" s="41" t="s">
        <v>90</v>
      </c>
      <c r="E246" s="78">
        <v>7444</v>
      </c>
      <c r="F246" s="78"/>
      <c r="G246" s="78">
        <f t="shared" si="182"/>
        <v>7444</v>
      </c>
      <c r="H246" s="78"/>
      <c r="I246" s="78">
        <f t="shared" si="195"/>
        <v>7444</v>
      </c>
      <c r="J246" s="78"/>
      <c r="K246" s="78">
        <f t="shared" si="196"/>
        <v>7444</v>
      </c>
      <c r="L246" s="78"/>
      <c r="M246" s="78">
        <f t="shared" si="197"/>
        <v>7444</v>
      </c>
      <c r="N246" s="78"/>
      <c r="O246" s="78">
        <f t="shared" si="198"/>
        <v>7444</v>
      </c>
      <c r="P246" s="78"/>
      <c r="Q246" s="78">
        <f t="shared" si="199"/>
        <v>7444</v>
      </c>
      <c r="R246" s="78"/>
      <c r="S246" s="78">
        <f t="shared" si="200"/>
        <v>7444</v>
      </c>
      <c r="T246" s="78"/>
      <c r="U246" s="78">
        <f t="shared" si="201"/>
        <v>7444</v>
      </c>
      <c r="V246" s="78"/>
      <c r="W246" s="78">
        <f t="shared" si="202"/>
        <v>7444</v>
      </c>
      <c r="X246" s="78"/>
      <c r="Y246" s="78">
        <f t="shared" si="203"/>
        <v>7444</v>
      </c>
      <c r="Z246" s="117"/>
      <c r="AA246" s="117"/>
    </row>
    <row r="247" spans="1:25" s="26" customFormat="1" ht="21" customHeight="1">
      <c r="A247" s="65"/>
      <c r="B247" s="79"/>
      <c r="C247" s="83">
        <v>4210</v>
      </c>
      <c r="D247" s="41" t="s">
        <v>75</v>
      </c>
      <c r="E247" s="78">
        <f>1700+8950</f>
        <v>10650</v>
      </c>
      <c r="F247" s="78"/>
      <c r="G247" s="78">
        <f t="shared" si="182"/>
        <v>10650</v>
      </c>
      <c r="H247" s="78"/>
      <c r="I247" s="78">
        <f t="shared" si="195"/>
        <v>10650</v>
      </c>
      <c r="J247" s="78">
        <v>-1400</v>
      </c>
      <c r="K247" s="78">
        <f t="shared" si="196"/>
        <v>9250</v>
      </c>
      <c r="L247" s="78"/>
      <c r="M247" s="78">
        <f t="shared" si="197"/>
        <v>9250</v>
      </c>
      <c r="N247" s="78"/>
      <c r="O247" s="78">
        <f t="shared" si="198"/>
        <v>9250</v>
      </c>
      <c r="P247" s="78"/>
      <c r="Q247" s="78">
        <f t="shared" si="199"/>
        <v>9250</v>
      </c>
      <c r="R247" s="78"/>
      <c r="S247" s="78">
        <f t="shared" si="200"/>
        <v>9250</v>
      </c>
      <c r="T247" s="78"/>
      <c r="U247" s="78">
        <f t="shared" si="201"/>
        <v>9250</v>
      </c>
      <c r="V247" s="78"/>
      <c r="W247" s="78">
        <f t="shared" si="202"/>
        <v>9250</v>
      </c>
      <c r="X247" s="78"/>
      <c r="Y247" s="78">
        <f t="shared" si="203"/>
        <v>9250</v>
      </c>
    </row>
    <row r="248" spans="1:25" s="26" customFormat="1" ht="24">
      <c r="A248" s="65"/>
      <c r="B248" s="79"/>
      <c r="C248" s="83">
        <v>4240</v>
      </c>
      <c r="D248" s="41" t="s">
        <v>126</v>
      </c>
      <c r="E248" s="78">
        <v>3200</v>
      </c>
      <c r="F248" s="78"/>
      <c r="G248" s="78">
        <f t="shared" si="182"/>
        <v>3200</v>
      </c>
      <c r="H248" s="78"/>
      <c r="I248" s="78">
        <f t="shared" si="195"/>
        <v>3200</v>
      </c>
      <c r="J248" s="78">
        <v>1400</v>
      </c>
      <c r="K248" s="78">
        <f t="shared" si="196"/>
        <v>4600</v>
      </c>
      <c r="L248" s="78"/>
      <c r="M248" s="78">
        <f t="shared" si="197"/>
        <v>4600</v>
      </c>
      <c r="N248" s="78"/>
      <c r="O248" s="78">
        <f t="shared" si="198"/>
        <v>4600</v>
      </c>
      <c r="P248" s="78"/>
      <c r="Q248" s="78">
        <f t="shared" si="199"/>
        <v>4600</v>
      </c>
      <c r="R248" s="78"/>
      <c r="S248" s="78">
        <f t="shared" si="200"/>
        <v>4600</v>
      </c>
      <c r="T248" s="78"/>
      <c r="U248" s="78">
        <f t="shared" si="201"/>
        <v>4600</v>
      </c>
      <c r="V248" s="78"/>
      <c r="W248" s="78">
        <f t="shared" si="202"/>
        <v>4600</v>
      </c>
      <c r="X248" s="78"/>
      <c r="Y248" s="78">
        <f t="shared" si="203"/>
        <v>4600</v>
      </c>
    </row>
    <row r="249" spans="1:25" s="26" customFormat="1" ht="21" customHeight="1">
      <c r="A249" s="65"/>
      <c r="B249" s="79"/>
      <c r="C249" s="83">
        <v>4260</v>
      </c>
      <c r="D249" s="41" t="s">
        <v>98</v>
      </c>
      <c r="E249" s="78">
        <v>600</v>
      </c>
      <c r="F249" s="78"/>
      <c r="G249" s="78">
        <f t="shared" si="182"/>
        <v>600</v>
      </c>
      <c r="H249" s="78"/>
      <c r="I249" s="78">
        <f t="shared" si="195"/>
        <v>600</v>
      </c>
      <c r="J249" s="78"/>
      <c r="K249" s="78">
        <f t="shared" si="196"/>
        <v>600</v>
      </c>
      <c r="L249" s="78"/>
      <c r="M249" s="78">
        <f t="shared" si="197"/>
        <v>600</v>
      </c>
      <c r="N249" s="78"/>
      <c r="O249" s="78">
        <f t="shared" si="198"/>
        <v>600</v>
      </c>
      <c r="P249" s="78"/>
      <c r="Q249" s="78">
        <f t="shared" si="199"/>
        <v>600</v>
      </c>
      <c r="R249" s="78"/>
      <c r="S249" s="78">
        <f t="shared" si="200"/>
        <v>600</v>
      </c>
      <c r="T249" s="78"/>
      <c r="U249" s="78">
        <f t="shared" si="201"/>
        <v>600</v>
      </c>
      <c r="V249" s="78"/>
      <c r="W249" s="78">
        <f t="shared" si="202"/>
        <v>600</v>
      </c>
      <c r="X249" s="78"/>
      <c r="Y249" s="78">
        <f t="shared" si="203"/>
        <v>600</v>
      </c>
    </row>
    <row r="250" spans="1:25" s="26" customFormat="1" ht="21" customHeight="1">
      <c r="A250" s="65"/>
      <c r="B250" s="79"/>
      <c r="C250" s="83">
        <v>4270</v>
      </c>
      <c r="D250" s="41" t="s">
        <v>81</v>
      </c>
      <c r="E250" s="78">
        <v>6000</v>
      </c>
      <c r="F250" s="78"/>
      <c r="G250" s="78">
        <f t="shared" si="182"/>
        <v>6000</v>
      </c>
      <c r="H250" s="78"/>
      <c r="I250" s="78">
        <f t="shared" si="195"/>
        <v>6000</v>
      </c>
      <c r="J250" s="78"/>
      <c r="K250" s="78">
        <f t="shared" si="196"/>
        <v>6000</v>
      </c>
      <c r="L250" s="78"/>
      <c r="M250" s="78">
        <f t="shared" si="197"/>
        <v>6000</v>
      </c>
      <c r="N250" s="78"/>
      <c r="O250" s="78">
        <f t="shared" si="198"/>
        <v>6000</v>
      </c>
      <c r="P250" s="78"/>
      <c r="Q250" s="78">
        <f t="shared" si="199"/>
        <v>6000</v>
      </c>
      <c r="R250" s="78"/>
      <c r="S250" s="78">
        <f t="shared" si="200"/>
        <v>6000</v>
      </c>
      <c r="T250" s="78"/>
      <c r="U250" s="78">
        <f t="shared" si="201"/>
        <v>6000</v>
      </c>
      <c r="V250" s="78"/>
      <c r="W250" s="78">
        <f t="shared" si="202"/>
        <v>6000</v>
      </c>
      <c r="X250" s="78"/>
      <c r="Y250" s="78">
        <f t="shared" si="203"/>
        <v>6000</v>
      </c>
    </row>
    <row r="251" spans="1:25" s="26" customFormat="1" ht="21" customHeight="1">
      <c r="A251" s="65"/>
      <c r="B251" s="79"/>
      <c r="C251" s="83">
        <v>4280</v>
      </c>
      <c r="D251" s="41" t="s">
        <v>207</v>
      </c>
      <c r="E251" s="78">
        <v>600</v>
      </c>
      <c r="F251" s="78"/>
      <c r="G251" s="78">
        <f t="shared" si="182"/>
        <v>600</v>
      </c>
      <c r="H251" s="78"/>
      <c r="I251" s="78">
        <f t="shared" si="195"/>
        <v>600</v>
      </c>
      <c r="J251" s="78"/>
      <c r="K251" s="78">
        <f t="shared" si="196"/>
        <v>600</v>
      </c>
      <c r="L251" s="78"/>
      <c r="M251" s="78">
        <f t="shared" si="197"/>
        <v>600</v>
      </c>
      <c r="N251" s="78"/>
      <c r="O251" s="78">
        <f t="shared" si="198"/>
        <v>600</v>
      </c>
      <c r="P251" s="78"/>
      <c r="Q251" s="78">
        <f t="shared" si="199"/>
        <v>600</v>
      </c>
      <c r="R251" s="78"/>
      <c r="S251" s="78">
        <f t="shared" si="200"/>
        <v>600</v>
      </c>
      <c r="T251" s="78"/>
      <c r="U251" s="78">
        <f t="shared" si="201"/>
        <v>600</v>
      </c>
      <c r="V251" s="78"/>
      <c r="W251" s="78">
        <f t="shared" si="202"/>
        <v>600</v>
      </c>
      <c r="X251" s="78"/>
      <c r="Y251" s="78">
        <f t="shared" si="203"/>
        <v>600</v>
      </c>
    </row>
    <row r="252" spans="1:25" s="26" customFormat="1" ht="24">
      <c r="A252" s="65"/>
      <c r="B252" s="79"/>
      <c r="C252" s="83">
        <v>4440</v>
      </c>
      <c r="D252" s="41" t="s">
        <v>117</v>
      </c>
      <c r="E252" s="78">
        <v>18558</v>
      </c>
      <c r="F252" s="78"/>
      <c r="G252" s="78">
        <f t="shared" si="182"/>
        <v>18558</v>
      </c>
      <c r="H252" s="78"/>
      <c r="I252" s="78">
        <f t="shared" si="195"/>
        <v>18558</v>
      </c>
      <c r="J252" s="78"/>
      <c r="K252" s="78">
        <f t="shared" si="196"/>
        <v>18558</v>
      </c>
      <c r="L252" s="78"/>
      <c r="M252" s="78">
        <f t="shared" si="197"/>
        <v>18558</v>
      </c>
      <c r="N252" s="78"/>
      <c r="O252" s="78">
        <f t="shared" si="198"/>
        <v>18558</v>
      </c>
      <c r="P252" s="78"/>
      <c r="Q252" s="78">
        <f t="shared" si="199"/>
        <v>18558</v>
      </c>
      <c r="R252" s="78"/>
      <c r="S252" s="78">
        <f t="shared" si="200"/>
        <v>18558</v>
      </c>
      <c r="T252" s="78"/>
      <c r="U252" s="78">
        <f t="shared" si="201"/>
        <v>18558</v>
      </c>
      <c r="V252" s="78"/>
      <c r="W252" s="78">
        <f t="shared" si="202"/>
        <v>18558</v>
      </c>
      <c r="X252" s="78"/>
      <c r="Y252" s="78">
        <f t="shared" si="203"/>
        <v>18558</v>
      </c>
    </row>
    <row r="253" spans="1:25" s="26" customFormat="1" ht="24">
      <c r="A253" s="65"/>
      <c r="B253" s="79"/>
      <c r="C253" s="83">
        <v>4740</v>
      </c>
      <c r="D253" s="14" t="s">
        <v>236</v>
      </c>
      <c r="E253" s="78">
        <v>200</v>
      </c>
      <c r="F253" s="78"/>
      <c r="G253" s="78">
        <f t="shared" si="182"/>
        <v>200</v>
      </c>
      <c r="H253" s="78"/>
      <c r="I253" s="78">
        <f t="shared" si="195"/>
        <v>200</v>
      </c>
      <c r="J253" s="78"/>
      <c r="K253" s="78">
        <f t="shared" si="196"/>
        <v>200</v>
      </c>
      <c r="L253" s="78"/>
      <c r="M253" s="78">
        <f t="shared" si="197"/>
        <v>200</v>
      </c>
      <c r="N253" s="78"/>
      <c r="O253" s="78">
        <f t="shared" si="198"/>
        <v>200</v>
      </c>
      <c r="P253" s="78"/>
      <c r="Q253" s="78">
        <f t="shared" si="199"/>
        <v>200</v>
      </c>
      <c r="R253" s="78"/>
      <c r="S253" s="78">
        <f t="shared" si="200"/>
        <v>200</v>
      </c>
      <c r="T253" s="78"/>
      <c r="U253" s="78">
        <f t="shared" si="201"/>
        <v>200</v>
      </c>
      <c r="V253" s="78"/>
      <c r="W253" s="78">
        <f t="shared" si="202"/>
        <v>200</v>
      </c>
      <c r="X253" s="78"/>
      <c r="Y253" s="78">
        <f t="shared" si="203"/>
        <v>200</v>
      </c>
    </row>
    <row r="254" spans="1:25" s="26" customFormat="1" ht="21" customHeight="1">
      <c r="A254" s="85"/>
      <c r="B254" s="79" t="s">
        <v>116</v>
      </c>
      <c r="C254" s="83"/>
      <c r="D254" s="41" t="s">
        <v>127</v>
      </c>
      <c r="E254" s="78">
        <f>SUM(E255:E256)</f>
        <v>3355548</v>
      </c>
      <c r="F254" s="78">
        <f>SUM(F255:F256)</f>
        <v>0</v>
      </c>
      <c r="G254" s="78">
        <f>SUM(G255:G256)</f>
        <v>3355548</v>
      </c>
      <c r="H254" s="78">
        <f>SUM(H255:H256)</f>
        <v>0</v>
      </c>
      <c r="I254" s="78">
        <f aca="true" t="shared" si="204" ref="I254:O254">SUM(I255:I257)</f>
        <v>3355548</v>
      </c>
      <c r="J254" s="78">
        <f t="shared" si="204"/>
        <v>43000</v>
      </c>
      <c r="K254" s="78">
        <f t="shared" si="204"/>
        <v>3398548</v>
      </c>
      <c r="L254" s="78">
        <f t="shared" si="204"/>
        <v>0</v>
      </c>
      <c r="M254" s="78">
        <f t="shared" si="204"/>
        <v>3398548</v>
      </c>
      <c r="N254" s="78">
        <f t="shared" si="204"/>
        <v>0</v>
      </c>
      <c r="O254" s="78">
        <f t="shared" si="204"/>
        <v>3398548</v>
      </c>
      <c r="P254" s="78">
        <f aca="true" t="shared" si="205" ref="P254:U254">SUM(P255:P257)</f>
        <v>0</v>
      </c>
      <c r="Q254" s="78">
        <f t="shared" si="205"/>
        <v>3398548</v>
      </c>
      <c r="R254" s="78">
        <f t="shared" si="205"/>
        <v>0</v>
      </c>
      <c r="S254" s="78">
        <f t="shared" si="205"/>
        <v>3398548</v>
      </c>
      <c r="T254" s="78">
        <f t="shared" si="205"/>
        <v>0</v>
      </c>
      <c r="U254" s="78">
        <f t="shared" si="205"/>
        <v>3398548</v>
      </c>
      <c r="V254" s="78">
        <f>SUM(V255:V257)</f>
        <v>0</v>
      </c>
      <c r="W254" s="78">
        <f>SUM(W255:W257)</f>
        <v>3398548</v>
      </c>
      <c r="X254" s="78">
        <f>SUM(X255:X257)</f>
        <v>0</v>
      </c>
      <c r="Y254" s="78">
        <f>SUM(Y255:Y257)</f>
        <v>3398548</v>
      </c>
    </row>
    <row r="255" spans="1:25" s="26" customFormat="1" ht="24">
      <c r="A255" s="85"/>
      <c r="B255" s="79"/>
      <c r="C255" s="83">
        <v>2510</v>
      </c>
      <c r="D255" s="41" t="s">
        <v>128</v>
      </c>
      <c r="E255" s="78">
        <v>3355048</v>
      </c>
      <c r="F255" s="78"/>
      <c r="G255" s="78">
        <f t="shared" si="182"/>
        <v>3355048</v>
      </c>
      <c r="H255" s="78"/>
      <c r="I255" s="78">
        <f>SUM(G255:H255)</f>
        <v>3355048</v>
      </c>
      <c r="J255" s="78">
        <v>500</v>
      </c>
      <c r="K255" s="78">
        <f>SUM(I255:J255)</f>
        <v>3355548</v>
      </c>
      <c r="L255" s="78"/>
      <c r="M255" s="78">
        <f>SUM(K255:L255)</f>
        <v>3355548</v>
      </c>
      <c r="N255" s="78"/>
      <c r="O255" s="78">
        <f>SUM(M255:N255)</f>
        <v>3355548</v>
      </c>
      <c r="P255" s="78"/>
      <c r="Q255" s="78">
        <f>SUM(O255:P255)</f>
        <v>3355548</v>
      </c>
      <c r="R255" s="78"/>
      <c r="S255" s="78">
        <f>SUM(Q255:R255)</f>
        <v>3355548</v>
      </c>
      <c r="T255" s="78"/>
      <c r="U255" s="78">
        <f>SUM(S255:T255)</f>
        <v>3355548</v>
      </c>
      <c r="V255" s="78"/>
      <c r="W255" s="78">
        <f>SUM(U255:V255)</f>
        <v>3355548</v>
      </c>
      <c r="X255" s="78"/>
      <c r="Y255" s="78">
        <f>SUM(W255:X255)</f>
        <v>3355548</v>
      </c>
    </row>
    <row r="256" spans="1:25" s="26" customFormat="1" ht="21" customHeight="1">
      <c r="A256" s="85"/>
      <c r="B256" s="79"/>
      <c r="C256" s="83">
        <v>4210</v>
      </c>
      <c r="D256" s="41" t="s">
        <v>75</v>
      </c>
      <c r="E256" s="78">
        <v>500</v>
      </c>
      <c r="F256" s="78"/>
      <c r="G256" s="78">
        <f t="shared" si="182"/>
        <v>500</v>
      </c>
      <c r="H256" s="78"/>
      <c r="I256" s="78">
        <f>SUM(G256:H256)</f>
        <v>500</v>
      </c>
      <c r="J256" s="78">
        <v>-500</v>
      </c>
      <c r="K256" s="78">
        <f>SUM(I256:J256)</f>
        <v>0</v>
      </c>
      <c r="L256" s="78"/>
      <c r="M256" s="78">
        <f>SUM(K256:L256)</f>
        <v>0</v>
      </c>
      <c r="N256" s="78"/>
      <c r="O256" s="78">
        <f>SUM(M256:N256)</f>
        <v>0</v>
      </c>
      <c r="P256" s="78"/>
      <c r="Q256" s="78">
        <f>SUM(O256:P256)</f>
        <v>0</v>
      </c>
      <c r="R256" s="78"/>
      <c r="S256" s="78">
        <f>SUM(Q256:R256)</f>
        <v>0</v>
      </c>
      <c r="T256" s="78"/>
      <c r="U256" s="78">
        <f>SUM(S256:T256)</f>
        <v>0</v>
      </c>
      <c r="V256" s="78"/>
      <c r="W256" s="78">
        <f>SUM(U256:V256)</f>
        <v>0</v>
      </c>
      <c r="X256" s="78"/>
      <c r="Y256" s="78">
        <f>SUM(W256:X256)</f>
        <v>0</v>
      </c>
    </row>
    <row r="257" spans="1:25" s="26" customFormat="1" ht="21" customHeight="1">
      <c r="A257" s="85"/>
      <c r="B257" s="79"/>
      <c r="C257" s="83">
        <v>4270</v>
      </c>
      <c r="D257" s="41" t="s">
        <v>81</v>
      </c>
      <c r="E257" s="78"/>
      <c r="F257" s="78"/>
      <c r="G257" s="78"/>
      <c r="H257" s="78"/>
      <c r="I257" s="78">
        <v>0</v>
      </c>
      <c r="J257" s="78">
        <v>43000</v>
      </c>
      <c r="K257" s="78">
        <f>SUM(I257:J257)</f>
        <v>43000</v>
      </c>
      <c r="L257" s="78"/>
      <c r="M257" s="78">
        <f>SUM(K257:L257)</f>
        <v>43000</v>
      </c>
      <c r="N257" s="78"/>
      <c r="O257" s="78">
        <f>SUM(M257:N257)</f>
        <v>43000</v>
      </c>
      <c r="P257" s="78"/>
      <c r="Q257" s="78">
        <f>SUM(O257:P257)</f>
        <v>43000</v>
      </c>
      <c r="R257" s="78"/>
      <c r="S257" s="78">
        <f>SUM(Q257:R257)</f>
        <v>43000</v>
      </c>
      <c r="T257" s="78"/>
      <c r="U257" s="78">
        <f>SUM(S257:T257)</f>
        <v>43000</v>
      </c>
      <c r="V257" s="78"/>
      <c r="W257" s="78">
        <f>SUM(U257:V257)</f>
        <v>43000</v>
      </c>
      <c r="X257" s="78"/>
      <c r="Y257" s="78">
        <f>SUM(W257:X257)</f>
        <v>43000</v>
      </c>
    </row>
    <row r="258" spans="1:25" s="26" customFormat="1" ht="21" customHeight="1">
      <c r="A258" s="85"/>
      <c r="B258" s="79" t="s">
        <v>118</v>
      </c>
      <c r="C258" s="83"/>
      <c r="D258" s="41" t="s">
        <v>54</v>
      </c>
      <c r="E258" s="78">
        <f aca="true" t="shared" si="206" ref="E258:K258">SUM(E259:E284)</f>
        <v>9135030</v>
      </c>
      <c r="F258" s="78">
        <f t="shared" si="206"/>
        <v>-400000</v>
      </c>
      <c r="G258" s="78">
        <f t="shared" si="206"/>
        <v>8735030</v>
      </c>
      <c r="H258" s="78">
        <f t="shared" si="206"/>
        <v>0</v>
      </c>
      <c r="I258" s="78">
        <f t="shared" si="206"/>
        <v>8735030</v>
      </c>
      <c r="J258" s="78">
        <f t="shared" si="206"/>
        <v>-2400</v>
      </c>
      <c r="K258" s="78">
        <f t="shared" si="206"/>
        <v>8732630</v>
      </c>
      <c r="L258" s="78">
        <f aca="true" t="shared" si="207" ref="L258:Q258">SUM(L259:L284)</f>
        <v>0</v>
      </c>
      <c r="M258" s="78">
        <f t="shared" si="207"/>
        <v>8732630</v>
      </c>
      <c r="N258" s="78">
        <f t="shared" si="207"/>
        <v>0</v>
      </c>
      <c r="O258" s="78">
        <f t="shared" si="207"/>
        <v>8732630</v>
      </c>
      <c r="P258" s="78">
        <f t="shared" si="207"/>
        <v>0</v>
      </c>
      <c r="Q258" s="78">
        <f t="shared" si="207"/>
        <v>8732630</v>
      </c>
      <c r="R258" s="78">
        <f aca="true" t="shared" si="208" ref="R258:W258">SUM(R259:R284)</f>
        <v>0</v>
      </c>
      <c r="S258" s="78">
        <f t="shared" si="208"/>
        <v>8732630</v>
      </c>
      <c r="T258" s="78">
        <f t="shared" si="208"/>
        <v>0</v>
      </c>
      <c r="U258" s="78">
        <f t="shared" si="208"/>
        <v>8732630</v>
      </c>
      <c r="V258" s="78">
        <f t="shared" si="208"/>
        <v>320</v>
      </c>
      <c r="W258" s="78">
        <f t="shared" si="208"/>
        <v>8732950</v>
      </c>
      <c r="X258" s="78">
        <f>SUM(X259:X284)</f>
        <v>0</v>
      </c>
      <c r="Y258" s="78">
        <f>SUM(Y259:Y284)</f>
        <v>8732950</v>
      </c>
    </row>
    <row r="259" spans="1:25" s="26" customFormat="1" ht="60">
      <c r="A259" s="85"/>
      <c r="B259" s="79"/>
      <c r="C259" s="83">
        <v>2590</v>
      </c>
      <c r="D259" s="41" t="s">
        <v>288</v>
      </c>
      <c r="E259" s="78">
        <v>101210</v>
      </c>
      <c r="F259" s="78"/>
      <c r="G259" s="78">
        <f t="shared" si="182"/>
        <v>101210</v>
      </c>
      <c r="H259" s="78"/>
      <c r="I259" s="78">
        <f aca="true" t="shared" si="209" ref="I259:I284">SUM(G259:H259)</f>
        <v>101210</v>
      </c>
      <c r="J259" s="78"/>
      <c r="K259" s="78">
        <f aca="true" t="shared" si="210" ref="K259:K284">SUM(I259:J259)</f>
        <v>101210</v>
      </c>
      <c r="L259" s="78"/>
      <c r="M259" s="78">
        <f aca="true" t="shared" si="211" ref="M259:M284">SUM(K259:L259)</f>
        <v>101210</v>
      </c>
      <c r="N259" s="78"/>
      <c r="O259" s="78">
        <f aca="true" t="shared" si="212" ref="O259:O284">SUM(M259:N259)</f>
        <v>101210</v>
      </c>
      <c r="P259" s="78"/>
      <c r="Q259" s="78">
        <f aca="true" t="shared" si="213" ref="Q259:Q284">SUM(O259:P259)</f>
        <v>101210</v>
      </c>
      <c r="R259" s="78"/>
      <c r="S259" s="78">
        <f aca="true" t="shared" si="214" ref="S259:S284">SUM(Q259:R259)</f>
        <v>101210</v>
      </c>
      <c r="T259" s="78"/>
      <c r="U259" s="78">
        <f aca="true" t="shared" si="215" ref="U259:U284">SUM(S259:T259)</f>
        <v>101210</v>
      </c>
      <c r="V259" s="78"/>
      <c r="W259" s="78">
        <f aca="true" t="shared" si="216" ref="W259:W284">SUM(U259:V259)</f>
        <v>101210</v>
      </c>
      <c r="X259" s="78"/>
      <c r="Y259" s="78">
        <f aca="true" t="shared" si="217" ref="Y259:Y284">SUM(W259:X259)</f>
        <v>101210</v>
      </c>
    </row>
    <row r="260" spans="1:25" s="26" customFormat="1" ht="21" customHeight="1">
      <c r="A260" s="65"/>
      <c r="B260" s="79"/>
      <c r="C260" s="83">
        <v>3020</v>
      </c>
      <c r="D260" s="41" t="s">
        <v>199</v>
      </c>
      <c r="E260" s="78">
        <v>42171</v>
      </c>
      <c r="F260" s="78"/>
      <c r="G260" s="78">
        <f t="shared" si="182"/>
        <v>42171</v>
      </c>
      <c r="H260" s="78"/>
      <c r="I260" s="78">
        <f t="shared" si="209"/>
        <v>42171</v>
      </c>
      <c r="J260" s="78"/>
      <c r="K260" s="78">
        <f t="shared" si="210"/>
        <v>42171</v>
      </c>
      <c r="L260" s="78"/>
      <c r="M260" s="78">
        <f t="shared" si="211"/>
        <v>42171</v>
      </c>
      <c r="N260" s="78"/>
      <c r="O260" s="78">
        <f t="shared" si="212"/>
        <v>42171</v>
      </c>
      <c r="P260" s="78"/>
      <c r="Q260" s="78">
        <f t="shared" si="213"/>
        <v>42171</v>
      </c>
      <c r="R260" s="78"/>
      <c r="S260" s="78">
        <f t="shared" si="214"/>
        <v>42171</v>
      </c>
      <c r="T260" s="78"/>
      <c r="U260" s="78">
        <f t="shared" si="215"/>
        <v>42171</v>
      </c>
      <c r="V260" s="78"/>
      <c r="W260" s="78">
        <f t="shared" si="216"/>
        <v>42171</v>
      </c>
      <c r="X260" s="78"/>
      <c r="Y260" s="78">
        <f t="shared" si="217"/>
        <v>42171</v>
      </c>
    </row>
    <row r="261" spans="1:27" s="26" customFormat="1" ht="21" customHeight="1">
      <c r="A261" s="65"/>
      <c r="B261" s="79"/>
      <c r="C261" s="83">
        <v>4010</v>
      </c>
      <c r="D261" s="41" t="s">
        <v>87</v>
      </c>
      <c r="E261" s="78">
        <v>3501950</v>
      </c>
      <c r="F261" s="78"/>
      <c r="G261" s="78">
        <f t="shared" si="182"/>
        <v>3501950</v>
      </c>
      <c r="H261" s="78"/>
      <c r="I261" s="78">
        <f t="shared" si="209"/>
        <v>3501950</v>
      </c>
      <c r="J261" s="78">
        <v>9023</v>
      </c>
      <c r="K261" s="78">
        <f t="shared" si="210"/>
        <v>3510973</v>
      </c>
      <c r="L261" s="78"/>
      <c r="M261" s="78">
        <f t="shared" si="211"/>
        <v>3510973</v>
      </c>
      <c r="N261" s="78"/>
      <c r="O261" s="78">
        <f t="shared" si="212"/>
        <v>3510973</v>
      </c>
      <c r="P261" s="78"/>
      <c r="Q261" s="78">
        <f t="shared" si="213"/>
        <v>3510973</v>
      </c>
      <c r="R261" s="78"/>
      <c r="S261" s="78">
        <f t="shared" si="214"/>
        <v>3510973</v>
      </c>
      <c r="T261" s="78"/>
      <c r="U261" s="78">
        <f t="shared" si="215"/>
        <v>3510973</v>
      </c>
      <c r="V261" s="78"/>
      <c r="W261" s="78">
        <f t="shared" si="216"/>
        <v>3510973</v>
      </c>
      <c r="X261" s="78"/>
      <c r="Y261" s="78">
        <f t="shared" si="217"/>
        <v>3510973</v>
      </c>
      <c r="Z261" s="117"/>
      <c r="AA261" s="117"/>
    </row>
    <row r="262" spans="1:27" s="26" customFormat="1" ht="21" customHeight="1">
      <c r="A262" s="65"/>
      <c r="B262" s="79"/>
      <c r="C262" s="83">
        <v>4040</v>
      </c>
      <c r="D262" s="41" t="s">
        <v>88</v>
      </c>
      <c r="E262" s="78">
        <v>264234</v>
      </c>
      <c r="F262" s="78"/>
      <c r="G262" s="78">
        <f t="shared" si="182"/>
        <v>264234</v>
      </c>
      <c r="H262" s="78"/>
      <c r="I262" s="78">
        <f t="shared" si="209"/>
        <v>264234</v>
      </c>
      <c r="J262" s="78">
        <v>-9023</v>
      </c>
      <c r="K262" s="78">
        <f t="shared" si="210"/>
        <v>255211</v>
      </c>
      <c r="L262" s="78"/>
      <c r="M262" s="78">
        <f t="shared" si="211"/>
        <v>255211</v>
      </c>
      <c r="N262" s="78"/>
      <c r="O262" s="78">
        <f t="shared" si="212"/>
        <v>255211</v>
      </c>
      <c r="P262" s="78"/>
      <c r="Q262" s="78">
        <f t="shared" si="213"/>
        <v>255211</v>
      </c>
      <c r="R262" s="78"/>
      <c r="S262" s="78">
        <f t="shared" si="214"/>
        <v>255211</v>
      </c>
      <c r="T262" s="78"/>
      <c r="U262" s="78">
        <f t="shared" si="215"/>
        <v>255211</v>
      </c>
      <c r="V262" s="78"/>
      <c r="W262" s="78">
        <f t="shared" si="216"/>
        <v>255211</v>
      </c>
      <c r="X262" s="78"/>
      <c r="Y262" s="78">
        <f t="shared" si="217"/>
        <v>255211</v>
      </c>
      <c r="Z262" s="117"/>
      <c r="AA262" s="117"/>
    </row>
    <row r="263" spans="1:27" s="26" customFormat="1" ht="21" customHeight="1">
      <c r="A263" s="65"/>
      <c r="B263" s="79"/>
      <c r="C263" s="83">
        <v>4110</v>
      </c>
      <c r="D263" s="41" t="s">
        <v>89</v>
      </c>
      <c r="E263" s="78">
        <v>570864</v>
      </c>
      <c r="F263" s="78"/>
      <c r="G263" s="78">
        <f t="shared" si="182"/>
        <v>570864</v>
      </c>
      <c r="H263" s="78"/>
      <c r="I263" s="78">
        <f t="shared" si="209"/>
        <v>570864</v>
      </c>
      <c r="J263" s="78"/>
      <c r="K263" s="78">
        <f t="shared" si="210"/>
        <v>570864</v>
      </c>
      <c r="L263" s="78"/>
      <c r="M263" s="78">
        <f t="shared" si="211"/>
        <v>570864</v>
      </c>
      <c r="N263" s="78"/>
      <c r="O263" s="78">
        <f t="shared" si="212"/>
        <v>570864</v>
      </c>
      <c r="P263" s="78"/>
      <c r="Q263" s="78">
        <f t="shared" si="213"/>
        <v>570864</v>
      </c>
      <c r="R263" s="78"/>
      <c r="S263" s="78">
        <f t="shared" si="214"/>
        <v>570864</v>
      </c>
      <c r="T263" s="78"/>
      <c r="U263" s="78">
        <f t="shared" si="215"/>
        <v>570864</v>
      </c>
      <c r="V263" s="78"/>
      <c r="W263" s="78">
        <f t="shared" si="216"/>
        <v>570864</v>
      </c>
      <c r="X263" s="78"/>
      <c r="Y263" s="78">
        <f t="shared" si="217"/>
        <v>570864</v>
      </c>
      <c r="Z263" s="117"/>
      <c r="AA263" s="117"/>
    </row>
    <row r="264" spans="1:27" s="26" customFormat="1" ht="21" customHeight="1">
      <c r="A264" s="65"/>
      <c r="B264" s="79"/>
      <c r="C264" s="83">
        <v>4120</v>
      </c>
      <c r="D264" s="41" t="s">
        <v>90</v>
      </c>
      <c r="E264" s="78">
        <v>94292</v>
      </c>
      <c r="F264" s="78"/>
      <c r="G264" s="78">
        <f t="shared" si="182"/>
        <v>94292</v>
      </c>
      <c r="H264" s="78"/>
      <c r="I264" s="78">
        <f t="shared" si="209"/>
        <v>94292</v>
      </c>
      <c r="J264" s="78"/>
      <c r="K264" s="78">
        <f t="shared" si="210"/>
        <v>94292</v>
      </c>
      <c r="L264" s="78"/>
      <c r="M264" s="78">
        <f t="shared" si="211"/>
        <v>94292</v>
      </c>
      <c r="N264" s="78"/>
      <c r="O264" s="78">
        <f t="shared" si="212"/>
        <v>94292</v>
      </c>
      <c r="P264" s="78"/>
      <c r="Q264" s="78">
        <f t="shared" si="213"/>
        <v>94292</v>
      </c>
      <c r="R264" s="78"/>
      <c r="S264" s="78">
        <f t="shared" si="214"/>
        <v>94292</v>
      </c>
      <c r="T264" s="78"/>
      <c r="U264" s="78">
        <f t="shared" si="215"/>
        <v>94292</v>
      </c>
      <c r="V264" s="78"/>
      <c r="W264" s="78">
        <f t="shared" si="216"/>
        <v>94292</v>
      </c>
      <c r="X264" s="78"/>
      <c r="Y264" s="78">
        <f t="shared" si="217"/>
        <v>94292</v>
      </c>
      <c r="Z264" s="117"/>
      <c r="AA264" s="117"/>
    </row>
    <row r="265" spans="1:27" s="26" customFormat="1" ht="21" customHeight="1">
      <c r="A265" s="65"/>
      <c r="B265" s="79"/>
      <c r="C265" s="83">
        <v>4170</v>
      </c>
      <c r="D265" s="41" t="s">
        <v>202</v>
      </c>
      <c r="E265" s="78">
        <v>12700</v>
      </c>
      <c r="F265" s="78"/>
      <c r="G265" s="78">
        <f t="shared" si="182"/>
        <v>12700</v>
      </c>
      <c r="H265" s="78"/>
      <c r="I265" s="78">
        <f t="shared" si="209"/>
        <v>12700</v>
      </c>
      <c r="J265" s="78"/>
      <c r="K265" s="78">
        <f t="shared" si="210"/>
        <v>12700</v>
      </c>
      <c r="L265" s="78"/>
      <c r="M265" s="78">
        <f t="shared" si="211"/>
        <v>12700</v>
      </c>
      <c r="N265" s="78"/>
      <c r="O265" s="78">
        <f t="shared" si="212"/>
        <v>12700</v>
      </c>
      <c r="P265" s="78"/>
      <c r="Q265" s="78">
        <f t="shared" si="213"/>
        <v>12700</v>
      </c>
      <c r="R265" s="78"/>
      <c r="S265" s="78">
        <f t="shared" si="214"/>
        <v>12700</v>
      </c>
      <c r="T265" s="78"/>
      <c r="U265" s="78">
        <f t="shared" si="215"/>
        <v>12700</v>
      </c>
      <c r="V265" s="78"/>
      <c r="W265" s="78">
        <f t="shared" si="216"/>
        <v>12700</v>
      </c>
      <c r="X265" s="78"/>
      <c r="Y265" s="78">
        <f t="shared" si="217"/>
        <v>12700</v>
      </c>
      <c r="Z265" s="117"/>
      <c r="AA265" s="117"/>
    </row>
    <row r="266" spans="1:25" s="26" customFormat="1" ht="21" customHeight="1">
      <c r="A266" s="65"/>
      <c r="B266" s="79"/>
      <c r="C266" s="83">
        <v>4210</v>
      </c>
      <c r="D266" s="41" t="s">
        <v>95</v>
      </c>
      <c r="E266" s="78">
        <f>1000+170700</f>
        <v>171700</v>
      </c>
      <c r="F266" s="78"/>
      <c r="G266" s="78">
        <f t="shared" si="182"/>
        <v>171700</v>
      </c>
      <c r="H266" s="78"/>
      <c r="I266" s="78">
        <f t="shared" si="209"/>
        <v>171700</v>
      </c>
      <c r="J266" s="78">
        <v>600</v>
      </c>
      <c r="K266" s="78">
        <f t="shared" si="210"/>
        <v>172300</v>
      </c>
      <c r="L266" s="78"/>
      <c r="M266" s="78">
        <f t="shared" si="211"/>
        <v>172300</v>
      </c>
      <c r="N266" s="78">
        <v>-510</v>
      </c>
      <c r="O266" s="78">
        <f t="shared" si="212"/>
        <v>171790</v>
      </c>
      <c r="P266" s="78"/>
      <c r="Q266" s="78">
        <f t="shared" si="213"/>
        <v>171790</v>
      </c>
      <c r="R266" s="78">
        <v>-14</v>
      </c>
      <c r="S266" s="78">
        <f t="shared" si="214"/>
        <v>171776</v>
      </c>
      <c r="T266" s="78"/>
      <c r="U266" s="78">
        <f t="shared" si="215"/>
        <v>171776</v>
      </c>
      <c r="V266" s="78"/>
      <c r="W266" s="78">
        <f t="shared" si="216"/>
        <v>171776</v>
      </c>
      <c r="X266" s="78"/>
      <c r="Y266" s="78">
        <f t="shared" si="217"/>
        <v>171776</v>
      </c>
    </row>
    <row r="267" spans="1:25" s="26" customFormat="1" ht="21" customHeight="1">
      <c r="A267" s="65"/>
      <c r="B267" s="79"/>
      <c r="C267" s="83">
        <v>4230</v>
      </c>
      <c r="D267" s="41" t="s">
        <v>270</v>
      </c>
      <c r="E267" s="78">
        <v>1500</v>
      </c>
      <c r="F267" s="78"/>
      <c r="G267" s="78">
        <f t="shared" si="182"/>
        <v>1500</v>
      </c>
      <c r="H267" s="78"/>
      <c r="I267" s="78">
        <f t="shared" si="209"/>
        <v>1500</v>
      </c>
      <c r="J267" s="78"/>
      <c r="K267" s="78">
        <f t="shared" si="210"/>
        <v>1500</v>
      </c>
      <c r="L267" s="78"/>
      <c r="M267" s="78">
        <f t="shared" si="211"/>
        <v>1500</v>
      </c>
      <c r="N267" s="78"/>
      <c r="O267" s="78">
        <f t="shared" si="212"/>
        <v>1500</v>
      </c>
      <c r="P267" s="78"/>
      <c r="Q267" s="78">
        <f t="shared" si="213"/>
        <v>1500</v>
      </c>
      <c r="R267" s="78"/>
      <c r="S267" s="78">
        <f t="shared" si="214"/>
        <v>1500</v>
      </c>
      <c r="T267" s="78"/>
      <c r="U267" s="78">
        <f t="shared" si="215"/>
        <v>1500</v>
      </c>
      <c r="V267" s="78"/>
      <c r="W267" s="78">
        <f t="shared" si="216"/>
        <v>1500</v>
      </c>
      <c r="X267" s="78"/>
      <c r="Y267" s="78">
        <f t="shared" si="217"/>
        <v>1500</v>
      </c>
    </row>
    <row r="268" spans="1:25" s="26" customFormat="1" ht="21" customHeight="1">
      <c r="A268" s="65"/>
      <c r="B268" s="79"/>
      <c r="C268" s="83">
        <v>4240</v>
      </c>
      <c r="D268" s="41" t="s">
        <v>126</v>
      </c>
      <c r="E268" s="78">
        <v>11100</v>
      </c>
      <c r="F268" s="78"/>
      <c r="G268" s="78">
        <f t="shared" si="182"/>
        <v>11100</v>
      </c>
      <c r="H268" s="78"/>
      <c r="I268" s="78">
        <f t="shared" si="209"/>
        <v>11100</v>
      </c>
      <c r="J268" s="78"/>
      <c r="K268" s="78">
        <f t="shared" si="210"/>
        <v>11100</v>
      </c>
      <c r="L268" s="78"/>
      <c r="M268" s="78">
        <f t="shared" si="211"/>
        <v>11100</v>
      </c>
      <c r="N268" s="78"/>
      <c r="O268" s="78">
        <f t="shared" si="212"/>
        <v>11100</v>
      </c>
      <c r="P268" s="78"/>
      <c r="Q268" s="78">
        <f t="shared" si="213"/>
        <v>11100</v>
      </c>
      <c r="R268" s="78"/>
      <c r="S268" s="78">
        <f t="shared" si="214"/>
        <v>11100</v>
      </c>
      <c r="T268" s="78"/>
      <c r="U268" s="78">
        <f t="shared" si="215"/>
        <v>11100</v>
      </c>
      <c r="V268" s="78"/>
      <c r="W268" s="78">
        <f t="shared" si="216"/>
        <v>11100</v>
      </c>
      <c r="X268" s="78"/>
      <c r="Y268" s="78">
        <f t="shared" si="217"/>
        <v>11100</v>
      </c>
    </row>
    <row r="269" spans="1:25" s="26" customFormat="1" ht="21" customHeight="1">
      <c r="A269" s="65"/>
      <c r="B269" s="79"/>
      <c r="C269" s="83">
        <v>4260</v>
      </c>
      <c r="D269" s="41" t="s">
        <v>98</v>
      </c>
      <c r="E269" s="78">
        <v>291500</v>
      </c>
      <c r="F269" s="78"/>
      <c r="G269" s="78">
        <f t="shared" si="182"/>
        <v>291500</v>
      </c>
      <c r="H269" s="78"/>
      <c r="I269" s="78">
        <f t="shared" si="209"/>
        <v>291500</v>
      </c>
      <c r="J269" s="78"/>
      <c r="K269" s="78">
        <f t="shared" si="210"/>
        <v>291500</v>
      </c>
      <c r="L269" s="78"/>
      <c r="M269" s="78">
        <f t="shared" si="211"/>
        <v>291500</v>
      </c>
      <c r="N269" s="78"/>
      <c r="O269" s="78">
        <f t="shared" si="212"/>
        <v>291500</v>
      </c>
      <c r="P269" s="78"/>
      <c r="Q269" s="78">
        <f t="shared" si="213"/>
        <v>291500</v>
      </c>
      <c r="R269" s="78"/>
      <c r="S269" s="78">
        <f t="shared" si="214"/>
        <v>291500</v>
      </c>
      <c r="T269" s="78"/>
      <c r="U269" s="78">
        <f t="shared" si="215"/>
        <v>291500</v>
      </c>
      <c r="V269" s="78">
        <v>320</v>
      </c>
      <c r="W269" s="78">
        <f t="shared" si="216"/>
        <v>291820</v>
      </c>
      <c r="X269" s="78"/>
      <c r="Y269" s="78">
        <f t="shared" si="217"/>
        <v>291820</v>
      </c>
    </row>
    <row r="270" spans="1:25" s="26" customFormat="1" ht="21" customHeight="1">
      <c r="A270" s="65"/>
      <c r="B270" s="79"/>
      <c r="C270" s="83">
        <v>4270</v>
      </c>
      <c r="D270" s="41" t="s">
        <v>81</v>
      </c>
      <c r="E270" s="78">
        <v>49550</v>
      </c>
      <c r="F270" s="78"/>
      <c r="G270" s="78">
        <f t="shared" si="182"/>
        <v>49550</v>
      </c>
      <c r="H270" s="78"/>
      <c r="I270" s="78">
        <f t="shared" si="209"/>
        <v>49550</v>
      </c>
      <c r="J270" s="78">
        <f>-3250</f>
        <v>-3250</v>
      </c>
      <c r="K270" s="78">
        <f t="shared" si="210"/>
        <v>46300</v>
      </c>
      <c r="L270" s="78"/>
      <c r="M270" s="78">
        <f t="shared" si="211"/>
        <v>46300</v>
      </c>
      <c r="N270" s="78"/>
      <c r="O270" s="78">
        <f t="shared" si="212"/>
        <v>46300</v>
      </c>
      <c r="P270" s="78"/>
      <c r="Q270" s="78">
        <f t="shared" si="213"/>
        <v>46300</v>
      </c>
      <c r="R270" s="78"/>
      <c r="S270" s="78">
        <f t="shared" si="214"/>
        <v>46300</v>
      </c>
      <c r="T270" s="78"/>
      <c r="U270" s="78">
        <f t="shared" si="215"/>
        <v>46300</v>
      </c>
      <c r="V270" s="78"/>
      <c r="W270" s="78">
        <f t="shared" si="216"/>
        <v>46300</v>
      </c>
      <c r="X270" s="78"/>
      <c r="Y270" s="78">
        <f t="shared" si="217"/>
        <v>46300</v>
      </c>
    </row>
    <row r="271" spans="1:25" s="26" customFormat="1" ht="21" customHeight="1">
      <c r="A271" s="65"/>
      <c r="B271" s="79"/>
      <c r="C271" s="83">
        <v>4280</v>
      </c>
      <c r="D271" s="41" t="s">
        <v>207</v>
      </c>
      <c r="E271" s="78">
        <v>8400</v>
      </c>
      <c r="F271" s="78"/>
      <c r="G271" s="78">
        <f t="shared" si="182"/>
        <v>8400</v>
      </c>
      <c r="H271" s="78"/>
      <c r="I271" s="78">
        <f t="shared" si="209"/>
        <v>8400</v>
      </c>
      <c r="J271" s="78"/>
      <c r="K271" s="78">
        <f t="shared" si="210"/>
        <v>8400</v>
      </c>
      <c r="L271" s="78"/>
      <c r="M271" s="78">
        <f t="shared" si="211"/>
        <v>8400</v>
      </c>
      <c r="N271" s="78"/>
      <c r="O271" s="78">
        <f t="shared" si="212"/>
        <v>8400</v>
      </c>
      <c r="P271" s="78"/>
      <c r="Q271" s="78">
        <f t="shared" si="213"/>
        <v>8400</v>
      </c>
      <c r="R271" s="78"/>
      <c r="S271" s="78">
        <f t="shared" si="214"/>
        <v>8400</v>
      </c>
      <c r="T271" s="78"/>
      <c r="U271" s="78">
        <f t="shared" si="215"/>
        <v>8400</v>
      </c>
      <c r="V271" s="78"/>
      <c r="W271" s="78">
        <f t="shared" si="216"/>
        <v>8400</v>
      </c>
      <c r="X271" s="78"/>
      <c r="Y271" s="78">
        <f t="shared" si="217"/>
        <v>8400</v>
      </c>
    </row>
    <row r="272" spans="1:25" s="26" customFormat="1" ht="21" customHeight="1">
      <c r="A272" s="65"/>
      <c r="B272" s="79"/>
      <c r="C272" s="83">
        <v>4300</v>
      </c>
      <c r="D272" s="41" t="s">
        <v>82</v>
      </c>
      <c r="E272" s="78">
        <v>44500</v>
      </c>
      <c r="F272" s="78"/>
      <c r="G272" s="78">
        <f t="shared" si="182"/>
        <v>44500</v>
      </c>
      <c r="H272" s="78"/>
      <c r="I272" s="78">
        <f t="shared" si="209"/>
        <v>44500</v>
      </c>
      <c r="J272" s="78"/>
      <c r="K272" s="78">
        <f t="shared" si="210"/>
        <v>44500</v>
      </c>
      <c r="L272" s="78"/>
      <c r="M272" s="78">
        <f t="shared" si="211"/>
        <v>44500</v>
      </c>
      <c r="N272" s="78">
        <v>-1000</v>
      </c>
      <c r="O272" s="78">
        <f t="shared" si="212"/>
        <v>43500</v>
      </c>
      <c r="P272" s="78"/>
      <c r="Q272" s="78">
        <f t="shared" si="213"/>
        <v>43500</v>
      </c>
      <c r="R272" s="78"/>
      <c r="S272" s="78">
        <f t="shared" si="214"/>
        <v>43500</v>
      </c>
      <c r="T272" s="78"/>
      <c r="U272" s="78">
        <f t="shared" si="215"/>
        <v>43500</v>
      </c>
      <c r="V272" s="78"/>
      <c r="W272" s="78">
        <f t="shared" si="216"/>
        <v>43500</v>
      </c>
      <c r="X272" s="78"/>
      <c r="Y272" s="78">
        <f t="shared" si="217"/>
        <v>43500</v>
      </c>
    </row>
    <row r="273" spans="1:25" s="26" customFormat="1" ht="21" customHeight="1">
      <c r="A273" s="65"/>
      <c r="B273" s="79"/>
      <c r="C273" s="83">
        <v>4350</v>
      </c>
      <c r="D273" s="41" t="s">
        <v>215</v>
      </c>
      <c r="E273" s="78">
        <v>2400</v>
      </c>
      <c r="F273" s="78"/>
      <c r="G273" s="78">
        <f t="shared" si="182"/>
        <v>2400</v>
      </c>
      <c r="H273" s="78"/>
      <c r="I273" s="78">
        <f t="shared" si="209"/>
        <v>2400</v>
      </c>
      <c r="J273" s="78"/>
      <c r="K273" s="78">
        <f t="shared" si="210"/>
        <v>2400</v>
      </c>
      <c r="L273" s="78"/>
      <c r="M273" s="78">
        <f t="shared" si="211"/>
        <v>2400</v>
      </c>
      <c r="N273" s="78">
        <v>1500</v>
      </c>
      <c r="O273" s="78">
        <f t="shared" si="212"/>
        <v>3900</v>
      </c>
      <c r="P273" s="78"/>
      <c r="Q273" s="78">
        <f t="shared" si="213"/>
        <v>3900</v>
      </c>
      <c r="R273" s="78"/>
      <c r="S273" s="78">
        <f t="shared" si="214"/>
        <v>3900</v>
      </c>
      <c r="T273" s="78"/>
      <c r="U273" s="78">
        <f t="shared" si="215"/>
        <v>3900</v>
      </c>
      <c r="V273" s="78"/>
      <c r="W273" s="78">
        <f t="shared" si="216"/>
        <v>3900</v>
      </c>
      <c r="X273" s="78"/>
      <c r="Y273" s="78">
        <f t="shared" si="217"/>
        <v>3900</v>
      </c>
    </row>
    <row r="274" spans="1:25" s="26" customFormat="1" ht="28.5" customHeight="1">
      <c r="A274" s="65"/>
      <c r="B274" s="79"/>
      <c r="C274" s="83">
        <v>4370</v>
      </c>
      <c r="D274" s="14" t="s">
        <v>235</v>
      </c>
      <c r="E274" s="78">
        <v>9000</v>
      </c>
      <c r="F274" s="78"/>
      <c r="G274" s="78">
        <f t="shared" si="182"/>
        <v>9000</v>
      </c>
      <c r="H274" s="78"/>
      <c r="I274" s="78">
        <f t="shared" si="209"/>
        <v>9000</v>
      </c>
      <c r="J274" s="78"/>
      <c r="K274" s="78">
        <f t="shared" si="210"/>
        <v>9000</v>
      </c>
      <c r="L274" s="78"/>
      <c r="M274" s="78">
        <f t="shared" si="211"/>
        <v>9000</v>
      </c>
      <c r="N274" s="78">
        <v>-500</v>
      </c>
      <c r="O274" s="78">
        <f t="shared" si="212"/>
        <v>8500</v>
      </c>
      <c r="P274" s="78"/>
      <c r="Q274" s="78">
        <f t="shared" si="213"/>
        <v>8500</v>
      </c>
      <c r="R274" s="78"/>
      <c r="S274" s="78">
        <f t="shared" si="214"/>
        <v>8500</v>
      </c>
      <c r="T274" s="78"/>
      <c r="U274" s="78">
        <f t="shared" si="215"/>
        <v>8500</v>
      </c>
      <c r="V274" s="78"/>
      <c r="W274" s="78">
        <f t="shared" si="216"/>
        <v>8500</v>
      </c>
      <c r="X274" s="78"/>
      <c r="Y274" s="78">
        <f t="shared" si="217"/>
        <v>8500</v>
      </c>
    </row>
    <row r="275" spans="1:25" s="26" customFormat="1" ht="26.25" customHeight="1">
      <c r="A275" s="65"/>
      <c r="B275" s="79"/>
      <c r="C275" s="83">
        <v>4390</v>
      </c>
      <c r="D275" s="41" t="s">
        <v>289</v>
      </c>
      <c r="E275" s="78">
        <v>800</v>
      </c>
      <c r="F275" s="78"/>
      <c r="G275" s="78">
        <f t="shared" si="182"/>
        <v>800</v>
      </c>
      <c r="H275" s="78"/>
      <c r="I275" s="78">
        <f t="shared" si="209"/>
        <v>800</v>
      </c>
      <c r="J275" s="78"/>
      <c r="K275" s="78">
        <f t="shared" si="210"/>
        <v>800</v>
      </c>
      <c r="L275" s="78"/>
      <c r="M275" s="78">
        <f t="shared" si="211"/>
        <v>800</v>
      </c>
      <c r="N275" s="78"/>
      <c r="O275" s="78">
        <f t="shared" si="212"/>
        <v>800</v>
      </c>
      <c r="P275" s="78"/>
      <c r="Q275" s="78">
        <f t="shared" si="213"/>
        <v>800</v>
      </c>
      <c r="R275" s="78"/>
      <c r="S275" s="78">
        <f t="shared" si="214"/>
        <v>800</v>
      </c>
      <c r="T275" s="78"/>
      <c r="U275" s="78">
        <f t="shared" si="215"/>
        <v>800</v>
      </c>
      <c r="V275" s="78"/>
      <c r="W275" s="78">
        <f t="shared" si="216"/>
        <v>800</v>
      </c>
      <c r="X275" s="78"/>
      <c r="Y275" s="78">
        <f t="shared" si="217"/>
        <v>800</v>
      </c>
    </row>
    <row r="276" spans="1:25" s="26" customFormat="1" ht="21" customHeight="1">
      <c r="A276" s="65"/>
      <c r="B276" s="79"/>
      <c r="C276" s="83">
        <v>4410</v>
      </c>
      <c r="D276" s="41" t="s">
        <v>93</v>
      </c>
      <c r="E276" s="78">
        <v>6000</v>
      </c>
      <c r="F276" s="78"/>
      <c r="G276" s="78">
        <f t="shared" si="182"/>
        <v>6000</v>
      </c>
      <c r="H276" s="78"/>
      <c r="I276" s="78">
        <f t="shared" si="209"/>
        <v>6000</v>
      </c>
      <c r="J276" s="78"/>
      <c r="K276" s="78">
        <f t="shared" si="210"/>
        <v>6000</v>
      </c>
      <c r="L276" s="78"/>
      <c r="M276" s="78">
        <f t="shared" si="211"/>
        <v>6000</v>
      </c>
      <c r="N276" s="78">
        <v>500</v>
      </c>
      <c r="O276" s="78">
        <f t="shared" si="212"/>
        <v>6500</v>
      </c>
      <c r="P276" s="78"/>
      <c r="Q276" s="78">
        <f t="shared" si="213"/>
        <v>6500</v>
      </c>
      <c r="R276" s="78"/>
      <c r="S276" s="78">
        <f t="shared" si="214"/>
        <v>6500</v>
      </c>
      <c r="T276" s="78"/>
      <c r="U276" s="78">
        <f t="shared" si="215"/>
        <v>6500</v>
      </c>
      <c r="V276" s="78"/>
      <c r="W276" s="78">
        <f t="shared" si="216"/>
        <v>6500</v>
      </c>
      <c r="X276" s="78"/>
      <c r="Y276" s="78">
        <f t="shared" si="217"/>
        <v>6500</v>
      </c>
    </row>
    <row r="277" spans="1:25" s="26" customFormat="1" ht="21" customHeight="1">
      <c r="A277" s="65"/>
      <c r="B277" s="79"/>
      <c r="C277" s="83">
        <v>4430</v>
      </c>
      <c r="D277" s="41" t="s">
        <v>97</v>
      </c>
      <c r="E277" s="78">
        <v>4000</v>
      </c>
      <c r="F277" s="78"/>
      <c r="G277" s="78">
        <f t="shared" si="182"/>
        <v>4000</v>
      </c>
      <c r="H277" s="78"/>
      <c r="I277" s="78">
        <f t="shared" si="209"/>
        <v>4000</v>
      </c>
      <c r="J277" s="78">
        <v>250</v>
      </c>
      <c r="K277" s="78">
        <f t="shared" si="210"/>
        <v>4250</v>
      </c>
      <c r="L277" s="78"/>
      <c r="M277" s="78">
        <f t="shared" si="211"/>
        <v>4250</v>
      </c>
      <c r="N277" s="78"/>
      <c r="O277" s="78">
        <f t="shared" si="212"/>
        <v>4250</v>
      </c>
      <c r="P277" s="78"/>
      <c r="Q277" s="78">
        <f t="shared" si="213"/>
        <v>4250</v>
      </c>
      <c r="R277" s="78"/>
      <c r="S277" s="78">
        <f t="shared" si="214"/>
        <v>4250</v>
      </c>
      <c r="T277" s="78"/>
      <c r="U277" s="78">
        <f t="shared" si="215"/>
        <v>4250</v>
      </c>
      <c r="V277" s="78"/>
      <c r="W277" s="78">
        <f t="shared" si="216"/>
        <v>4250</v>
      </c>
      <c r="X277" s="78"/>
      <c r="Y277" s="78">
        <f t="shared" si="217"/>
        <v>4250</v>
      </c>
    </row>
    <row r="278" spans="1:25" s="26" customFormat="1" ht="26.25" customHeight="1">
      <c r="A278" s="65"/>
      <c r="B278" s="79"/>
      <c r="C278" s="83">
        <v>4440</v>
      </c>
      <c r="D278" s="41" t="s">
        <v>91</v>
      </c>
      <c r="E278" s="78">
        <v>205309</v>
      </c>
      <c r="F278" s="78"/>
      <c r="G278" s="78">
        <f t="shared" si="182"/>
        <v>205309</v>
      </c>
      <c r="H278" s="78"/>
      <c r="I278" s="78">
        <f t="shared" si="209"/>
        <v>205309</v>
      </c>
      <c r="J278" s="78"/>
      <c r="K278" s="78">
        <f t="shared" si="210"/>
        <v>205309</v>
      </c>
      <c r="L278" s="78"/>
      <c r="M278" s="78">
        <f t="shared" si="211"/>
        <v>205309</v>
      </c>
      <c r="N278" s="78"/>
      <c r="O278" s="78">
        <f t="shared" si="212"/>
        <v>205309</v>
      </c>
      <c r="P278" s="78"/>
      <c r="Q278" s="78">
        <f t="shared" si="213"/>
        <v>205309</v>
      </c>
      <c r="R278" s="78"/>
      <c r="S278" s="78">
        <f t="shared" si="214"/>
        <v>205309</v>
      </c>
      <c r="T278" s="78"/>
      <c r="U278" s="78">
        <f t="shared" si="215"/>
        <v>205309</v>
      </c>
      <c r="V278" s="78"/>
      <c r="W278" s="78">
        <f t="shared" si="216"/>
        <v>205309</v>
      </c>
      <c r="X278" s="78"/>
      <c r="Y278" s="78">
        <f t="shared" si="217"/>
        <v>205309</v>
      </c>
    </row>
    <row r="279" spans="1:25" s="26" customFormat="1" ht="26.25" customHeight="1">
      <c r="A279" s="65"/>
      <c r="B279" s="79"/>
      <c r="C279" s="83">
        <v>4570</v>
      </c>
      <c r="D279" s="41" t="s">
        <v>437</v>
      </c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>
        <v>0</v>
      </c>
      <c r="R279" s="78">
        <f>10+14</f>
        <v>24</v>
      </c>
      <c r="S279" s="78">
        <f t="shared" si="214"/>
        <v>24</v>
      </c>
      <c r="T279" s="78"/>
      <c r="U279" s="78">
        <f t="shared" si="215"/>
        <v>24</v>
      </c>
      <c r="V279" s="78"/>
      <c r="W279" s="78">
        <f t="shared" si="216"/>
        <v>24</v>
      </c>
      <c r="X279" s="78"/>
      <c r="Y279" s="78">
        <f t="shared" si="217"/>
        <v>24</v>
      </c>
    </row>
    <row r="280" spans="1:25" s="26" customFormat="1" ht="26.25" customHeight="1">
      <c r="A280" s="65"/>
      <c r="B280" s="79"/>
      <c r="C280" s="83">
        <v>4580</v>
      </c>
      <c r="D280" s="41" t="s">
        <v>11</v>
      </c>
      <c r="E280" s="78"/>
      <c r="F280" s="78"/>
      <c r="G280" s="78"/>
      <c r="H280" s="78"/>
      <c r="I280" s="78"/>
      <c r="J280" s="78"/>
      <c r="K280" s="78"/>
      <c r="L280" s="78"/>
      <c r="M280" s="78">
        <v>0</v>
      </c>
      <c r="N280" s="78">
        <v>10</v>
      </c>
      <c r="O280" s="78">
        <f t="shared" si="212"/>
        <v>10</v>
      </c>
      <c r="P280" s="78"/>
      <c r="Q280" s="78">
        <f t="shared" si="213"/>
        <v>10</v>
      </c>
      <c r="R280" s="78">
        <v>-10</v>
      </c>
      <c r="S280" s="78">
        <f t="shared" si="214"/>
        <v>0</v>
      </c>
      <c r="T280" s="78"/>
      <c r="U280" s="78">
        <f t="shared" si="215"/>
        <v>0</v>
      </c>
      <c r="V280" s="78"/>
      <c r="W280" s="78">
        <f t="shared" si="216"/>
        <v>0</v>
      </c>
      <c r="X280" s="78"/>
      <c r="Y280" s="78">
        <f t="shared" si="217"/>
        <v>0</v>
      </c>
    </row>
    <row r="281" spans="1:25" s="26" customFormat="1" ht="27" customHeight="1">
      <c r="A281" s="65"/>
      <c r="B281" s="79"/>
      <c r="C281" s="83">
        <v>4700</v>
      </c>
      <c r="D281" s="41" t="s">
        <v>272</v>
      </c>
      <c r="E281" s="78">
        <v>2500</v>
      </c>
      <c r="F281" s="78"/>
      <c r="G281" s="78">
        <f t="shared" si="182"/>
        <v>2500</v>
      </c>
      <c r="H281" s="78"/>
      <c r="I281" s="78">
        <f t="shared" si="209"/>
        <v>2500</v>
      </c>
      <c r="J281" s="78"/>
      <c r="K281" s="78">
        <f t="shared" si="210"/>
        <v>2500</v>
      </c>
      <c r="L281" s="78"/>
      <c r="M281" s="78">
        <f t="shared" si="211"/>
        <v>2500</v>
      </c>
      <c r="N281" s="78"/>
      <c r="O281" s="78">
        <f t="shared" si="212"/>
        <v>2500</v>
      </c>
      <c r="P281" s="78"/>
      <c r="Q281" s="78">
        <f t="shared" si="213"/>
        <v>2500</v>
      </c>
      <c r="R281" s="78"/>
      <c r="S281" s="78">
        <f t="shared" si="214"/>
        <v>2500</v>
      </c>
      <c r="T281" s="78"/>
      <c r="U281" s="78">
        <f t="shared" si="215"/>
        <v>2500</v>
      </c>
      <c r="V281" s="78"/>
      <c r="W281" s="78">
        <f t="shared" si="216"/>
        <v>2500</v>
      </c>
      <c r="X281" s="78"/>
      <c r="Y281" s="78">
        <f t="shared" si="217"/>
        <v>2500</v>
      </c>
    </row>
    <row r="282" spans="1:25" s="26" customFormat="1" ht="24">
      <c r="A282" s="65"/>
      <c r="B282" s="79"/>
      <c r="C282" s="83">
        <v>4740</v>
      </c>
      <c r="D282" s="14" t="s">
        <v>236</v>
      </c>
      <c r="E282" s="78">
        <v>4500</v>
      </c>
      <c r="F282" s="78"/>
      <c r="G282" s="78">
        <f aca="true" t="shared" si="218" ref="G282:G351">SUM(E282:F282)</f>
        <v>4500</v>
      </c>
      <c r="H282" s="78"/>
      <c r="I282" s="78">
        <f t="shared" si="209"/>
        <v>4500</v>
      </c>
      <c r="J282" s="78"/>
      <c r="K282" s="78">
        <f t="shared" si="210"/>
        <v>4500</v>
      </c>
      <c r="L282" s="78"/>
      <c r="M282" s="78">
        <f t="shared" si="211"/>
        <v>4500</v>
      </c>
      <c r="N282" s="78">
        <v>-1000</v>
      </c>
      <c r="O282" s="78">
        <f t="shared" si="212"/>
        <v>3500</v>
      </c>
      <c r="P282" s="78"/>
      <c r="Q282" s="78">
        <f t="shared" si="213"/>
        <v>3500</v>
      </c>
      <c r="R282" s="78"/>
      <c r="S282" s="78">
        <f t="shared" si="214"/>
        <v>3500</v>
      </c>
      <c r="T282" s="78"/>
      <c r="U282" s="78">
        <f t="shared" si="215"/>
        <v>3500</v>
      </c>
      <c r="V282" s="78"/>
      <c r="W282" s="78">
        <f t="shared" si="216"/>
        <v>3500</v>
      </c>
      <c r="X282" s="78"/>
      <c r="Y282" s="78">
        <f t="shared" si="217"/>
        <v>3500</v>
      </c>
    </row>
    <row r="283" spans="1:25" s="26" customFormat="1" ht="24.75" customHeight="1">
      <c r="A283" s="65"/>
      <c r="B283" s="79"/>
      <c r="C283" s="83">
        <v>4750</v>
      </c>
      <c r="D283" s="14" t="s">
        <v>237</v>
      </c>
      <c r="E283" s="78">
        <v>14850</v>
      </c>
      <c r="F283" s="78"/>
      <c r="G283" s="78">
        <f t="shared" si="218"/>
        <v>14850</v>
      </c>
      <c r="H283" s="78"/>
      <c r="I283" s="78">
        <f t="shared" si="209"/>
        <v>14850</v>
      </c>
      <c r="J283" s="78"/>
      <c r="K283" s="78">
        <f t="shared" si="210"/>
        <v>14850</v>
      </c>
      <c r="L283" s="78"/>
      <c r="M283" s="78">
        <f t="shared" si="211"/>
        <v>14850</v>
      </c>
      <c r="N283" s="78">
        <v>1000</v>
      </c>
      <c r="O283" s="78">
        <f t="shared" si="212"/>
        <v>15850</v>
      </c>
      <c r="P283" s="78"/>
      <c r="Q283" s="78">
        <f t="shared" si="213"/>
        <v>15850</v>
      </c>
      <c r="R283" s="78"/>
      <c r="S283" s="78">
        <f t="shared" si="214"/>
        <v>15850</v>
      </c>
      <c r="T283" s="78"/>
      <c r="U283" s="78">
        <f t="shared" si="215"/>
        <v>15850</v>
      </c>
      <c r="V283" s="78"/>
      <c r="W283" s="78">
        <f t="shared" si="216"/>
        <v>15850</v>
      </c>
      <c r="X283" s="78"/>
      <c r="Y283" s="78">
        <f t="shared" si="217"/>
        <v>15850</v>
      </c>
    </row>
    <row r="284" spans="1:25" s="26" customFormat="1" ht="24.75" customHeight="1">
      <c r="A284" s="65"/>
      <c r="B284" s="79"/>
      <c r="C284" s="83">
        <v>6050</v>
      </c>
      <c r="D284" s="14" t="s">
        <v>76</v>
      </c>
      <c r="E284" s="78">
        <f>4720000-1000000</f>
        <v>3720000</v>
      </c>
      <c r="F284" s="78">
        <f>-1200000+800000</f>
        <v>-400000</v>
      </c>
      <c r="G284" s="78">
        <f t="shared" si="218"/>
        <v>3320000</v>
      </c>
      <c r="H284" s="78"/>
      <c r="I284" s="78">
        <f t="shared" si="209"/>
        <v>3320000</v>
      </c>
      <c r="J284" s="78"/>
      <c r="K284" s="78">
        <f t="shared" si="210"/>
        <v>3320000</v>
      </c>
      <c r="L284" s="78"/>
      <c r="M284" s="78">
        <f t="shared" si="211"/>
        <v>3320000</v>
      </c>
      <c r="N284" s="78"/>
      <c r="O284" s="78">
        <f t="shared" si="212"/>
        <v>3320000</v>
      </c>
      <c r="P284" s="78"/>
      <c r="Q284" s="78">
        <f t="shared" si="213"/>
        <v>3320000</v>
      </c>
      <c r="R284" s="78"/>
      <c r="S284" s="78">
        <f t="shared" si="214"/>
        <v>3320000</v>
      </c>
      <c r="T284" s="78"/>
      <c r="U284" s="78">
        <f t="shared" si="215"/>
        <v>3320000</v>
      </c>
      <c r="V284" s="78"/>
      <c r="W284" s="78">
        <f t="shared" si="216"/>
        <v>3320000</v>
      </c>
      <c r="X284" s="78"/>
      <c r="Y284" s="78">
        <f t="shared" si="217"/>
        <v>3320000</v>
      </c>
    </row>
    <row r="285" spans="1:25" s="26" customFormat="1" ht="21" customHeight="1">
      <c r="A285" s="65"/>
      <c r="B285" s="70" t="s">
        <v>119</v>
      </c>
      <c r="C285" s="48"/>
      <c r="D285" s="14" t="s">
        <v>120</v>
      </c>
      <c r="E285" s="69">
        <f aca="true" t="shared" si="219" ref="E285:K285">SUM(E286:E291)</f>
        <v>309460</v>
      </c>
      <c r="F285" s="69">
        <f t="shared" si="219"/>
        <v>0</v>
      </c>
      <c r="G285" s="69">
        <f t="shared" si="219"/>
        <v>309460</v>
      </c>
      <c r="H285" s="69">
        <f t="shared" si="219"/>
        <v>0</v>
      </c>
      <c r="I285" s="69">
        <f t="shared" si="219"/>
        <v>309460</v>
      </c>
      <c r="J285" s="69">
        <f t="shared" si="219"/>
        <v>0</v>
      </c>
      <c r="K285" s="69">
        <f t="shared" si="219"/>
        <v>309460</v>
      </c>
      <c r="L285" s="69">
        <f aca="true" t="shared" si="220" ref="L285:Q285">SUM(L286:L291)</f>
        <v>0</v>
      </c>
      <c r="M285" s="69">
        <f t="shared" si="220"/>
        <v>309460</v>
      </c>
      <c r="N285" s="69">
        <f t="shared" si="220"/>
        <v>0</v>
      </c>
      <c r="O285" s="69">
        <f t="shared" si="220"/>
        <v>309460</v>
      </c>
      <c r="P285" s="69">
        <f t="shared" si="220"/>
        <v>0</v>
      </c>
      <c r="Q285" s="69">
        <f t="shared" si="220"/>
        <v>309460</v>
      </c>
      <c r="R285" s="69">
        <f aca="true" t="shared" si="221" ref="R285:W285">SUM(R286:R291)</f>
        <v>0</v>
      </c>
      <c r="S285" s="69">
        <f t="shared" si="221"/>
        <v>309460</v>
      </c>
      <c r="T285" s="69">
        <f t="shared" si="221"/>
        <v>0</v>
      </c>
      <c r="U285" s="69">
        <f t="shared" si="221"/>
        <v>309460</v>
      </c>
      <c r="V285" s="69">
        <f t="shared" si="221"/>
        <v>-85</v>
      </c>
      <c r="W285" s="69">
        <f t="shared" si="221"/>
        <v>309375</v>
      </c>
      <c r="X285" s="69">
        <f>SUM(X286:X291)</f>
        <v>0</v>
      </c>
      <c r="Y285" s="69">
        <f>SUM(Y286:Y291)</f>
        <v>309375</v>
      </c>
    </row>
    <row r="286" spans="1:27" s="26" customFormat="1" ht="21" customHeight="1">
      <c r="A286" s="65"/>
      <c r="B286" s="70"/>
      <c r="C286" s="48">
        <v>4110</v>
      </c>
      <c r="D286" s="41" t="s">
        <v>89</v>
      </c>
      <c r="E286" s="69">
        <v>2592</v>
      </c>
      <c r="F286" s="69"/>
      <c r="G286" s="78">
        <f t="shared" si="218"/>
        <v>2592</v>
      </c>
      <c r="H286" s="69"/>
      <c r="I286" s="78">
        <f aca="true" t="shared" si="222" ref="I286:I291">SUM(G286:H286)</f>
        <v>2592</v>
      </c>
      <c r="J286" s="69"/>
      <c r="K286" s="78">
        <f aca="true" t="shared" si="223" ref="K286:K291">SUM(I286:J286)</f>
        <v>2592</v>
      </c>
      <c r="L286" s="69"/>
      <c r="M286" s="78">
        <f aca="true" t="shared" si="224" ref="M286:M291">SUM(K286:L286)</f>
        <v>2592</v>
      </c>
      <c r="N286" s="69"/>
      <c r="O286" s="78">
        <f aca="true" t="shared" si="225" ref="O286:O291">SUM(M286:N286)</f>
        <v>2592</v>
      </c>
      <c r="P286" s="69"/>
      <c r="Q286" s="78">
        <f aca="true" t="shared" si="226" ref="Q286:Q291">SUM(O286:P286)</f>
        <v>2592</v>
      </c>
      <c r="R286" s="69"/>
      <c r="S286" s="78">
        <f aca="true" t="shared" si="227" ref="S286:S291">SUM(Q286:R286)</f>
        <v>2592</v>
      </c>
      <c r="T286" s="69"/>
      <c r="U286" s="78">
        <f aca="true" t="shared" si="228" ref="U286:U291">SUM(S286:T286)</f>
        <v>2592</v>
      </c>
      <c r="V286" s="69"/>
      <c r="W286" s="78">
        <f aca="true" t="shared" si="229" ref="W286:W291">SUM(U286:V286)</f>
        <v>2592</v>
      </c>
      <c r="X286" s="69"/>
      <c r="Y286" s="78">
        <f aca="true" t="shared" si="230" ref="Y286:Y291">SUM(W286:X286)</f>
        <v>2592</v>
      </c>
      <c r="Z286" s="117"/>
      <c r="AA286" s="117"/>
    </row>
    <row r="287" spans="1:27" s="26" customFormat="1" ht="21" customHeight="1">
      <c r="A287" s="65"/>
      <c r="B287" s="70"/>
      <c r="C287" s="48">
        <v>4120</v>
      </c>
      <c r="D287" s="41" t="s">
        <v>90</v>
      </c>
      <c r="E287" s="69">
        <v>368</v>
      </c>
      <c r="F287" s="69"/>
      <c r="G287" s="78">
        <f t="shared" si="218"/>
        <v>368</v>
      </c>
      <c r="H287" s="69"/>
      <c r="I287" s="78">
        <f t="shared" si="222"/>
        <v>368</v>
      </c>
      <c r="J287" s="69"/>
      <c r="K287" s="78">
        <f t="shared" si="223"/>
        <v>368</v>
      </c>
      <c r="L287" s="69"/>
      <c r="M287" s="78">
        <f t="shared" si="224"/>
        <v>368</v>
      </c>
      <c r="N287" s="69"/>
      <c r="O287" s="78">
        <f t="shared" si="225"/>
        <v>368</v>
      </c>
      <c r="P287" s="69"/>
      <c r="Q287" s="78">
        <f t="shared" si="226"/>
        <v>368</v>
      </c>
      <c r="R287" s="69"/>
      <c r="S287" s="78">
        <f t="shared" si="227"/>
        <v>368</v>
      </c>
      <c r="T287" s="69"/>
      <c r="U287" s="78">
        <f t="shared" si="228"/>
        <v>368</v>
      </c>
      <c r="V287" s="69"/>
      <c r="W287" s="78">
        <f t="shared" si="229"/>
        <v>368</v>
      </c>
      <c r="X287" s="69"/>
      <c r="Y287" s="78">
        <f t="shared" si="230"/>
        <v>368</v>
      </c>
      <c r="Z287" s="117"/>
      <c r="AA287" s="117"/>
    </row>
    <row r="288" spans="1:27" s="26" customFormat="1" ht="21" customHeight="1">
      <c r="A288" s="65"/>
      <c r="B288" s="70"/>
      <c r="C288" s="48">
        <v>4170</v>
      </c>
      <c r="D288" s="41" t="s">
        <v>202</v>
      </c>
      <c r="E288" s="69">
        <v>24000</v>
      </c>
      <c r="F288" s="69"/>
      <c r="G288" s="78">
        <f t="shared" si="218"/>
        <v>24000</v>
      </c>
      <c r="H288" s="69"/>
      <c r="I288" s="78">
        <f t="shared" si="222"/>
        <v>24000</v>
      </c>
      <c r="J288" s="69"/>
      <c r="K288" s="78">
        <f t="shared" si="223"/>
        <v>24000</v>
      </c>
      <c r="L288" s="69"/>
      <c r="M288" s="78">
        <f t="shared" si="224"/>
        <v>24000</v>
      </c>
      <c r="N288" s="69"/>
      <c r="O288" s="78">
        <f t="shared" si="225"/>
        <v>24000</v>
      </c>
      <c r="P288" s="69"/>
      <c r="Q288" s="78">
        <f t="shared" si="226"/>
        <v>24000</v>
      </c>
      <c r="R288" s="69"/>
      <c r="S288" s="78">
        <f t="shared" si="227"/>
        <v>24000</v>
      </c>
      <c r="T288" s="69"/>
      <c r="U288" s="78">
        <f t="shared" si="228"/>
        <v>24000</v>
      </c>
      <c r="V288" s="69"/>
      <c r="W288" s="78">
        <f t="shared" si="229"/>
        <v>24000</v>
      </c>
      <c r="X288" s="69"/>
      <c r="Y288" s="78">
        <f t="shared" si="230"/>
        <v>24000</v>
      </c>
      <c r="Z288" s="117"/>
      <c r="AA288" s="117"/>
    </row>
    <row r="289" spans="1:25" s="26" customFormat="1" ht="21" customHeight="1">
      <c r="A289" s="65"/>
      <c r="B289" s="70"/>
      <c r="C289" s="48">
        <v>4210</v>
      </c>
      <c r="D289" s="14" t="s">
        <v>95</v>
      </c>
      <c r="E289" s="69">
        <v>45000</v>
      </c>
      <c r="F289" s="69"/>
      <c r="G289" s="78">
        <f t="shared" si="218"/>
        <v>45000</v>
      </c>
      <c r="H289" s="69"/>
      <c r="I289" s="78">
        <f t="shared" si="222"/>
        <v>45000</v>
      </c>
      <c r="J289" s="69"/>
      <c r="K289" s="78">
        <f t="shared" si="223"/>
        <v>45000</v>
      </c>
      <c r="L289" s="69"/>
      <c r="M289" s="78">
        <f t="shared" si="224"/>
        <v>45000</v>
      </c>
      <c r="N289" s="69"/>
      <c r="O289" s="78">
        <f t="shared" si="225"/>
        <v>45000</v>
      </c>
      <c r="P289" s="69"/>
      <c r="Q289" s="78">
        <f t="shared" si="226"/>
        <v>45000</v>
      </c>
      <c r="R289" s="69"/>
      <c r="S289" s="78">
        <f t="shared" si="227"/>
        <v>45000</v>
      </c>
      <c r="T289" s="69"/>
      <c r="U289" s="78">
        <f t="shared" si="228"/>
        <v>45000</v>
      </c>
      <c r="V289" s="69">
        <v>-85</v>
      </c>
      <c r="W289" s="78">
        <f t="shared" si="229"/>
        <v>44915</v>
      </c>
      <c r="X289" s="69"/>
      <c r="Y289" s="78">
        <f t="shared" si="230"/>
        <v>44915</v>
      </c>
    </row>
    <row r="290" spans="1:25" s="26" customFormat="1" ht="21" customHeight="1">
      <c r="A290" s="65"/>
      <c r="B290" s="70"/>
      <c r="C290" s="48">
        <v>4300</v>
      </c>
      <c r="D290" s="14" t="s">
        <v>82</v>
      </c>
      <c r="E290" s="69">
        <f>215000+10000+8000</f>
        <v>233000</v>
      </c>
      <c r="F290" s="69"/>
      <c r="G290" s="78">
        <f t="shared" si="218"/>
        <v>233000</v>
      </c>
      <c r="H290" s="69"/>
      <c r="I290" s="78">
        <f t="shared" si="222"/>
        <v>233000</v>
      </c>
      <c r="J290" s="69"/>
      <c r="K290" s="78">
        <f t="shared" si="223"/>
        <v>233000</v>
      </c>
      <c r="L290" s="69"/>
      <c r="M290" s="78">
        <f t="shared" si="224"/>
        <v>233000</v>
      </c>
      <c r="N290" s="69"/>
      <c r="O290" s="78">
        <f t="shared" si="225"/>
        <v>233000</v>
      </c>
      <c r="P290" s="69"/>
      <c r="Q290" s="78">
        <f t="shared" si="226"/>
        <v>233000</v>
      </c>
      <c r="R290" s="69"/>
      <c r="S290" s="78">
        <f t="shared" si="227"/>
        <v>233000</v>
      </c>
      <c r="T290" s="69"/>
      <c r="U290" s="78">
        <f t="shared" si="228"/>
        <v>233000</v>
      </c>
      <c r="V290" s="69"/>
      <c r="W290" s="78">
        <f t="shared" si="229"/>
        <v>233000</v>
      </c>
      <c r="X290" s="69"/>
      <c r="Y290" s="78">
        <f t="shared" si="230"/>
        <v>233000</v>
      </c>
    </row>
    <row r="291" spans="1:25" s="26" customFormat="1" ht="21" customHeight="1">
      <c r="A291" s="65"/>
      <c r="B291" s="70"/>
      <c r="C291" s="48">
        <v>4430</v>
      </c>
      <c r="D291" s="41" t="s">
        <v>97</v>
      </c>
      <c r="E291" s="69">
        <v>4500</v>
      </c>
      <c r="F291" s="69"/>
      <c r="G291" s="78">
        <f t="shared" si="218"/>
        <v>4500</v>
      </c>
      <c r="H291" s="69"/>
      <c r="I291" s="78">
        <f t="shared" si="222"/>
        <v>4500</v>
      </c>
      <c r="J291" s="69"/>
      <c r="K291" s="78">
        <f t="shared" si="223"/>
        <v>4500</v>
      </c>
      <c r="L291" s="69"/>
      <c r="M291" s="78">
        <f t="shared" si="224"/>
        <v>4500</v>
      </c>
      <c r="N291" s="69"/>
      <c r="O291" s="78">
        <f t="shared" si="225"/>
        <v>4500</v>
      </c>
      <c r="P291" s="69"/>
      <c r="Q291" s="78">
        <f t="shared" si="226"/>
        <v>4500</v>
      </c>
      <c r="R291" s="69"/>
      <c r="S291" s="78">
        <f t="shared" si="227"/>
        <v>4500</v>
      </c>
      <c r="T291" s="69"/>
      <c r="U291" s="78">
        <f t="shared" si="228"/>
        <v>4500</v>
      </c>
      <c r="V291" s="69"/>
      <c r="W291" s="78">
        <f t="shared" si="229"/>
        <v>4500</v>
      </c>
      <c r="X291" s="69"/>
      <c r="Y291" s="78">
        <f t="shared" si="230"/>
        <v>4500</v>
      </c>
    </row>
    <row r="292" spans="1:25" s="26" customFormat="1" ht="21" customHeight="1">
      <c r="A292" s="65"/>
      <c r="B292" s="84">
        <v>80146</v>
      </c>
      <c r="C292" s="68"/>
      <c r="D292" s="41" t="s">
        <v>152</v>
      </c>
      <c r="E292" s="78">
        <f>SUM(E293:E294)</f>
        <v>109224</v>
      </c>
      <c r="F292" s="78">
        <f>SUM(F293:F294)</f>
        <v>0</v>
      </c>
      <c r="G292" s="78">
        <f>SUM(G293:G294)</f>
        <v>109224</v>
      </c>
      <c r="H292" s="78">
        <f>SUM(H293:H294)</f>
        <v>0</v>
      </c>
      <c r="I292" s="78">
        <f aca="true" t="shared" si="231" ref="I292:O292">SUM(I293:I296)</f>
        <v>109224</v>
      </c>
      <c r="J292" s="78">
        <f t="shared" si="231"/>
        <v>0</v>
      </c>
      <c r="K292" s="78">
        <f t="shared" si="231"/>
        <v>109224</v>
      </c>
      <c r="L292" s="78">
        <f t="shared" si="231"/>
        <v>0</v>
      </c>
      <c r="M292" s="78">
        <f t="shared" si="231"/>
        <v>109224</v>
      </c>
      <c r="N292" s="78">
        <f t="shared" si="231"/>
        <v>0</v>
      </c>
      <c r="O292" s="78">
        <f t="shared" si="231"/>
        <v>109224</v>
      </c>
      <c r="P292" s="78">
        <f aca="true" t="shared" si="232" ref="P292:U292">SUM(P293:P296)</f>
        <v>0</v>
      </c>
      <c r="Q292" s="78">
        <f t="shared" si="232"/>
        <v>109224</v>
      </c>
      <c r="R292" s="78">
        <f t="shared" si="232"/>
        <v>0</v>
      </c>
      <c r="S292" s="78">
        <f t="shared" si="232"/>
        <v>109224</v>
      </c>
      <c r="T292" s="78">
        <f t="shared" si="232"/>
        <v>0</v>
      </c>
      <c r="U292" s="78">
        <f t="shared" si="232"/>
        <v>109224</v>
      </c>
      <c r="V292" s="78">
        <f>SUM(V293:V296)</f>
        <v>0</v>
      </c>
      <c r="W292" s="78">
        <f>SUM(W293:W296)</f>
        <v>109224</v>
      </c>
      <c r="X292" s="78">
        <f>SUM(X293:X296)</f>
        <v>0</v>
      </c>
      <c r="Y292" s="78">
        <f>SUM(Y293:Y296)</f>
        <v>109224</v>
      </c>
    </row>
    <row r="293" spans="1:25" s="26" customFormat="1" ht="24">
      <c r="A293" s="65"/>
      <c r="B293" s="84"/>
      <c r="C293" s="68">
        <v>2510</v>
      </c>
      <c r="D293" s="41" t="s">
        <v>128</v>
      </c>
      <c r="E293" s="78">
        <v>13687</v>
      </c>
      <c r="F293" s="78"/>
      <c r="G293" s="78">
        <f t="shared" si="218"/>
        <v>13687</v>
      </c>
      <c r="H293" s="78"/>
      <c r="I293" s="78">
        <f>SUM(G293:H293)</f>
        <v>13687</v>
      </c>
      <c r="J293" s="78"/>
      <c r="K293" s="78">
        <f>SUM(I293:J293)</f>
        <v>13687</v>
      </c>
      <c r="L293" s="78"/>
      <c r="M293" s="78">
        <f>SUM(K293:L293)</f>
        <v>13687</v>
      </c>
      <c r="N293" s="78"/>
      <c r="O293" s="78">
        <f>SUM(M293:N293)</f>
        <v>13687</v>
      </c>
      <c r="P293" s="78"/>
      <c r="Q293" s="78">
        <f>SUM(O293:P293)</f>
        <v>13687</v>
      </c>
      <c r="R293" s="78"/>
      <c r="S293" s="78">
        <f>SUM(Q293:R293)</f>
        <v>13687</v>
      </c>
      <c r="T293" s="78"/>
      <c r="U293" s="78">
        <f>SUM(S293:T293)</f>
        <v>13687</v>
      </c>
      <c r="V293" s="78"/>
      <c r="W293" s="78">
        <f>SUM(U293:V293)</f>
        <v>13687</v>
      </c>
      <c r="X293" s="78"/>
      <c r="Y293" s="78">
        <f>SUM(W293:X293)</f>
        <v>13687</v>
      </c>
    </row>
    <row r="294" spans="1:25" s="26" customFormat="1" ht="21" customHeight="1">
      <c r="A294" s="65"/>
      <c r="B294" s="84"/>
      <c r="C294" s="68">
        <v>4300</v>
      </c>
      <c r="D294" s="41" t="s">
        <v>82</v>
      </c>
      <c r="E294" s="78">
        <v>95537</v>
      </c>
      <c r="F294" s="78"/>
      <c r="G294" s="78">
        <f t="shared" si="218"/>
        <v>95537</v>
      </c>
      <c r="H294" s="78"/>
      <c r="I294" s="78">
        <f>SUM(G294:H294)</f>
        <v>95537</v>
      </c>
      <c r="J294" s="78">
        <f>-42185-28357</f>
        <v>-70542</v>
      </c>
      <c r="K294" s="78">
        <f>SUM(I294:J294)</f>
        <v>24995</v>
      </c>
      <c r="L294" s="78"/>
      <c r="M294" s="78">
        <f>SUM(K294:L294)</f>
        <v>24995</v>
      </c>
      <c r="N294" s="78"/>
      <c r="O294" s="78">
        <f>SUM(M294:N294)</f>
        <v>24995</v>
      </c>
      <c r="P294" s="78"/>
      <c r="Q294" s="78">
        <f>SUM(O294:P294)</f>
        <v>24995</v>
      </c>
      <c r="R294" s="78"/>
      <c r="S294" s="78">
        <f>SUM(Q294:R294)</f>
        <v>24995</v>
      </c>
      <c r="T294" s="78"/>
      <c r="U294" s="78">
        <f>SUM(S294:T294)</f>
        <v>24995</v>
      </c>
      <c r="V294" s="78"/>
      <c r="W294" s="78">
        <f>SUM(U294:V294)</f>
        <v>24995</v>
      </c>
      <c r="X294" s="78"/>
      <c r="Y294" s="78">
        <f>SUM(W294:X294)</f>
        <v>24995</v>
      </c>
    </row>
    <row r="295" spans="1:25" s="26" customFormat="1" ht="21" customHeight="1">
      <c r="A295" s="65"/>
      <c r="B295" s="84"/>
      <c r="C295" s="68">
        <v>4410</v>
      </c>
      <c r="D295" s="41" t="s">
        <v>93</v>
      </c>
      <c r="E295" s="78"/>
      <c r="F295" s="78"/>
      <c r="G295" s="78"/>
      <c r="H295" s="78"/>
      <c r="I295" s="78">
        <v>0</v>
      </c>
      <c r="J295" s="78">
        <v>28357</v>
      </c>
      <c r="K295" s="78">
        <f>SUM(I295:J295)</f>
        <v>28357</v>
      </c>
      <c r="L295" s="78"/>
      <c r="M295" s="78">
        <f>SUM(K295:L295)</f>
        <v>28357</v>
      </c>
      <c r="N295" s="78"/>
      <c r="O295" s="78">
        <f>SUM(M295:N295)</f>
        <v>28357</v>
      </c>
      <c r="P295" s="78"/>
      <c r="Q295" s="78">
        <f>SUM(O295:P295)</f>
        <v>28357</v>
      </c>
      <c r="R295" s="78"/>
      <c r="S295" s="78">
        <f>SUM(Q295:R295)</f>
        <v>28357</v>
      </c>
      <c r="T295" s="78"/>
      <c r="U295" s="78">
        <f>SUM(S295:T295)</f>
        <v>28357</v>
      </c>
      <c r="V295" s="78"/>
      <c r="W295" s="78">
        <f>SUM(U295:V295)</f>
        <v>28357</v>
      </c>
      <c r="X295" s="78"/>
      <c r="Y295" s="78">
        <f>SUM(W295:X295)</f>
        <v>28357</v>
      </c>
    </row>
    <row r="296" spans="1:25" s="26" customFormat="1" ht="25.5" customHeight="1">
      <c r="A296" s="65"/>
      <c r="B296" s="84"/>
      <c r="C296" s="68">
        <v>4700</v>
      </c>
      <c r="D296" s="41" t="s">
        <v>272</v>
      </c>
      <c r="E296" s="78"/>
      <c r="F296" s="78"/>
      <c r="G296" s="78"/>
      <c r="H296" s="78"/>
      <c r="I296" s="78">
        <v>0</v>
      </c>
      <c r="J296" s="78">
        <v>42185</v>
      </c>
      <c r="K296" s="78">
        <f>SUM(I296:J296)</f>
        <v>42185</v>
      </c>
      <c r="L296" s="78"/>
      <c r="M296" s="78">
        <f>SUM(K296:L296)</f>
        <v>42185</v>
      </c>
      <c r="N296" s="78"/>
      <c r="O296" s="78">
        <f>SUM(M296:N296)</f>
        <v>42185</v>
      </c>
      <c r="P296" s="78"/>
      <c r="Q296" s="78">
        <f>SUM(O296:P296)</f>
        <v>42185</v>
      </c>
      <c r="R296" s="78"/>
      <c r="S296" s="78">
        <f>SUM(Q296:R296)</f>
        <v>42185</v>
      </c>
      <c r="T296" s="78"/>
      <c r="U296" s="78">
        <f>SUM(S296:T296)</f>
        <v>42185</v>
      </c>
      <c r="V296" s="78"/>
      <c r="W296" s="78">
        <f>SUM(U296:V296)</f>
        <v>42185</v>
      </c>
      <c r="X296" s="78"/>
      <c r="Y296" s="78">
        <f>SUM(W296:X296)</f>
        <v>42185</v>
      </c>
    </row>
    <row r="297" spans="1:25" s="26" customFormat="1" ht="21" customHeight="1">
      <c r="A297" s="65"/>
      <c r="B297" s="84">
        <v>80148</v>
      </c>
      <c r="C297" s="68"/>
      <c r="D297" s="41" t="s">
        <v>269</v>
      </c>
      <c r="E297" s="78">
        <f aca="true" t="shared" si="233" ref="E297:K297">SUM(E298:E307)</f>
        <v>257225</v>
      </c>
      <c r="F297" s="78">
        <f t="shared" si="233"/>
        <v>0</v>
      </c>
      <c r="G297" s="78">
        <f t="shared" si="233"/>
        <v>257225</v>
      </c>
      <c r="H297" s="78">
        <f t="shared" si="233"/>
        <v>0</v>
      </c>
      <c r="I297" s="78">
        <f t="shared" si="233"/>
        <v>257225</v>
      </c>
      <c r="J297" s="78">
        <f t="shared" si="233"/>
        <v>3001</v>
      </c>
      <c r="K297" s="78">
        <f t="shared" si="233"/>
        <v>260226</v>
      </c>
      <c r="L297" s="78">
        <f aca="true" t="shared" si="234" ref="L297:Q297">SUM(L298:L307)</f>
        <v>0</v>
      </c>
      <c r="M297" s="78">
        <f t="shared" si="234"/>
        <v>260226</v>
      </c>
      <c r="N297" s="78">
        <f t="shared" si="234"/>
        <v>0</v>
      </c>
      <c r="O297" s="78">
        <f t="shared" si="234"/>
        <v>260226</v>
      </c>
      <c r="P297" s="78">
        <f t="shared" si="234"/>
        <v>0</v>
      </c>
      <c r="Q297" s="78">
        <f t="shared" si="234"/>
        <v>260226</v>
      </c>
      <c r="R297" s="78">
        <f aca="true" t="shared" si="235" ref="R297:W297">SUM(R298:R307)</f>
        <v>0</v>
      </c>
      <c r="S297" s="78">
        <f t="shared" si="235"/>
        <v>260226</v>
      </c>
      <c r="T297" s="78">
        <f t="shared" si="235"/>
        <v>0</v>
      </c>
      <c r="U297" s="78">
        <f t="shared" si="235"/>
        <v>260226</v>
      </c>
      <c r="V297" s="78">
        <f t="shared" si="235"/>
        <v>0</v>
      </c>
      <c r="W297" s="78">
        <f t="shared" si="235"/>
        <v>260226</v>
      </c>
      <c r="X297" s="78">
        <f>SUM(X298:X307)</f>
        <v>0</v>
      </c>
      <c r="Y297" s="78">
        <f>SUM(Y298:Y307)</f>
        <v>260226</v>
      </c>
    </row>
    <row r="298" spans="1:25" s="26" customFormat="1" ht="23.25" customHeight="1">
      <c r="A298" s="65"/>
      <c r="B298" s="84"/>
      <c r="C298" s="83">
        <v>3020</v>
      </c>
      <c r="D298" s="41" t="s">
        <v>199</v>
      </c>
      <c r="E298" s="78">
        <v>185</v>
      </c>
      <c r="F298" s="78"/>
      <c r="G298" s="78">
        <f t="shared" si="218"/>
        <v>185</v>
      </c>
      <c r="H298" s="78"/>
      <c r="I298" s="78">
        <f aca="true" t="shared" si="236" ref="I298:I307">SUM(G298:H298)</f>
        <v>185</v>
      </c>
      <c r="J298" s="78"/>
      <c r="K298" s="78">
        <f aca="true" t="shared" si="237" ref="K298:K307">SUM(I298:J298)</f>
        <v>185</v>
      </c>
      <c r="L298" s="78"/>
      <c r="M298" s="78">
        <f aca="true" t="shared" si="238" ref="M298:M307">SUM(K298:L298)</f>
        <v>185</v>
      </c>
      <c r="N298" s="78"/>
      <c r="O298" s="78">
        <f aca="true" t="shared" si="239" ref="O298:O307">SUM(M298:N298)</f>
        <v>185</v>
      </c>
      <c r="P298" s="78"/>
      <c r="Q298" s="78">
        <f aca="true" t="shared" si="240" ref="Q298:Q307">SUM(O298:P298)</f>
        <v>185</v>
      </c>
      <c r="R298" s="78"/>
      <c r="S298" s="78">
        <f aca="true" t="shared" si="241" ref="S298:S307">SUM(Q298:R298)</f>
        <v>185</v>
      </c>
      <c r="T298" s="78"/>
      <c r="U298" s="78">
        <f aca="true" t="shared" si="242" ref="U298:U307">SUM(S298:T298)</f>
        <v>185</v>
      </c>
      <c r="V298" s="78"/>
      <c r="W298" s="78">
        <f aca="true" t="shared" si="243" ref="W298:W307">SUM(U298:V298)</f>
        <v>185</v>
      </c>
      <c r="X298" s="78"/>
      <c r="Y298" s="78">
        <f aca="true" t="shared" si="244" ref="Y298:Y307">SUM(W298:X298)</f>
        <v>185</v>
      </c>
    </row>
    <row r="299" spans="1:27" s="26" customFormat="1" ht="21" customHeight="1">
      <c r="A299" s="65"/>
      <c r="B299" s="84"/>
      <c r="C299" s="83">
        <v>4010</v>
      </c>
      <c r="D299" s="41" t="s">
        <v>87</v>
      </c>
      <c r="E299" s="78">
        <v>103619</v>
      </c>
      <c r="F299" s="78"/>
      <c r="G299" s="78">
        <f t="shared" si="218"/>
        <v>103619</v>
      </c>
      <c r="H299" s="78"/>
      <c r="I299" s="78">
        <f t="shared" si="236"/>
        <v>103619</v>
      </c>
      <c r="J299" s="78">
        <v>134</v>
      </c>
      <c r="K299" s="78">
        <f t="shared" si="237"/>
        <v>103753</v>
      </c>
      <c r="L299" s="78"/>
      <c r="M299" s="78">
        <f t="shared" si="238"/>
        <v>103753</v>
      </c>
      <c r="N299" s="78"/>
      <c r="O299" s="78">
        <f t="shared" si="239"/>
        <v>103753</v>
      </c>
      <c r="P299" s="78"/>
      <c r="Q299" s="78">
        <f t="shared" si="240"/>
        <v>103753</v>
      </c>
      <c r="R299" s="78"/>
      <c r="S299" s="78">
        <f t="shared" si="241"/>
        <v>103753</v>
      </c>
      <c r="T299" s="78"/>
      <c r="U299" s="78">
        <f t="shared" si="242"/>
        <v>103753</v>
      </c>
      <c r="V299" s="78"/>
      <c r="W299" s="78">
        <f t="shared" si="243"/>
        <v>103753</v>
      </c>
      <c r="X299" s="78"/>
      <c r="Y299" s="78">
        <f t="shared" si="244"/>
        <v>103753</v>
      </c>
      <c r="Z299" s="117"/>
      <c r="AA299" s="117"/>
    </row>
    <row r="300" spans="1:27" s="26" customFormat="1" ht="21" customHeight="1">
      <c r="A300" s="65"/>
      <c r="B300" s="84"/>
      <c r="C300" s="83">
        <v>4040</v>
      </c>
      <c r="D300" s="41" t="s">
        <v>88</v>
      </c>
      <c r="E300" s="78">
        <v>7647</v>
      </c>
      <c r="F300" s="78"/>
      <c r="G300" s="78">
        <f t="shared" si="218"/>
        <v>7647</v>
      </c>
      <c r="H300" s="78"/>
      <c r="I300" s="78">
        <f t="shared" si="236"/>
        <v>7647</v>
      </c>
      <c r="J300" s="78">
        <v>-133</v>
      </c>
      <c r="K300" s="78">
        <f t="shared" si="237"/>
        <v>7514</v>
      </c>
      <c r="L300" s="78"/>
      <c r="M300" s="78">
        <f t="shared" si="238"/>
        <v>7514</v>
      </c>
      <c r="N300" s="78"/>
      <c r="O300" s="78">
        <f t="shared" si="239"/>
        <v>7514</v>
      </c>
      <c r="P300" s="78"/>
      <c r="Q300" s="78">
        <f t="shared" si="240"/>
        <v>7514</v>
      </c>
      <c r="R300" s="78"/>
      <c r="S300" s="78">
        <f t="shared" si="241"/>
        <v>7514</v>
      </c>
      <c r="T300" s="78"/>
      <c r="U300" s="78">
        <f t="shared" si="242"/>
        <v>7514</v>
      </c>
      <c r="V300" s="78"/>
      <c r="W300" s="78">
        <f t="shared" si="243"/>
        <v>7514</v>
      </c>
      <c r="X300" s="78"/>
      <c r="Y300" s="78">
        <f t="shared" si="244"/>
        <v>7514</v>
      </c>
      <c r="Z300" s="117"/>
      <c r="AA300" s="117"/>
    </row>
    <row r="301" spans="1:27" s="26" customFormat="1" ht="21" customHeight="1">
      <c r="A301" s="65"/>
      <c r="B301" s="84"/>
      <c r="C301" s="83">
        <v>4110</v>
      </c>
      <c r="D301" s="41" t="s">
        <v>89</v>
      </c>
      <c r="E301" s="78">
        <v>17383</v>
      </c>
      <c r="F301" s="78"/>
      <c r="G301" s="78">
        <f t="shared" si="218"/>
        <v>17383</v>
      </c>
      <c r="H301" s="78"/>
      <c r="I301" s="78">
        <f t="shared" si="236"/>
        <v>17383</v>
      </c>
      <c r="J301" s="78"/>
      <c r="K301" s="78">
        <f t="shared" si="237"/>
        <v>17383</v>
      </c>
      <c r="L301" s="78"/>
      <c r="M301" s="78">
        <f t="shared" si="238"/>
        <v>17383</v>
      </c>
      <c r="N301" s="78"/>
      <c r="O301" s="78">
        <f t="shared" si="239"/>
        <v>17383</v>
      </c>
      <c r="P301" s="78"/>
      <c r="Q301" s="78">
        <f t="shared" si="240"/>
        <v>17383</v>
      </c>
      <c r="R301" s="78"/>
      <c r="S301" s="78">
        <f t="shared" si="241"/>
        <v>17383</v>
      </c>
      <c r="T301" s="78"/>
      <c r="U301" s="78">
        <f t="shared" si="242"/>
        <v>17383</v>
      </c>
      <c r="V301" s="78"/>
      <c r="W301" s="78">
        <f t="shared" si="243"/>
        <v>17383</v>
      </c>
      <c r="X301" s="78"/>
      <c r="Y301" s="78">
        <f t="shared" si="244"/>
        <v>17383</v>
      </c>
      <c r="Z301" s="117"/>
      <c r="AA301" s="117"/>
    </row>
    <row r="302" spans="1:27" s="26" customFormat="1" ht="21" customHeight="1">
      <c r="A302" s="65"/>
      <c r="B302" s="84"/>
      <c r="C302" s="83">
        <v>4120</v>
      </c>
      <c r="D302" s="41" t="s">
        <v>90</v>
      </c>
      <c r="E302" s="78">
        <v>2895</v>
      </c>
      <c r="F302" s="78"/>
      <c r="G302" s="78">
        <f t="shared" si="218"/>
        <v>2895</v>
      </c>
      <c r="H302" s="78"/>
      <c r="I302" s="78">
        <f t="shared" si="236"/>
        <v>2895</v>
      </c>
      <c r="J302" s="78"/>
      <c r="K302" s="78">
        <f t="shared" si="237"/>
        <v>2895</v>
      </c>
      <c r="L302" s="78"/>
      <c r="M302" s="78">
        <f t="shared" si="238"/>
        <v>2895</v>
      </c>
      <c r="N302" s="78"/>
      <c r="O302" s="78">
        <f t="shared" si="239"/>
        <v>2895</v>
      </c>
      <c r="P302" s="78"/>
      <c r="Q302" s="78">
        <f t="shared" si="240"/>
        <v>2895</v>
      </c>
      <c r="R302" s="78"/>
      <c r="S302" s="78">
        <f t="shared" si="241"/>
        <v>2895</v>
      </c>
      <c r="T302" s="78"/>
      <c r="U302" s="78">
        <f t="shared" si="242"/>
        <v>2895</v>
      </c>
      <c r="V302" s="78"/>
      <c r="W302" s="78">
        <f t="shared" si="243"/>
        <v>2895</v>
      </c>
      <c r="X302" s="78"/>
      <c r="Y302" s="78">
        <f t="shared" si="244"/>
        <v>2895</v>
      </c>
      <c r="Z302" s="117"/>
      <c r="AA302" s="117"/>
    </row>
    <row r="303" spans="1:27" s="26" customFormat="1" ht="21" customHeight="1">
      <c r="A303" s="65"/>
      <c r="B303" s="84"/>
      <c r="C303" s="83">
        <v>4170</v>
      </c>
      <c r="D303" s="41" t="s">
        <v>202</v>
      </c>
      <c r="E303" s="78">
        <v>4000</v>
      </c>
      <c r="F303" s="78"/>
      <c r="G303" s="78">
        <f t="shared" si="218"/>
        <v>4000</v>
      </c>
      <c r="H303" s="78"/>
      <c r="I303" s="78">
        <f t="shared" si="236"/>
        <v>4000</v>
      </c>
      <c r="J303" s="78"/>
      <c r="K303" s="78">
        <f t="shared" si="237"/>
        <v>4000</v>
      </c>
      <c r="L303" s="78"/>
      <c r="M303" s="78">
        <f t="shared" si="238"/>
        <v>4000</v>
      </c>
      <c r="N303" s="78"/>
      <c r="O303" s="78">
        <f t="shared" si="239"/>
        <v>4000</v>
      </c>
      <c r="P303" s="78"/>
      <c r="Q303" s="78">
        <f t="shared" si="240"/>
        <v>4000</v>
      </c>
      <c r="R303" s="78"/>
      <c r="S303" s="78">
        <f t="shared" si="241"/>
        <v>4000</v>
      </c>
      <c r="T303" s="78"/>
      <c r="U303" s="78">
        <f t="shared" si="242"/>
        <v>4000</v>
      </c>
      <c r="V303" s="78"/>
      <c r="W303" s="78">
        <f t="shared" si="243"/>
        <v>4000</v>
      </c>
      <c r="X303" s="78"/>
      <c r="Y303" s="78">
        <f t="shared" si="244"/>
        <v>4000</v>
      </c>
      <c r="Z303" s="117"/>
      <c r="AA303" s="117"/>
    </row>
    <row r="304" spans="1:25" s="26" customFormat="1" ht="21" customHeight="1">
      <c r="A304" s="65"/>
      <c r="B304" s="84"/>
      <c r="C304" s="83">
        <v>4210</v>
      </c>
      <c r="D304" s="41" t="s">
        <v>75</v>
      </c>
      <c r="E304" s="78">
        <v>3990</v>
      </c>
      <c r="F304" s="78"/>
      <c r="G304" s="78">
        <f t="shared" si="218"/>
        <v>3990</v>
      </c>
      <c r="H304" s="78"/>
      <c r="I304" s="78">
        <f t="shared" si="236"/>
        <v>3990</v>
      </c>
      <c r="J304" s="78">
        <v>3000</v>
      </c>
      <c r="K304" s="78">
        <f t="shared" si="237"/>
        <v>6990</v>
      </c>
      <c r="L304" s="78"/>
      <c r="M304" s="78">
        <f t="shared" si="238"/>
        <v>6990</v>
      </c>
      <c r="N304" s="78"/>
      <c r="O304" s="78">
        <f t="shared" si="239"/>
        <v>6990</v>
      </c>
      <c r="P304" s="78"/>
      <c r="Q304" s="78">
        <f t="shared" si="240"/>
        <v>6990</v>
      </c>
      <c r="R304" s="78"/>
      <c r="S304" s="78">
        <f t="shared" si="241"/>
        <v>6990</v>
      </c>
      <c r="T304" s="78"/>
      <c r="U304" s="78">
        <f t="shared" si="242"/>
        <v>6990</v>
      </c>
      <c r="V304" s="78"/>
      <c r="W304" s="78">
        <f t="shared" si="243"/>
        <v>6990</v>
      </c>
      <c r="X304" s="78"/>
      <c r="Y304" s="78">
        <f t="shared" si="244"/>
        <v>6990</v>
      </c>
    </row>
    <row r="305" spans="1:25" s="26" customFormat="1" ht="21" customHeight="1">
      <c r="A305" s="65"/>
      <c r="B305" s="84"/>
      <c r="C305" s="83">
        <v>4220</v>
      </c>
      <c r="D305" s="14" t="s">
        <v>185</v>
      </c>
      <c r="E305" s="78">
        <v>112000</v>
      </c>
      <c r="F305" s="78"/>
      <c r="G305" s="78">
        <f t="shared" si="218"/>
        <v>112000</v>
      </c>
      <c r="H305" s="78"/>
      <c r="I305" s="78">
        <f t="shared" si="236"/>
        <v>112000</v>
      </c>
      <c r="J305" s="78"/>
      <c r="K305" s="78">
        <f t="shared" si="237"/>
        <v>112000</v>
      </c>
      <c r="L305" s="78"/>
      <c r="M305" s="78">
        <f t="shared" si="238"/>
        <v>112000</v>
      </c>
      <c r="N305" s="78"/>
      <c r="O305" s="78">
        <f t="shared" si="239"/>
        <v>112000</v>
      </c>
      <c r="P305" s="78"/>
      <c r="Q305" s="78">
        <f t="shared" si="240"/>
        <v>112000</v>
      </c>
      <c r="R305" s="78"/>
      <c r="S305" s="78">
        <f t="shared" si="241"/>
        <v>112000</v>
      </c>
      <c r="T305" s="78"/>
      <c r="U305" s="78">
        <f t="shared" si="242"/>
        <v>112000</v>
      </c>
      <c r="V305" s="78"/>
      <c r="W305" s="78">
        <f t="shared" si="243"/>
        <v>112000</v>
      </c>
      <c r="X305" s="78"/>
      <c r="Y305" s="78">
        <f t="shared" si="244"/>
        <v>112000</v>
      </c>
    </row>
    <row r="306" spans="1:25" s="26" customFormat="1" ht="21" customHeight="1">
      <c r="A306" s="65"/>
      <c r="B306" s="84"/>
      <c r="C306" s="83">
        <v>4280</v>
      </c>
      <c r="D306" s="41" t="s">
        <v>207</v>
      </c>
      <c r="E306" s="78">
        <v>160</v>
      </c>
      <c r="F306" s="78"/>
      <c r="G306" s="78">
        <f t="shared" si="218"/>
        <v>160</v>
      </c>
      <c r="H306" s="78"/>
      <c r="I306" s="78">
        <f t="shared" si="236"/>
        <v>160</v>
      </c>
      <c r="J306" s="78"/>
      <c r="K306" s="78">
        <f t="shared" si="237"/>
        <v>160</v>
      </c>
      <c r="L306" s="78"/>
      <c r="M306" s="78">
        <f t="shared" si="238"/>
        <v>160</v>
      </c>
      <c r="N306" s="78"/>
      <c r="O306" s="78">
        <f t="shared" si="239"/>
        <v>160</v>
      </c>
      <c r="P306" s="78"/>
      <c r="Q306" s="78">
        <f t="shared" si="240"/>
        <v>160</v>
      </c>
      <c r="R306" s="78"/>
      <c r="S306" s="78">
        <f t="shared" si="241"/>
        <v>160</v>
      </c>
      <c r="T306" s="78"/>
      <c r="U306" s="78">
        <f t="shared" si="242"/>
        <v>160</v>
      </c>
      <c r="V306" s="78"/>
      <c r="W306" s="78">
        <f t="shared" si="243"/>
        <v>160</v>
      </c>
      <c r="X306" s="78"/>
      <c r="Y306" s="78">
        <f t="shared" si="244"/>
        <v>160</v>
      </c>
    </row>
    <row r="307" spans="1:25" s="26" customFormat="1" ht="24" customHeight="1">
      <c r="A307" s="65"/>
      <c r="B307" s="84"/>
      <c r="C307" s="83">
        <v>4440</v>
      </c>
      <c r="D307" s="41" t="s">
        <v>91</v>
      </c>
      <c r="E307" s="78">
        <v>5346</v>
      </c>
      <c r="F307" s="78"/>
      <c r="G307" s="78">
        <f t="shared" si="218"/>
        <v>5346</v>
      </c>
      <c r="H307" s="78"/>
      <c r="I307" s="78">
        <f t="shared" si="236"/>
        <v>5346</v>
      </c>
      <c r="J307" s="78"/>
      <c r="K307" s="78">
        <f t="shared" si="237"/>
        <v>5346</v>
      </c>
      <c r="L307" s="78"/>
      <c r="M307" s="78">
        <f t="shared" si="238"/>
        <v>5346</v>
      </c>
      <c r="N307" s="78"/>
      <c r="O307" s="78">
        <f t="shared" si="239"/>
        <v>5346</v>
      </c>
      <c r="P307" s="78"/>
      <c r="Q307" s="78">
        <f t="shared" si="240"/>
        <v>5346</v>
      </c>
      <c r="R307" s="78"/>
      <c r="S307" s="78">
        <f t="shared" si="241"/>
        <v>5346</v>
      </c>
      <c r="T307" s="78"/>
      <c r="U307" s="78">
        <f t="shared" si="242"/>
        <v>5346</v>
      </c>
      <c r="V307" s="78"/>
      <c r="W307" s="78">
        <f t="shared" si="243"/>
        <v>5346</v>
      </c>
      <c r="X307" s="78"/>
      <c r="Y307" s="78">
        <f t="shared" si="244"/>
        <v>5346</v>
      </c>
    </row>
    <row r="308" spans="1:25" s="26" customFormat="1" ht="21" customHeight="1">
      <c r="A308" s="65"/>
      <c r="B308" s="79">
        <v>80195</v>
      </c>
      <c r="C308" s="65"/>
      <c r="D308" s="41" t="s">
        <v>6</v>
      </c>
      <c r="E308" s="78">
        <f aca="true" t="shared" si="245" ref="E308:K308">SUM(E309:E313)</f>
        <v>231670</v>
      </c>
      <c r="F308" s="78">
        <f t="shared" si="245"/>
        <v>0</v>
      </c>
      <c r="G308" s="78">
        <f t="shared" si="245"/>
        <v>231670</v>
      </c>
      <c r="H308" s="78">
        <f t="shared" si="245"/>
        <v>0</v>
      </c>
      <c r="I308" s="78">
        <f t="shared" si="245"/>
        <v>231670</v>
      </c>
      <c r="J308" s="78">
        <f t="shared" si="245"/>
        <v>0</v>
      </c>
      <c r="K308" s="78">
        <f t="shared" si="245"/>
        <v>231670</v>
      </c>
      <c r="L308" s="78">
        <f aca="true" t="shared" si="246" ref="L308:Q308">SUM(L309:L313)</f>
        <v>0</v>
      </c>
      <c r="M308" s="78">
        <f t="shared" si="246"/>
        <v>231670</v>
      </c>
      <c r="N308" s="78">
        <f t="shared" si="246"/>
        <v>0</v>
      </c>
      <c r="O308" s="78">
        <f t="shared" si="246"/>
        <v>231670</v>
      </c>
      <c r="P308" s="78">
        <f t="shared" si="246"/>
        <v>0</v>
      </c>
      <c r="Q308" s="78">
        <f t="shared" si="246"/>
        <v>231670</v>
      </c>
      <c r="R308" s="78">
        <f aca="true" t="shared" si="247" ref="R308:W308">SUM(R309:R313)</f>
        <v>1500</v>
      </c>
      <c r="S308" s="78">
        <f t="shared" si="247"/>
        <v>233170</v>
      </c>
      <c r="T308" s="78">
        <f t="shared" si="247"/>
        <v>0</v>
      </c>
      <c r="U308" s="78">
        <f t="shared" si="247"/>
        <v>233170</v>
      </c>
      <c r="V308" s="78">
        <f t="shared" si="247"/>
        <v>85</v>
      </c>
      <c r="W308" s="78">
        <f t="shared" si="247"/>
        <v>233255</v>
      </c>
      <c r="X308" s="78">
        <f>SUM(X309:X313)</f>
        <v>0</v>
      </c>
      <c r="Y308" s="78">
        <f>SUM(Y309:Y313)</f>
        <v>233255</v>
      </c>
    </row>
    <row r="309" spans="1:27" s="26" customFormat="1" ht="21" customHeight="1">
      <c r="A309" s="65"/>
      <c r="B309" s="79"/>
      <c r="C309" s="65">
        <v>4170</v>
      </c>
      <c r="D309" s="41" t="s">
        <v>202</v>
      </c>
      <c r="E309" s="78">
        <v>500</v>
      </c>
      <c r="F309" s="78"/>
      <c r="G309" s="78">
        <f t="shared" si="218"/>
        <v>500</v>
      </c>
      <c r="H309" s="78"/>
      <c r="I309" s="78">
        <f>SUM(G309:H309)</f>
        <v>500</v>
      </c>
      <c r="J309" s="78"/>
      <c r="K309" s="78">
        <f>SUM(I309:J309)</f>
        <v>500</v>
      </c>
      <c r="L309" s="78"/>
      <c r="M309" s="78">
        <f>SUM(K309:L309)</f>
        <v>500</v>
      </c>
      <c r="N309" s="78"/>
      <c r="O309" s="78">
        <f>SUM(M309:N309)</f>
        <v>500</v>
      </c>
      <c r="P309" s="78"/>
      <c r="Q309" s="78">
        <f>SUM(O309:P309)</f>
        <v>500</v>
      </c>
      <c r="R309" s="78"/>
      <c r="S309" s="78">
        <f>SUM(Q309:R309)</f>
        <v>500</v>
      </c>
      <c r="T309" s="78"/>
      <c r="U309" s="78">
        <f>SUM(S309:T309)</f>
        <v>500</v>
      </c>
      <c r="V309" s="78"/>
      <c r="W309" s="78">
        <f>SUM(U309:V309)</f>
        <v>500</v>
      </c>
      <c r="X309" s="78"/>
      <c r="Y309" s="78">
        <f>SUM(W309:X309)</f>
        <v>500</v>
      </c>
      <c r="Z309" s="117"/>
      <c r="AA309" s="117"/>
    </row>
    <row r="310" spans="1:25" s="26" customFormat="1" ht="21" customHeight="1">
      <c r="A310" s="65"/>
      <c r="B310" s="79"/>
      <c r="C310" s="65">
        <v>4210</v>
      </c>
      <c r="D310" s="41" t="s">
        <v>75</v>
      </c>
      <c r="E310" s="78">
        <v>1100</v>
      </c>
      <c r="F310" s="78"/>
      <c r="G310" s="78">
        <f t="shared" si="218"/>
        <v>1100</v>
      </c>
      <c r="H310" s="78"/>
      <c r="I310" s="78">
        <f>SUM(G310:H310)</f>
        <v>1100</v>
      </c>
      <c r="J310" s="78"/>
      <c r="K310" s="78">
        <f>SUM(I310:J310)</f>
        <v>1100</v>
      </c>
      <c r="L310" s="78"/>
      <c r="M310" s="78">
        <f>SUM(K310:L310)</f>
        <v>1100</v>
      </c>
      <c r="N310" s="78"/>
      <c r="O310" s="78">
        <f>SUM(M310:N310)</f>
        <v>1100</v>
      </c>
      <c r="P310" s="78"/>
      <c r="Q310" s="78">
        <f>SUM(O310:P310)</f>
        <v>1100</v>
      </c>
      <c r="R310" s="78"/>
      <c r="S310" s="78">
        <f>SUM(Q310:R310)</f>
        <v>1100</v>
      </c>
      <c r="T310" s="78"/>
      <c r="U310" s="78">
        <f>SUM(S310:T310)</f>
        <v>1100</v>
      </c>
      <c r="V310" s="78">
        <v>85</v>
      </c>
      <c r="W310" s="78">
        <f>SUM(U310:V310)</f>
        <v>1185</v>
      </c>
      <c r="X310" s="78"/>
      <c r="Y310" s="78">
        <f>SUM(W310:X310)</f>
        <v>1185</v>
      </c>
    </row>
    <row r="311" spans="1:25" s="26" customFormat="1" ht="21" customHeight="1">
      <c r="A311" s="65"/>
      <c r="B311" s="79"/>
      <c r="C311" s="65">
        <v>4300</v>
      </c>
      <c r="D311" s="14" t="s">
        <v>82</v>
      </c>
      <c r="E311" s="69">
        <f>50986+5000</f>
        <v>55986</v>
      </c>
      <c r="F311" s="69"/>
      <c r="G311" s="78">
        <f t="shared" si="218"/>
        <v>55986</v>
      </c>
      <c r="H311" s="69"/>
      <c r="I311" s="78">
        <f>SUM(G311:H311)</f>
        <v>55986</v>
      </c>
      <c r="J311" s="69"/>
      <c r="K311" s="78">
        <f>SUM(I311:J311)</f>
        <v>55986</v>
      </c>
      <c r="L311" s="69"/>
      <c r="M311" s="78">
        <f>SUM(K311:L311)</f>
        <v>55986</v>
      </c>
      <c r="N311" s="69"/>
      <c r="O311" s="78">
        <f>SUM(M311:N311)</f>
        <v>55986</v>
      </c>
      <c r="P311" s="69"/>
      <c r="Q311" s="78">
        <f>SUM(O311:P311)</f>
        <v>55986</v>
      </c>
      <c r="R311" s="69"/>
      <c r="S311" s="78">
        <f>SUM(Q311:R311)</f>
        <v>55986</v>
      </c>
      <c r="T311" s="69"/>
      <c r="U311" s="78">
        <f>SUM(S311:T311)</f>
        <v>55986</v>
      </c>
      <c r="V311" s="69"/>
      <c r="W311" s="78">
        <f>SUM(U311:V311)</f>
        <v>55986</v>
      </c>
      <c r="X311" s="69"/>
      <c r="Y311" s="78">
        <f>SUM(W311:X311)</f>
        <v>55986</v>
      </c>
    </row>
    <row r="312" spans="1:25" s="26" customFormat="1" ht="21" customHeight="1">
      <c r="A312" s="65"/>
      <c r="B312" s="79"/>
      <c r="C312" s="68">
        <v>4430</v>
      </c>
      <c r="D312" s="41" t="s">
        <v>97</v>
      </c>
      <c r="E312" s="69"/>
      <c r="F312" s="69"/>
      <c r="G312" s="78"/>
      <c r="H312" s="69"/>
      <c r="I312" s="78"/>
      <c r="J312" s="69"/>
      <c r="K312" s="78"/>
      <c r="L312" s="69"/>
      <c r="M312" s="78"/>
      <c r="N312" s="69"/>
      <c r="O312" s="78"/>
      <c r="P312" s="69"/>
      <c r="Q312" s="78">
        <v>0</v>
      </c>
      <c r="R312" s="69">
        <v>1500</v>
      </c>
      <c r="S312" s="78">
        <f>SUM(Q312:R312)</f>
        <v>1500</v>
      </c>
      <c r="T312" s="69"/>
      <c r="U312" s="78">
        <f>SUM(S312:T312)</f>
        <v>1500</v>
      </c>
      <c r="V312" s="69"/>
      <c r="W312" s="78">
        <f>SUM(U312:V312)</f>
        <v>1500</v>
      </c>
      <c r="X312" s="69"/>
      <c r="Y312" s="78">
        <f>SUM(W312:X312)</f>
        <v>1500</v>
      </c>
    </row>
    <row r="313" spans="1:25" s="26" customFormat="1" ht="21" customHeight="1">
      <c r="A313" s="65"/>
      <c r="B313" s="79"/>
      <c r="C313" s="65">
        <v>4440</v>
      </c>
      <c r="D313" s="41" t="s">
        <v>91</v>
      </c>
      <c r="E313" s="78">
        <v>174084</v>
      </c>
      <c r="F313" s="78"/>
      <c r="G313" s="78">
        <f t="shared" si="218"/>
        <v>174084</v>
      </c>
      <c r="H313" s="78"/>
      <c r="I313" s="78">
        <f>SUM(G313:H313)</f>
        <v>174084</v>
      </c>
      <c r="J313" s="78"/>
      <c r="K313" s="78">
        <f>SUM(I313:J313)</f>
        <v>174084</v>
      </c>
      <c r="L313" s="78"/>
      <c r="M313" s="78">
        <f>SUM(K313:L313)</f>
        <v>174084</v>
      </c>
      <c r="N313" s="78"/>
      <c r="O313" s="78">
        <f>SUM(M313:N313)</f>
        <v>174084</v>
      </c>
      <c r="P313" s="78"/>
      <c r="Q313" s="78">
        <f>SUM(O313:P313)</f>
        <v>174084</v>
      </c>
      <c r="R313" s="78"/>
      <c r="S313" s="78">
        <f>SUM(Q313:R313)</f>
        <v>174084</v>
      </c>
      <c r="T313" s="78"/>
      <c r="U313" s="78">
        <f>SUM(S313:T313)</f>
        <v>174084</v>
      </c>
      <c r="V313" s="78"/>
      <c r="W313" s="78">
        <f>SUM(U313:V313)</f>
        <v>174084</v>
      </c>
      <c r="X313" s="78"/>
      <c r="Y313" s="78">
        <f>SUM(W313:X313)</f>
        <v>174084</v>
      </c>
    </row>
    <row r="314" spans="1:25" s="8" customFormat="1" ht="21" customHeight="1">
      <c r="A314" s="36" t="s">
        <v>121</v>
      </c>
      <c r="B314" s="37"/>
      <c r="C314" s="38"/>
      <c r="D314" s="39" t="s">
        <v>55</v>
      </c>
      <c r="E314" s="40">
        <f aca="true" t="shared" si="248" ref="E314:K314">SUM(E317,E328,E315)</f>
        <v>102408</v>
      </c>
      <c r="F314" s="40">
        <f t="shared" si="248"/>
        <v>-75000</v>
      </c>
      <c r="G314" s="40">
        <f t="shared" si="248"/>
        <v>97408</v>
      </c>
      <c r="H314" s="40">
        <f t="shared" si="248"/>
        <v>64010</v>
      </c>
      <c r="I314" s="40">
        <f t="shared" si="248"/>
        <v>161418</v>
      </c>
      <c r="J314" s="40">
        <f t="shared" si="248"/>
        <v>0</v>
      </c>
      <c r="K314" s="40">
        <f t="shared" si="248"/>
        <v>161418</v>
      </c>
      <c r="L314" s="40">
        <f aca="true" t="shared" si="249" ref="L314:Q314">SUM(L317,L328,L315)</f>
        <v>0</v>
      </c>
      <c r="M314" s="40">
        <f t="shared" si="249"/>
        <v>161418</v>
      </c>
      <c r="N314" s="40">
        <f t="shared" si="249"/>
        <v>0</v>
      </c>
      <c r="O314" s="40">
        <f t="shared" si="249"/>
        <v>161418</v>
      </c>
      <c r="P314" s="40">
        <f t="shared" si="249"/>
        <v>0</v>
      </c>
      <c r="Q314" s="40">
        <f t="shared" si="249"/>
        <v>161418</v>
      </c>
      <c r="R314" s="40">
        <f aca="true" t="shared" si="250" ref="R314:W314">SUM(R317,R328,R315)</f>
        <v>0</v>
      </c>
      <c r="S314" s="40">
        <f t="shared" si="250"/>
        <v>161418</v>
      </c>
      <c r="T314" s="40">
        <f t="shared" si="250"/>
        <v>0</v>
      </c>
      <c r="U314" s="40">
        <f t="shared" si="250"/>
        <v>161418</v>
      </c>
      <c r="V314" s="40">
        <f t="shared" si="250"/>
        <v>0</v>
      </c>
      <c r="W314" s="40">
        <f t="shared" si="250"/>
        <v>161418</v>
      </c>
      <c r="X314" s="40">
        <f>SUM(X317,X328,X315)</f>
        <v>0</v>
      </c>
      <c r="Y314" s="40">
        <f>SUM(Y317,Y328,Y315)</f>
        <v>161418</v>
      </c>
    </row>
    <row r="315" spans="1:25" s="8" customFormat="1" ht="21" customHeight="1">
      <c r="A315" s="36"/>
      <c r="B315" s="84">
        <v>85153</v>
      </c>
      <c r="C315" s="83"/>
      <c r="D315" s="41" t="s">
        <v>230</v>
      </c>
      <c r="E315" s="78">
        <f aca="true" t="shared" si="251" ref="E315:Y315">SUM(E316:E316)</f>
        <v>6360</v>
      </c>
      <c r="F315" s="78">
        <f t="shared" si="251"/>
        <v>0</v>
      </c>
      <c r="G315" s="78">
        <f t="shared" si="251"/>
        <v>6360</v>
      </c>
      <c r="H315" s="78">
        <f t="shared" si="251"/>
        <v>0</v>
      </c>
      <c r="I315" s="78">
        <f t="shared" si="251"/>
        <v>6360</v>
      </c>
      <c r="J315" s="78">
        <f t="shared" si="251"/>
        <v>0</v>
      </c>
      <c r="K315" s="78">
        <f t="shared" si="251"/>
        <v>6360</v>
      </c>
      <c r="L315" s="78">
        <f t="shared" si="251"/>
        <v>0</v>
      </c>
      <c r="M315" s="78">
        <f t="shared" si="251"/>
        <v>6360</v>
      </c>
      <c r="N315" s="78">
        <f t="shared" si="251"/>
        <v>0</v>
      </c>
      <c r="O315" s="78">
        <f t="shared" si="251"/>
        <v>6360</v>
      </c>
      <c r="P315" s="78">
        <f t="shared" si="251"/>
        <v>0</v>
      </c>
      <c r="Q315" s="78">
        <f t="shared" si="251"/>
        <v>6360</v>
      </c>
      <c r="R315" s="78">
        <f t="shared" si="251"/>
        <v>0</v>
      </c>
      <c r="S315" s="78">
        <f t="shared" si="251"/>
        <v>6360</v>
      </c>
      <c r="T315" s="78">
        <f t="shared" si="251"/>
        <v>0</v>
      </c>
      <c r="U315" s="78">
        <f t="shared" si="251"/>
        <v>6360</v>
      </c>
      <c r="V315" s="78">
        <f t="shared" si="251"/>
        <v>0</v>
      </c>
      <c r="W315" s="78">
        <f t="shared" si="251"/>
        <v>6360</v>
      </c>
      <c r="X315" s="78">
        <f t="shared" si="251"/>
        <v>0</v>
      </c>
      <c r="Y315" s="78">
        <f t="shared" si="251"/>
        <v>6360</v>
      </c>
    </row>
    <row r="316" spans="1:25" s="8" customFormat="1" ht="21" customHeight="1">
      <c r="A316" s="36"/>
      <c r="B316" s="84"/>
      <c r="C316" s="83">
        <v>4300</v>
      </c>
      <c r="D316" s="41" t="s">
        <v>82</v>
      </c>
      <c r="E316" s="78">
        <v>6360</v>
      </c>
      <c r="F316" s="78"/>
      <c r="G316" s="78">
        <f t="shared" si="218"/>
        <v>6360</v>
      </c>
      <c r="H316" s="78"/>
      <c r="I316" s="78">
        <f>SUM(G316:H316)</f>
        <v>6360</v>
      </c>
      <c r="J316" s="78"/>
      <c r="K316" s="78">
        <f>SUM(I316:J316)</f>
        <v>6360</v>
      </c>
      <c r="L316" s="78"/>
      <c r="M316" s="78">
        <f>SUM(K316:L316)</f>
        <v>6360</v>
      </c>
      <c r="N316" s="78"/>
      <c r="O316" s="78">
        <f>SUM(M316:N316)</f>
        <v>6360</v>
      </c>
      <c r="P316" s="78"/>
      <c r="Q316" s="78">
        <f>SUM(O316:P316)</f>
        <v>6360</v>
      </c>
      <c r="R316" s="78"/>
      <c r="S316" s="78">
        <f>SUM(Q316:R316)</f>
        <v>6360</v>
      </c>
      <c r="T316" s="78"/>
      <c r="U316" s="78">
        <f>SUM(S316:T316)</f>
        <v>6360</v>
      </c>
      <c r="V316" s="78"/>
      <c r="W316" s="78">
        <f>SUM(U316:V316)</f>
        <v>6360</v>
      </c>
      <c r="X316" s="78"/>
      <c r="Y316" s="78">
        <f>SUM(W316:X316)</f>
        <v>6360</v>
      </c>
    </row>
    <row r="317" spans="1:25" s="26" customFormat="1" ht="21" customHeight="1">
      <c r="A317" s="65"/>
      <c r="B317" s="79" t="s">
        <v>122</v>
      </c>
      <c r="C317" s="83"/>
      <c r="D317" s="41" t="s">
        <v>56</v>
      </c>
      <c r="E317" s="78">
        <f>SUM(E320:E327)</f>
        <v>86048</v>
      </c>
      <c r="F317" s="78">
        <f>SUM(F320:F327)</f>
        <v>-75000</v>
      </c>
      <c r="G317" s="78">
        <f aca="true" t="shared" si="252" ref="G317:M317">SUM(G319:G327)</f>
        <v>81048</v>
      </c>
      <c r="H317" s="78">
        <f t="shared" si="252"/>
        <v>64010</v>
      </c>
      <c r="I317" s="78">
        <f t="shared" si="252"/>
        <v>145058</v>
      </c>
      <c r="J317" s="78">
        <f t="shared" si="252"/>
        <v>0</v>
      </c>
      <c r="K317" s="78">
        <f t="shared" si="252"/>
        <v>145058</v>
      </c>
      <c r="L317" s="78">
        <f t="shared" si="252"/>
        <v>0</v>
      </c>
      <c r="M317" s="78">
        <f t="shared" si="252"/>
        <v>145058</v>
      </c>
      <c r="N317" s="78">
        <f>SUM(N319:N327)</f>
        <v>0</v>
      </c>
      <c r="O317" s="78">
        <f>SUM(O319:O327)</f>
        <v>145058</v>
      </c>
      <c r="P317" s="78">
        <f>SUM(P319:P327)</f>
        <v>0</v>
      </c>
      <c r="Q317" s="78">
        <f aca="true" t="shared" si="253" ref="Q317:W317">SUM(Q318:Q327)</f>
        <v>145058</v>
      </c>
      <c r="R317" s="78">
        <f t="shared" si="253"/>
        <v>0</v>
      </c>
      <c r="S317" s="78">
        <f t="shared" si="253"/>
        <v>145058</v>
      </c>
      <c r="T317" s="78">
        <f t="shared" si="253"/>
        <v>0</v>
      </c>
      <c r="U317" s="78">
        <f t="shared" si="253"/>
        <v>145058</v>
      </c>
      <c r="V317" s="78">
        <f t="shared" si="253"/>
        <v>0</v>
      </c>
      <c r="W317" s="78">
        <f t="shared" si="253"/>
        <v>145058</v>
      </c>
      <c r="X317" s="78">
        <f>SUM(X318:X327)</f>
        <v>0</v>
      </c>
      <c r="Y317" s="78">
        <f>SUM(Y318:Y327)</f>
        <v>145058</v>
      </c>
    </row>
    <row r="318" spans="1:25" s="26" customFormat="1" ht="48">
      <c r="A318" s="65"/>
      <c r="B318" s="79"/>
      <c r="C318" s="83">
        <v>2710</v>
      </c>
      <c r="D318" s="14" t="s">
        <v>431</v>
      </c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>
        <v>0</v>
      </c>
      <c r="R318" s="78">
        <v>13425</v>
      </c>
      <c r="S318" s="78">
        <f aca="true" t="shared" si="254" ref="S318:S327">SUM(Q318:R318)</f>
        <v>13425</v>
      </c>
      <c r="T318" s="78"/>
      <c r="U318" s="78">
        <f aca="true" t="shared" si="255" ref="U318:U327">SUM(S318:T318)</f>
        <v>13425</v>
      </c>
      <c r="V318" s="78"/>
      <c r="W318" s="78">
        <f aca="true" t="shared" si="256" ref="W318:W327">SUM(U318:V318)</f>
        <v>13425</v>
      </c>
      <c r="X318" s="78"/>
      <c r="Y318" s="78">
        <f aca="true" t="shared" si="257" ref="Y318:Y327">SUM(W318:X318)</f>
        <v>13425</v>
      </c>
    </row>
    <row r="319" spans="1:25" s="26" customFormat="1" ht="34.5" customHeight="1">
      <c r="A319" s="65"/>
      <c r="B319" s="79"/>
      <c r="C319" s="83">
        <v>2820</v>
      </c>
      <c r="D319" s="41" t="s">
        <v>286</v>
      </c>
      <c r="E319" s="78" t="s">
        <v>286</v>
      </c>
      <c r="F319" s="78"/>
      <c r="G319" s="78">
        <v>0</v>
      </c>
      <c r="H319" s="78">
        <v>8130</v>
      </c>
      <c r="I319" s="78">
        <f aca="true" t="shared" si="258" ref="I319:I327">SUM(G319:H319)</f>
        <v>8130</v>
      </c>
      <c r="J319" s="78"/>
      <c r="K319" s="78">
        <f aca="true" t="shared" si="259" ref="K319:K327">SUM(I319:J319)</f>
        <v>8130</v>
      </c>
      <c r="L319" s="78"/>
      <c r="M319" s="78">
        <f aca="true" t="shared" si="260" ref="M319:M327">SUM(K319:L319)</f>
        <v>8130</v>
      </c>
      <c r="N319" s="78"/>
      <c r="O319" s="78">
        <f aca="true" t="shared" si="261" ref="O319:O327">SUM(M319:N319)</f>
        <v>8130</v>
      </c>
      <c r="P319" s="78"/>
      <c r="Q319" s="78">
        <f aca="true" t="shared" si="262" ref="Q319:Q327">SUM(O319:P319)</f>
        <v>8130</v>
      </c>
      <c r="R319" s="78"/>
      <c r="S319" s="78">
        <f t="shared" si="254"/>
        <v>8130</v>
      </c>
      <c r="T319" s="78"/>
      <c r="U319" s="78">
        <f t="shared" si="255"/>
        <v>8130</v>
      </c>
      <c r="V319" s="78"/>
      <c r="W319" s="78">
        <f t="shared" si="256"/>
        <v>8130</v>
      </c>
      <c r="X319" s="78"/>
      <c r="Y319" s="78">
        <f t="shared" si="257"/>
        <v>8130</v>
      </c>
    </row>
    <row r="320" spans="1:25" s="26" customFormat="1" ht="58.5" customHeight="1">
      <c r="A320" s="65"/>
      <c r="B320" s="84"/>
      <c r="C320" s="83">
        <v>2830</v>
      </c>
      <c r="D320" s="41" t="s">
        <v>383</v>
      </c>
      <c r="E320" s="78" t="s">
        <v>383</v>
      </c>
      <c r="F320" s="78">
        <v>-70000</v>
      </c>
      <c r="G320" s="78">
        <v>0</v>
      </c>
      <c r="H320" s="78">
        <f>50060+5820</f>
        <v>55880</v>
      </c>
      <c r="I320" s="78">
        <f t="shared" si="258"/>
        <v>55880</v>
      </c>
      <c r="J320" s="78"/>
      <c r="K320" s="78">
        <f t="shared" si="259"/>
        <v>55880</v>
      </c>
      <c r="L320" s="78"/>
      <c r="M320" s="78">
        <f t="shared" si="260"/>
        <v>55880</v>
      </c>
      <c r="N320" s="78"/>
      <c r="O320" s="78">
        <f t="shared" si="261"/>
        <v>55880</v>
      </c>
      <c r="P320" s="78"/>
      <c r="Q320" s="78">
        <f t="shared" si="262"/>
        <v>55880</v>
      </c>
      <c r="R320" s="78"/>
      <c r="S320" s="78">
        <f t="shared" si="254"/>
        <v>55880</v>
      </c>
      <c r="T320" s="78"/>
      <c r="U320" s="78">
        <f t="shared" si="255"/>
        <v>55880</v>
      </c>
      <c r="V320" s="78"/>
      <c r="W320" s="78">
        <f t="shared" si="256"/>
        <v>55880</v>
      </c>
      <c r="X320" s="78"/>
      <c r="Y320" s="78">
        <f t="shared" si="257"/>
        <v>55880</v>
      </c>
    </row>
    <row r="321" spans="1:27" s="26" customFormat="1" ht="21" customHeight="1">
      <c r="A321" s="65"/>
      <c r="B321" s="84"/>
      <c r="C321" s="83">
        <v>4110</v>
      </c>
      <c r="D321" s="14" t="s">
        <v>89</v>
      </c>
      <c r="E321" s="78">
        <v>1758</v>
      </c>
      <c r="F321" s="78"/>
      <c r="G321" s="78">
        <f t="shared" si="218"/>
        <v>1758</v>
      </c>
      <c r="H321" s="78"/>
      <c r="I321" s="78">
        <f t="shared" si="258"/>
        <v>1758</v>
      </c>
      <c r="J321" s="78"/>
      <c r="K321" s="78">
        <f t="shared" si="259"/>
        <v>1758</v>
      </c>
      <c r="L321" s="78"/>
      <c r="M321" s="78">
        <f t="shared" si="260"/>
        <v>1758</v>
      </c>
      <c r="N321" s="78"/>
      <c r="O321" s="78">
        <f t="shared" si="261"/>
        <v>1758</v>
      </c>
      <c r="P321" s="78"/>
      <c r="Q321" s="78">
        <f t="shared" si="262"/>
        <v>1758</v>
      </c>
      <c r="R321" s="78"/>
      <c r="S321" s="78">
        <f t="shared" si="254"/>
        <v>1758</v>
      </c>
      <c r="T321" s="78"/>
      <c r="U321" s="78">
        <f t="shared" si="255"/>
        <v>1758</v>
      </c>
      <c r="V321" s="78"/>
      <c r="W321" s="78">
        <f t="shared" si="256"/>
        <v>1758</v>
      </c>
      <c r="X321" s="78"/>
      <c r="Y321" s="78">
        <f t="shared" si="257"/>
        <v>1758</v>
      </c>
      <c r="Z321" s="117"/>
      <c r="AA321" s="117"/>
    </row>
    <row r="322" spans="1:27" s="26" customFormat="1" ht="21" customHeight="1">
      <c r="A322" s="65"/>
      <c r="B322" s="84"/>
      <c r="C322" s="83">
        <v>4170</v>
      </c>
      <c r="D322" s="41" t="s">
        <v>202</v>
      </c>
      <c r="E322" s="78">
        <v>37800</v>
      </c>
      <c r="F322" s="78"/>
      <c r="G322" s="78">
        <f t="shared" si="218"/>
        <v>37800</v>
      </c>
      <c r="H322" s="78"/>
      <c r="I322" s="78">
        <f t="shared" si="258"/>
        <v>37800</v>
      </c>
      <c r="J322" s="78"/>
      <c r="K322" s="78">
        <f t="shared" si="259"/>
        <v>37800</v>
      </c>
      <c r="L322" s="78"/>
      <c r="M322" s="78">
        <f t="shared" si="260"/>
        <v>37800</v>
      </c>
      <c r="N322" s="78"/>
      <c r="O322" s="78">
        <f t="shared" si="261"/>
        <v>37800</v>
      </c>
      <c r="P322" s="78"/>
      <c r="Q322" s="78">
        <f t="shared" si="262"/>
        <v>37800</v>
      </c>
      <c r="R322" s="78">
        <v>-1000</v>
      </c>
      <c r="S322" s="78">
        <f t="shared" si="254"/>
        <v>36800</v>
      </c>
      <c r="T322" s="78"/>
      <c r="U322" s="78">
        <f t="shared" si="255"/>
        <v>36800</v>
      </c>
      <c r="V322" s="78"/>
      <c r="W322" s="78">
        <f t="shared" si="256"/>
        <v>36800</v>
      </c>
      <c r="X322" s="78"/>
      <c r="Y322" s="78">
        <f t="shared" si="257"/>
        <v>36800</v>
      </c>
      <c r="Z322" s="117"/>
      <c r="AA322" s="117"/>
    </row>
    <row r="323" spans="1:25" s="26" customFormat="1" ht="21" customHeight="1">
      <c r="A323" s="65"/>
      <c r="B323" s="84"/>
      <c r="C323" s="83">
        <v>4210</v>
      </c>
      <c r="D323" s="14" t="s">
        <v>95</v>
      </c>
      <c r="E323" s="78">
        <v>8000</v>
      </c>
      <c r="F323" s="78"/>
      <c r="G323" s="78">
        <f t="shared" si="218"/>
        <v>8000</v>
      </c>
      <c r="H323" s="78"/>
      <c r="I323" s="78">
        <f t="shared" si="258"/>
        <v>8000</v>
      </c>
      <c r="J323" s="78"/>
      <c r="K323" s="78">
        <f t="shared" si="259"/>
        <v>8000</v>
      </c>
      <c r="L323" s="78"/>
      <c r="M323" s="78">
        <f t="shared" si="260"/>
        <v>8000</v>
      </c>
      <c r="N323" s="78"/>
      <c r="O323" s="78">
        <f t="shared" si="261"/>
        <v>8000</v>
      </c>
      <c r="P323" s="78"/>
      <c r="Q323" s="78">
        <f t="shared" si="262"/>
        <v>8000</v>
      </c>
      <c r="R323" s="78">
        <v>-900</v>
      </c>
      <c r="S323" s="78">
        <f t="shared" si="254"/>
        <v>7100</v>
      </c>
      <c r="T323" s="78"/>
      <c r="U323" s="78">
        <f t="shared" si="255"/>
        <v>7100</v>
      </c>
      <c r="V323" s="78"/>
      <c r="W323" s="78">
        <f t="shared" si="256"/>
        <v>7100</v>
      </c>
      <c r="X323" s="78"/>
      <c r="Y323" s="78">
        <f t="shared" si="257"/>
        <v>7100</v>
      </c>
    </row>
    <row r="324" spans="1:25" s="26" customFormat="1" ht="21" customHeight="1">
      <c r="A324" s="65"/>
      <c r="B324" s="84"/>
      <c r="C324" s="83">
        <v>4220</v>
      </c>
      <c r="D324" s="14" t="s">
        <v>185</v>
      </c>
      <c r="E324" s="78">
        <v>10000</v>
      </c>
      <c r="F324" s="78"/>
      <c r="G324" s="78">
        <f t="shared" si="218"/>
        <v>10000</v>
      </c>
      <c r="H324" s="78"/>
      <c r="I324" s="78">
        <f t="shared" si="258"/>
        <v>10000</v>
      </c>
      <c r="J324" s="78"/>
      <c r="K324" s="78">
        <f t="shared" si="259"/>
        <v>10000</v>
      </c>
      <c r="L324" s="78"/>
      <c r="M324" s="78">
        <f t="shared" si="260"/>
        <v>10000</v>
      </c>
      <c r="N324" s="78"/>
      <c r="O324" s="78">
        <f t="shared" si="261"/>
        <v>10000</v>
      </c>
      <c r="P324" s="78"/>
      <c r="Q324" s="78">
        <f t="shared" si="262"/>
        <v>10000</v>
      </c>
      <c r="R324" s="78">
        <v>-3825</v>
      </c>
      <c r="S324" s="78">
        <f t="shared" si="254"/>
        <v>6175</v>
      </c>
      <c r="T324" s="78"/>
      <c r="U324" s="78">
        <f t="shared" si="255"/>
        <v>6175</v>
      </c>
      <c r="V324" s="78"/>
      <c r="W324" s="78">
        <f t="shared" si="256"/>
        <v>6175</v>
      </c>
      <c r="X324" s="78"/>
      <c r="Y324" s="78">
        <f t="shared" si="257"/>
        <v>6175</v>
      </c>
    </row>
    <row r="325" spans="1:25" s="26" customFormat="1" ht="21" customHeight="1">
      <c r="A325" s="65"/>
      <c r="B325" s="84"/>
      <c r="C325" s="83">
        <v>4300</v>
      </c>
      <c r="D325" s="41" t="s">
        <v>82</v>
      </c>
      <c r="E325" s="78">
        <f>25240+850</f>
        <v>26090</v>
      </c>
      <c r="F325" s="78">
        <v>-5000</v>
      </c>
      <c r="G325" s="78">
        <f t="shared" si="218"/>
        <v>21090</v>
      </c>
      <c r="H325" s="78"/>
      <c r="I325" s="78">
        <f t="shared" si="258"/>
        <v>21090</v>
      </c>
      <c r="J325" s="78"/>
      <c r="K325" s="78">
        <f t="shared" si="259"/>
        <v>21090</v>
      </c>
      <c r="L325" s="78"/>
      <c r="M325" s="78">
        <f t="shared" si="260"/>
        <v>21090</v>
      </c>
      <c r="N325" s="78"/>
      <c r="O325" s="78">
        <f t="shared" si="261"/>
        <v>21090</v>
      </c>
      <c r="P325" s="78"/>
      <c r="Q325" s="78">
        <f t="shared" si="262"/>
        <v>21090</v>
      </c>
      <c r="R325" s="78">
        <v>-7700</v>
      </c>
      <c r="S325" s="78">
        <f t="shared" si="254"/>
        <v>13390</v>
      </c>
      <c r="T325" s="78"/>
      <c r="U325" s="78">
        <f t="shared" si="255"/>
        <v>13390</v>
      </c>
      <c r="V325" s="78"/>
      <c r="W325" s="78">
        <f t="shared" si="256"/>
        <v>13390</v>
      </c>
      <c r="X325" s="78"/>
      <c r="Y325" s="78">
        <f t="shared" si="257"/>
        <v>13390</v>
      </c>
    </row>
    <row r="326" spans="1:25" s="26" customFormat="1" ht="21" customHeight="1">
      <c r="A326" s="65"/>
      <c r="B326" s="84"/>
      <c r="C326" s="83">
        <v>4350</v>
      </c>
      <c r="D326" s="41" t="s">
        <v>215</v>
      </c>
      <c r="E326" s="78">
        <v>1200</v>
      </c>
      <c r="F326" s="78"/>
      <c r="G326" s="78">
        <f t="shared" si="218"/>
        <v>1200</v>
      </c>
      <c r="H326" s="78"/>
      <c r="I326" s="78">
        <f t="shared" si="258"/>
        <v>1200</v>
      </c>
      <c r="J326" s="78"/>
      <c r="K326" s="78">
        <f t="shared" si="259"/>
        <v>1200</v>
      </c>
      <c r="L326" s="78"/>
      <c r="M326" s="78">
        <f t="shared" si="260"/>
        <v>1200</v>
      </c>
      <c r="N326" s="78"/>
      <c r="O326" s="78">
        <f t="shared" si="261"/>
        <v>1200</v>
      </c>
      <c r="P326" s="78"/>
      <c r="Q326" s="78">
        <f t="shared" si="262"/>
        <v>1200</v>
      </c>
      <c r="R326" s="78"/>
      <c r="S326" s="78">
        <f t="shared" si="254"/>
        <v>1200</v>
      </c>
      <c r="T326" s="78"/>
      <c r="U326" s="78">
        <f t="shared" si="255"/>
        <v>1200</v>
      </c>
      <c r="V326" s="78"/>
      <c r="W326" s="78">
        <f t="shared" si="256"/>
        <v>1200</v>
      </c>
      <c r="X326" s="78"/>
      <c r="Y326" s="78">
        <f t="shared" si="257"/>
        <v>1200</v>
      </c>
    </row>
    <row r="327" spans="1:25" s="26" customFormat="1" ht="21" customHeight="1">
      <c r="A327" s="65"/>
      <c r="B327" s="84"/>
      <c r="C327" s="83">
        <v>4410</v>
      </c>
      <c r="D327" s="41" t="s">
        <v>93</v>
      </c>
      <c r="E327" s="78">
        <v>1200</v>
      </c>
      <c r="F327" s="78"/>
      <c r="G327" s="78">
        <f t="shared" si="218"/>
        <v>1200</v>
      </c>
      <c r="H327" s="78"/>
      <c r="I327" s="78">
        <f t="shared" si="258"/>
        <v>1200</v>
      </c>
      <c r="J327" s="78"/>
      <c r="K327" s="78">
        <f t="shared" si="259"/>
        <v>1200</v>
      </c>
      <c r="L327" s="78"/>
      <c r="M327" s="78">
        <f t="shared" si="260"/>
        <v>1200</v>
      </c>
      <c r="N327" s="78"/>
      <c r="O327" s="78">
        <f t="shared" si="261"/>
        <v>1200</v>
      </c>
      <c r="P327" s="78"/>
      <c r="Q327" s="78">
        <f t="shared" si="262"/>
        <v>1200</v>
      </c>
      <c r="R327" s="78"/>
      <c r="S327" s="78">
        <f t="shared" si="254"/>
        <v>1200</v>
      </c>
      <c r="T327" s="78"/>
      <c r="U327" s="78">
        <f t="shared" si="255"/>
        <v>1200</v>
      </c>
      <c r="V327" s="78"/>
      <c r="W327" s="78">
        <f t="shared" si="256"/>
        <v>1200</v>
      </c>
      <c r="X327" s="78"/>
      <c r="Y327" s="78">
        <f t="shared" si="257"/>
        <v>1200</v>
      </c>
    </row>
    <row r="328" spans="1:25" s="26" customFormat="1" ht="21" customHeight="1">
      <c r="A328" s="65"/>
      <c r="B328" s="84">
        <v>85195</v>
      </c>
      <c r="C328" s="83"/>
      <c r="D328" s="41" t="s">
        <v>6</v>
      </c>
      <c r="E328" s="78">
        <f aca="true" t="shared" si="263" ref="E328:Y328">SUM(E329)</f>
        <v>10000</v>
      </c>
      <c r="F328" s="78">
        <f t="shared" si="263"/>
        <v>0</v>
      </c>
      <c r="G328" s="78">
        <f t="shared" si="263"/>
        <v>10000</v>
      </c>
      <c r="H328" s="78">
        <f t="shared" si="263"/>
        <v>0</v>
      </c>
      <c r="I328" s="78">
        <f t="shared" si="263"/>
        <v>10000</v>
      </c>
      <c r="J328" s="78">
        <f t="shared" si="263"/>
        <v>0</v>
      </c>
      <c r="K328" s="78">
        <f t="shared" si="263"/>
        <v>10000</v>
      </c>
      <c r="L328" s="78">
        <f t="shared" si="263"/>
        <v>0</v>
      </c>
      <c r="M328" s="78">
        <f t="shared" si="263"/>
        <v>10000</v>
      </c>
      <c r="N328" s="78">
        <f t="shared" si="263"/>
        <v>0</v>
      </c>
      <c r="O328" s="78">
        <f t="shared" si="263"/>
        <v>10000</v>
      </c>
      <c r="P328" s="78">
        <f t="shared" si="263"/>
        <v>0</v>
      </c>
      <c r="Q328" s="78">
        <f t="shared" si="263"/>
        <v>10000</v>
      </c>
      <c r="R328" s="78">
        <f t="shared" si="263"/>
        <v>0</v>
      </c>
      <c r="S328" s="78">
        <f t="shared" si="263"/>
        <v>10000</v>
      </c>
      <c r="T328" s="78">
        <f t="shared" si="263"/>
        <v>0</v>
      </c>
      <c r="U328" s="78">
        <f t="shared" si="263"/>
        <v>10000</v>
      </c>
      <c r="V328" s="78">
        <f t="shared" si="263"/>
        <v>0</v>
      </c>
      <c r="W328" s="78">
        <f t="shared" si="263"/>
        <v>10000</v>
      </c>
      <c r="X328" s="78">
        <f t="shared" si="263"/>
        <v>0</v>
      </c>
      <c r="Y328" s="78">
        <f t="shared" si="263"/>
        <v>10000</v>
      </c>
    </row>
    <row r="329" spans="1:25" s="26" customFormat="1" ht="21" customHeight="1">
      <c r="A329" s="65"/>
      <c r="B329" s="84"/>
      <c r="C329" s="83">
        <v>4430</v>
      </c>
      <c r="D329" s="41" t="s">
        <v>97</v>
      </c>
      <c r="E329" s="78">
        <v>10000</v>
      </c>
      <c r="F329" s="78"/>
      <c r="G329" s="78">
        <f t="shared" si="218"/>
        <v>10000</v>
      </c>
      <c r="H329" s="78"/>
      <c r="I329" s="78">
        <f>SUM(G329:H329)</f>
        <v>10000</v>
      </c>
      <c r="J329" s="78"/>
      <c r="K329" s="78">
        <f>SUM(I329:J329)</f>
        <v>10000</v>
      </c>
      <c r="L329" s="78"/>
      <c r="M329" s="78">
        <f>SUM(K329:L329)</f>
        <v>10000</v>
      </c>
      <c r="N329" s="78"/>
      <c r="O329" s="78">
        <f>SUM(M329:N329)</f>
        <v>10000</v>
      </c>
      <c r="P329" s="78"/>
      <c r="Q329" s="78">
        <f>SUM(O329:P329)</f>
        <v>10000</v>
      </c>
      <c r="R329" s="78"/>
      <c r="S329" s="78">
        <f>SUM(Q329:R329)</f>
        <v>10000</v>
      </c>
      <c r="T329" s="78"/>
      <c r="U329" s="78">
        <f>SUM(S329:T329)</f>
        <v>10000</v>
      </c>
      <c r="V329" s="78"/>
      <c r="W329" s="78">
        <f>SUM(U329:V329)</f>
        <v>10000</v>
      </c>
      <c r="X329" s="78"/>
      <c r="Y329" s="78">
        <f>SUM(W329:X329)</f>
        <v>10000</v>
      </c>
    </row>
    <row r="330" spans="1:25" s="8" customFormat="1" ht="24.75" customHeight="1">
      <c r="A330" s="59">
        <v>852</v>
      </c>
      <c r="B330" s="37"/>
      <c r="C330" s="38"/>
      <c r="D330" s="39" t="s">
        <v>195</v>
      </c>
      <c r="E330" s="40">
        <f aca="true" t="shared" si="264" ref="E330:K330">SUM(E331,E355,E357,E360,E362,E386,E388,)</f>
        <v>11465246</v>
      </c>
      <c r="F330" s="40">
        <f t="shared" si="264"/>
        <v>0</v>
      </c>
      <c r="G330" s="40">
        <f t="shared" si="264"/>
        <v>11465246</v>
      </c>
      <c r="H330" s="40">
        <f t="shared" si="264"/>
        <v>0</v>
      </c>
      <c r="I330" s="40">
        <f t="shared" si="264"/>
        <v>11465246</v>
      </c>
      <c r="J330" s="40">
        <f t="shared" si="264"/>
        <v>312600</v>
      </c>
      <c r="K330" s="40">
        <f t="shared" si="264"/>
        <v>11777846</v>
      </c>
      <c r="L330" s="40">
        <f aca="true" t="shared" si="265" ref="L330:Q330">SUM(L331,L355,L357,L360,L362,L386,L388,)</f>
        <v>36050</v>
      </c>
      <c r="M330" s="40">
        <f t="shared" si="265"/>
        <v>11813896</v>
      </c>
      <c r="N330" s="40">
        <f t="shared" si="265"/>
        <v>75000</v>
      </c>
      <c r="O330" s="40">
        <f t="shared" si="265"/>
        <v>11888896</v>
      </c>
      <c r="P330" s="40">
        <f t="shared" si="265"/>
        <v>0</v>
      </c>
      <c r="Q330" s="40">
        <f t="shared" si="265"/>
        <v>11888896</v>
      </c>
      <c r="R330" s="40">
        <f aca="true" t="shared" si="266" ref="R330:W330">SUM(R331,R355,R357,R360,R362,R386,R388,)</f>
        <v>0</v>
      </c>
      <c r="S330" s="40">
        <f t="shared" si="266"/>
        <v>11888896</v>
      </c>
      <c r="T330" s="40">
        <f t="shared" si="266"/>
        <v>0</v>
      </c>
      <c r="U330" s="40">
        <f t="shared" si="266"/>
        <v>11888896</v>
      </c>
      <c r="V330" s="40">
        <f t="shared" si="266"/>
        <v>12750</v>
      </c>
      <c r="W330" s="40">
        <f t="shared" si="266"/>
        <v>11901646</v>
      </c>
      <c r="X330" s="40">
        <f>SUM(X331,X355,X357,X360,X362,X386,X388,)</f>
        <v>0</v>
      </c>
      <c r="Y330" s="40">
        <f>SUM(Y331,Y355,Y357,Y360,Y362,Y386,Y388,)</f>
        <v>11901646</v>
      </c>
    </row>
    <row r="331" spans="1:25" s="26" customFormat="1" ht="48">
      <c r="A331" s="93"/>
      <c r="B331" s="48">
        <v>85212</v>
      </c>
      <c r="C331" s="76"/>
      <c r="D331" s="74" t="s">
        <v>414</v>
      </c>
      <c r="E331" s="69">
        <f aca="true" t="shared" si="267" ref="E331:K331">SUM(E332:E354)</f>
        <v>6568634</v>
      </c>
      <c r="F331" s="69">
        <f t="shared" si="267"/>
        <v>0</v>
      </c>
      <c r="G331" s="69">
        <f t="shared" si="267"/>
        <v>6568634</v>
      </c>
      <c r="H331" s="69">
        <f t="shared" si="267"/>
        <v>0</v>
      </c>
      <c r="I331" s="69">
        <f t="shared" si="267"/>
        <v>6568634</v>
      </c>
      <c r="J331" s="69">
        <f t="shared" si="267"/>
        <v>334300</v>
      </c>
      <c r="K331" s="69">
        <f t="shared" si="267"/>
        <v>6902934</v>
      </c>
      <c r="L331" s="69">
        <f aca="true" t="shared" si="268" ref="L331:Q331">SUM(L332:L354)</f>
        <v>0</v>
      </c>
      <c r="M331" s="69">
        <f t="shared" si="268"/>
        <v>6902934</v>
      </c>
      <c r="N331" s="69">
        <f t="shared" si="268"/>
        <v>0</v>
      </c>
      <c r="O331" s="69">
        <f t="shared" si="268"/>
        <v>6902934</v>
      </c>
      <c r="P331" s="69">
        <f t="shared" si="268"/>
        <v>0</v>
      </c>
      <c r="Q331" s="69">
        <f t="shared" si="268"/>
        <v>6902934</v>
      </c>
      <c r="R331" s="69">
        <f aca="true" t="shared" si="269" ref="R331:W331">SUM(R332:R354)</f>
        <v>0</v>
      </c>
      <c r="S331" s="69">
        <f t="shared" si="269"/>
        <v>6902934</v>
      </c>
      <c r="T331" s="69">
        <f t="shared" si="269"/>
        <v>0</v>
      </c>
      <c r="U331" s="69">
        <f t="shared" si="269"/>
        <v>6902934</v>
      </c>
      <c r="V331" s="69">
        <f t="shared" si="269"/>
        <v>0</v>
      </c>
      <c r="W331" s="69">
        <f t="shared" si="269"/>
        <v>6902934</v>
      </c>
      <c r="X331" s="69">
        <f>SUM(X332:X354)</f>
        <v>0</v>
      </c>
      <c r="Y331" s="69">
        <f>SUM(Y332:Y354)</f>
        <v>6902934</v>
      </c>
    </row>
    <row r="332" spans="1:25" s="26" customFormat="1" ht="21" customHeight="1">
      <c r="A332" s="93"/>
      <c r="B332" s="48"/>
      <c r="C332" s="76">
        <v>3020</v>
      </c>
      <c r="D332" s="41" t="s">
        <v>199</v>
      </c>
      <c r="E332" s="69">
        <v>1760</v>
      </c>
      <c r="F332" s="69"/>
      <c r="G332" s="78">
        <f t="shared" si="218"/>
        <v>1760</v>
      </c>
      <c r="H332" s="69"/>
      <c r="I332" s="78">
        <f aca="true" t="shared" si="270" ref="I332:I354">SUM(G332:H332)</f>
        <v>1760</v>
      </c>
      <c r="J332" s="69"/>
      <c r="K332" s="78">
        <f aca="true" t="shared" si="271" ref="K332:K354">SUM(I332:J332)</f>
        <v>1760</v>
      </c>
      <c r="L332" s="69"/>
      <c r="M332" s="78">
        <f aca="true" t="shared" si="272" ref="M332:M354">SUM(K332:L332)</f>
        <v>1760</v>
      </c>
      <c r="N332" s="69"/>
      <c r="O332" s="78">
        <f aca="true" t="shared" si="273" ref="O332:O354">SUM(M332:N332)</f>
        <v>1760</v>
      </c>
      <c r="P332" s="69"/>
      <c r="Q332" s="78">
        <f aca="true" t="shared" si="274" ref="Q332:Q354">SUM(O332:P332)</f>
        <v>1760</v>
      </c>
      <c r="R332" s="69"/>
      <c r="S332" s="78">
        <f aca="true" t="shared" si="275" ref="S332:S354">SUM(Q332:R332)</f>
        <v>1760</v>
      </c>
      <c r="T332" s="69"/>
      <c r="U332" s="78">
        <f aca="true" t="shared" si="276" ref="U332:U354">SUM(S332:T332)</f>
        <v>1760</v>
      </c>
      <c r="V332" s="69"/>
      <c r="W332" s="78">
        <f aca="true" t="shared" si="277" ref="W332:W354">SUM(U332:V332)</f>
        <v>1760</v>
      </c>
      <c r="X332" s="69"/>
      <c r="Y332" s="78">
        <f aca="true" t="shared" si="278" ref="Y332:Y354">SUM(W332:X332)</f>
        <v>1760</v>
      </c>
    </row>
    <row r="333" spans="1:25" s="26" customFormat="1" ht="21" customHeight="1">
      <c r="A333" s="93"/>
      <c r="B333" s="48"/>
      <c r="C333" s="76">
        <v>3110</v>
      </c>
      <c r="D333" s="74" t="s">
        <v>115</v>
      </c>
      <c r="E333" s="69">
        <f>6284727-51000</f>
        <v>6233727</v>
      </c>
      <c r="F333" s="69"/>
      <c r="G333" s="78">
        <f t="shared" si="218"/>
        <v>6233727</v>
      </c>
      <c r="H333" s="69"/>
      <c r="I333" s="78">
        <f t="shared" si="270"/>
        <v>6233727</v>
      </c>
      <c r="J333" s="69">
        <v>324271</v>
      </c>
      <c r="K333" s="78">
        <f t="shared" si="271"/>
        <v>6557998</v>
      </c>
      <c r="L333" s="69"/>
      <c r="M333" s="78">
        <f t="shared" si="272"/>
        <v>6557998</v>
      </c>
      <c r="N333" s="69"/>
      <c r="O333" s="78">
        <f t="shared" si="273"/>
        <v>6557998</v>
      </c>
      <c r="P333" s="69"/>
      <c r="Q333" s="78">
        <f t="shared" si="274"/>
        <v>6557998</v>
      </c>
      <c r="R333" s="69"/>
      <c r="S333" s="78">
        <f t="shared" si="275"/>
        <v>6557998</v>
      </c>
      <c r="T333" s="69"/>
      <c r="U333" s="78">
        <f t="shared" si="276"/>
        <v>6557998</v>
      </c>
      <c r="V333" s="69"/>
      <c r="W333" s="78">
        <f t="shared" si="277"/>
        <v>6557998</v>
      </c>
      <c r="X333" s="69"/>
      <c r="Y333" s="78">
        <f t="shared" si="278"/>
        <v>6557998</v>
      </c>
    </row>
    <row r="334" spans="1:27" s="26" customFormat="1" ht="21" customHeight="1">
      <c r="A334" s="93"/>
      <c r="B334" s="48"/>
      <c r="C334" s="48">
        <v>4010</v>
      </c>
      <c r="D334" s="14" t="s">
        <v>87</v>
      </c>
      <c r="E334" s="69">
        <f>153581+24502</f>
        <v>178083</v>
      </c>
      <c r="F334" s="69"/>
      <c r="G334" s="78">
        <f t="shared" si="218"/>
        <v>178083</v>
      </c>
      <c r="H334" s="69"/>
      <c r="I334" s="78">
        <f t="shared" si="270"/>
        <v>178083</v>
      </c>
      <c r="J334" s="69">
        <v>1080</v>
      </c>
      <c r="K334" s="78">
        <f t="shared" si="271"/>
        <v>179163</v>
      </c>
      <c r="L334" s="69"/>
      <c r="M334" s="78">
        <f t="shared" si="272"/>
        <v>179163</v>
      </c>
      <c r="N334" s="69"/>
      <c r="O334" s="78">
        <f t="shared" si="273"/>
        <v>179163</v>
      </c>
      <c r="P334" s="69"/>
      <c r="Q334" s="78">
        <f t="shared" si="274"/>
        <v>179163</v>
      </c>
      <c r="R334" s="69"/>
      <c r="S334" s="78">
        <f t="shared" si="275"/>
        <v>179163</v>
      </c>
      <c r="T334" s="69"/>
      <c r="U334" s="78">
        <f t="shared" si="276"/>
        <v>179163</v>
      </c>
      <c r="V334" s="69"/>
      <c r="W334" s="78">
        <f t="shared" si="277"/>
        <v>179163</v>
      </c>
      <c r="X334" s="69"/>
      <c r="Y334" s="78">
        <f t="shared" si="278"/>
        <v>179163</v>
      </c>
      <c r="Z334" s="117"/>
      <c r="AA334" s="117"/>
    </row>
    <row r="335" spans="1:27" s="26" customFormat="1" ht="21" customHeight="1">
      <c r="A335" s="93"/>
      <c r="B335" s="48"/>
      <c r="C335" s="48">
        <v>4040</v>
      </c>
      <c r="D335" s="14" t="s">
        <v>88</v>
      </c>
      <c r="E335" s="69">
        <v>12000</v>
      </c>
      <c r="F335" s="69"/>
      <c r="G335" s="78">
        <f t="shared" si="218"/>
        <v>12000</v>
      </c>
      <c r="H335" s="69"/>
      <c r="I335" s="78">
        <f t="shared" si="270"/>
        <v>12000</v>
      </c>
      <c r="J335" s="69">
        <v>-1406</v>
      </c>
      <c r="K335" s="78">
        <f t="shared" si="271"/>
        <v>10594</v>
      </c>
      <c r="L335" s="69"/>
      <c r="M335" s="78">
        <f t="shared" si="272"/>
        <v>10594</v>
      </c>
      <c r="N335" s="69"/>
      <c r="O335" s="78">
        <f t="shared" si="273"/>
        <v>10594</v>
      </c>
      <c r="P335" s="69"/>
      <c r="Q335" s="78">
        <f t="shared" si="274"/>
        <v>10594</v>
      </c>
      <c r="R335" s="69"/>
      <c r="S335" s="78">
        <f t="shared" si="275"/>
        <v>10594</v>
      </c>
      <c r="T335" s="69"/>
      <c r="U335" s="78">
        <f t="shared" si="276"/>
        <v>10594</v>
      </c>
      <c r="V335" s="69"/>
      <c r="W335" s="78">
        <f t="shared" si="277"/>
        <v>10594</v>
      </c>
      <c r="X335" s="69"/>
      <c r="Y335" s="78">
        <f t="shared" si="278"/>
        <v>10594</v>
      </c>
      <c r="Z335" s="117"/>
      <c r="AA335" s="117"/>
    </row>
    <row r="336" spans="1:27" s="26" customFormat="1" ht="21" customHeight="1">
      <c r="A336" s="93"/>
      <c r="B336" s="48"/>
      <c r="C336" s="48">
        <v>4110</v>
      </c>
      <c r="D336" s="14" t="s">
        <v>89</v>
      </c>
      <c r="E336" s="69">
        <f>20612+7904+51000</f>
        <v>79516</v>
      </c>
      <c r="F336" s="69"/>
      <c r="G336" s="78">
        <f t="shared" si="218"/>
        <v>79516</v>
      </c>
      <c r="H336" s="69"/>
      <c r="I336" s="78">
        <f t="shared" si="270"/>
        <v>79516</v>
      </c>
      <c r="J336" s="69"/>
      <c r="K336" s="78">
        <f t="shared" si="271"/>
        <v>79516</v>
      </c>
      <c r="L336" s="69"/>
      <c r="M336" s="78">
        <f t="shared" si="272"/>
        <v>79516</v>
      </c>
      <c r="N336" s="69"/>
      <c r="O336" s="78">
        <f t="shared" si="273"/>
        <v>79516</v>
      </c>
      <c r="P336" s="69"/>
      <c r="Q336" s="78">
        <f t="shared" si="274"/>
        <v>79516</v>
      </c>
      <c r="R336" s="69"/>
      <c r="S336" s="78">
        <f t="shared" si="275"/>
        <v>79516</v>
      </c>
      <c r="T336" s="69"/>
      <c r="U336" s="78">
        <f t="shared" si="276"/>
        <v>79516</v>
      </c>
      <c r="V336" s="69"/>
      <c r="W336" s="78">
        <f t="shared" si="277"/>
        <v>79516</v>
      </c>
      <c r="X336" s="69"/>
      <c r="Y336" s="78">
        <f t="shared" si="278"/>
        <v>79516</v>
      </c>
      <c r="Z336" s="117"/>
      <c r="AA336" s="117"/>
    </row>
    <row r="337" spans="1:27" s="26" customFormat="1" ht="21" customHeight="1">
      <c r="A337" s="93"/>
      <c r="B337" s="48"/>
      <c r="C337" s="48">
        <v>4120</v>
      </c>
      <c r="D337" s="14" t="s">
        <v>90</v>
      </c>
      <c r="E337" s="69">
        <f>3305+1268</f>
        <v>4573</v>
      </c>
      <c r="F337" s="69"/>
      <c r="G337" s="78">
        <f t="shared" si="218"/>
        <v>4573</v>
      </c>
      <c r="H337" s="69"/>
      <c r="I337" s="78">
        <f t="shared" si="270"/>
        <v>4573</v>
      </c>
      <c r="J337" s="69"/>
      <c r="K337" s="78">
        <f t="shared" si="271"/>
        <v>4573</v>
      </c>
      <c r="L337" s="69"/>
      <c r="M337" s="78">
        <f t="shared" si="272"/>
        <v>4573</v>
      </c>
      <c r="N337" s="69"/>
      <c r="O337" s="78">
        <f t="shared" si="273"/>
        <v>4573</v>
      </c>
      <c r="P337" s="69"/>
      <c r="Q337" s="78">
        <f t="shared" si="274"/>
        <v>4573</v>
      </c>
      <c r="R337" s="69"/>
      <c r="S337" s="78">
        <f t="shared" si="275"/>
        <v>4573</v>
      </c>
      <c r="T337" s="69"/>
      <c r="U337" s="78">
        <f t="shared" si="276"/>
        <v>4573</v>
      </c>
      <c r="V337" s="69"/>
      <c r="W337" s="78">
        <f t="shared" si="277"/>
        <v>4573</v>
      </c>
      <c r="X337" s="69"/>
      <c r="Y337" s="78">
        <f t="shared" si="278"/>
        <v>4573</v>
      </c>
      <c r="Z337" s="117"/>
      <c r="AA337" s="117"/>
    </row>
    <row r="338" spans="1:27" s="26" customFormat="1" ht="21" customHeight="1">
      <c r="A338" s="93"/>
      <c r="B338" s="75"/>
      <c r="C338" s="48">
        <v>4170</v>
      </c>
      <c r="D338" s="41" t="s">
        <v>202</v>
      </c>
      <c r="E338" s="69">
        <v>3000</v>
      </c>
      <c r="F338" s="69"/>
      <c r="G338" s="78">
        <f t="shared" si="218"/>
        <v>3000</v>
      </c>
      <c r="H338" s="69"/>
      <c r="I338" s="78">
        <f t="shared" si="270"/>
        <v>3000</v>
      </c>
      <c r="J338" s="69"/>
      <c r="K338" s="78">
        <f t="shared" si="271"/>
        <v>3000</v>
      </c>
      <c r="L338" s="69"/>
      <c r="M338" s="78">
        <f t="shared" si="272"/>
        <v>3000</v>
      </c>
      <c r="N338" s="69"/>
      <c r="O338" s="78">
        <f t="shared" si="273"/>
        <v>3000</v>
      </c>
      <c r="P338" s="69"/>
      <c r="Q338" s="78">
        <f t="shared" si="274"/>
        <v>3000</v>
      </c>
      <c r="R338" s="69"/>
      <c r="S338" s="78">
        <f t="shared" si="275"/>
        <v>3000</v>
      </c>
      <c r="T338" s="69"/>
      <c r="U338" s="78">
        <f t="shared" si="276"/>
        <v>3000</v>
      </c>
      <c r="V338" s="69"/>
      <c r="W338" s="78">
        <f t="shared" si="277"/>
        <v>3000</v>
      </c>
      <c r="X338" s="69"/>
      <c r="Y338" s="78">
        <f t="shared" si="278"/>
        <v>3000</v>
      </c>
      <c r="Z338" s="117"/>
      <c r="AA338" s="117"/>
    </row>
    <row r="339" spans="1:25" s="26" customFormat="1" ht="21" customHeight="1">
      <c r="A339" s="93"/>
      <c r="B339" s="75"/>
      <c r="C339" s="48">
        <v>4210</v>
      </c>
      <c r="D339" s="14" t="s">
        <v>95</v>
      </c>
      <c r="E339" s="69">
        <v>6980</v>
      </c>
      <c r="F339" s="69"/>
      <c r="G339" s="78">
        <f t="shared" si="218"/>
        <v>6980</v>
      </c>
      <c r="H339" s="69"/>
      <c r="I339" s="78">
        <f t="shared" si="270"/>
        <v>6980</v>
      </c>
      <c r="J339" s="69">
        <v>5029</v>
      </c>
      <c r="K339" s="78">
        <f t="shared" si="271"/>
        <v>12009</v>
      </c>
      <c r="L339" s="69">
        <v>-4200</v>
      </c>
      <c r="M339" s="78">
        <f t="shared" si="272"/>
        <v>7809</v>
      </c>
      <c r="N339" s="69"/>
      <c r="O339" s="78">
        <f t="shared" si="273"/>
        <v>7809</v>
      </c>
      <c r="P339" s="69"/>
      <c r="Q339" s="78">
        <f t="shared" si="274"/>
        <v>7809</v>
      </c>
      <c r="R339" s="69"/>
      <c r="S339" s="78">
        <f t="shared" si="275"/>
        <v>7809</v>
      </c>
      <c r="T339" s="69"/>
      <c r="U339" s="78">
        <f t="shared" si="276"/>
        <v>7809</v>
      </c>
      <c r="V339" s="69"/>
      <c r="W339" s="78">
        <f t="shared" si="277"/>
        <v>7809</v>
      </c>
      <c r="X339" s="69"/>
      <c r="Y339" s="78">
        <f t="shared" si="278"/>
        <v>7809</v>
      </c>
    </row>
    <row r="340" spans="1:25" s="26" customFormat="1" ht="21" customHeight="1">
      <c r="A340" s="93"/>
      <c r="B340" s="75"/>
      <c r="C340" s="48">
        <v>4260</v>
      </c>
      <c r="D340" s="41" t="s">
        <v>98</v>
      </c>
      <c r="E340" s="69">
        <v>8400</v>
      </c>
      <c r="F340" s="69"/>
      <c r="G340" s="78">
        <f t="shared" si="218"/>
        <v>8400</v>
      </c>
      <c r="H340" s="69"/>
      <c r="I340" s="78">
        <f t="shared" si="270"/>
        <v>8400</v>
      </c>
      <c r="J340" s="69"/>
      <c r="K340" s="78">
        <f t="shared" si="271"/>
        <v>8400</v>
      </c>
      <c r="L340" s="69"/>
      <c r="M340" s="78">
        <f t="shared" si="272"/>
        <v>8400</v>
      </c>
      <c r="N340" s="69"/>
      <c r="O340" s="78">
        <f t="shared" si="273"/>
        <v>8400</v>
      </c>
      <c r="P340" s="69"/>
      <c r="Q340" s="78">
        <f t="shared" si="274"/>
        <v>8400</v>
      </c>
      <c r="R340" s="69"/>
      <c r="S340" s="78">
        <f t="shared" si="275"/>
        <v>8400</v>
      </c>
      <c r="T340" s="69"/>
      <c r="U340" s="78">
        <f t="shared" si="276"/>
        <v>8400</v>
      </c>
      <c r="V340" s="69"/>
      <c r="W340" s="78">
        <f t="shared" si="277"/>
        <v>8400</v>
      </c>
      <c r="X340" s="69"/>
      <c r="Y340" s="78">
        <f t="shared" si="278"/>
        <v>8400</v>
      </c>
    </row>
    <row r="341" spans="1:25" s="26" customFormat="1" ht="21" customHeight="1">
      <c r="A341" s="93"/>
      <c r="B341" s="75"/>
      <c r="C341" s="48">
        <v>4270</v>
      </c>
      <c r="D341" s="41" t="s">
        <v>81</v>
      </c>
      <c r="E341" s="69">
        <v>2000</v>
      </c>
      <c r="F341" s="69"/>
      <c r="G341" s="78">
        <f t="shared" si="218"/>
        <v>2000</v>
      </c>
      <c r="H341" s="69"/>
      <c r="I341" s="78">
        <f t="shared" si="270"/>
        <v>2000</v>
      </c>
      <c r="J341" s="69"/>
      <c r="K341" s="78">
        <f t="shared" si="271"/>
        <v>2000</v>
      </c>
      <c r="L341" s="69"/>
      <c r="M341" s="78">
        <f t="shared" si="272"/>
        <v>2000</v>
      </c>
      <c r="N341" s="69"/>
      <c r="O341" s="78">
        <f t="shared" si="273"/>
        <v>2000</v>
      </c>
      <c r="P341" s="69"/>
      <c r="Q341" s="78">
        <f t="shared" si="274"/>
        <v>2000</v>
      </c>
      <c r="R341" s="69"/>
      <c r="S341" s="78">
        <f t="shared" si="275"/>
        <v>2000</v>
      </c>
      <c r="T341" s="69"/>
      <c r="U341" s="78">
        <f t="shared" si="276"/>
        <v>2000</v>
      </c>
      <c r="V341" s="69"/>
      <c r="W341" s="78">
        <f t="shared" si="277"/>
        <v>2000</v>
      </c>
      <c r="X341" s="69"/>
      <c r="Y341" s="78">
        <f t="shared" si="278"/>
        <v>2000</v>
      </c>
    </row>
    <row r="342" spans="1:25" s="26" customFormat="1" ht="21" customHeight="1">
      <c r="A342" s="93"/>
      <c r="B342" s="75"/>
      <c r="C342" s="48">
        <v>4280</v>
      </c>
      <c r="D342" s="41" t="s">
        <v>207</v>
      </c>
      <c r="E342" s="69">
        <v>960</v>
      </c>
      <c r="F342" s="69"/>
      <c r="G342" s="78">
        <f t="shared" si="218"/>
        <v>960</v>
      </c>
      <c r="H342" s="69"/>
      <c r="I342" s="78">
        <f t="shared" si="270"/>
        <v>960</v>
      </c>
      <c r="J342" s="69"/>
      <c r="K342" s="78">
        <f t="shared" si="271"/>
        <v>960</v>
      </c>
      <c r="L342" s="69"/>
      <c r="M342" s="78">
        <f t="shared" si="272"/>
        <v>960</v>
      </c>
      <c r="N342" s="69"/>
      <c r="O342" s="78">
        <f t="shared" si="273"/>
        <v>960</v>
      </c>
      <c r="P342" s="69"/>
      <c r="Q342" s="78">
        <f t="shared" si="274"/>
        <v>960</v>
      </c>
      <c r="R342" s="69"/>
      <c r="S342" s="78">
        <f t="shared" si="275"/>
        <v>960</v>
      </c>
      <c r="T342" s="69"/>
      <c r="U342" s="78">
        <f t="shared" si="276"/>
        <v>960</v>
      </c>
      <c r="V342" s="69"/>
      <c r="W342" s="78">
        <f t="shared" si="277"/>
        <v>960</v>
      </c>
      <c r="X342" s="69"/>
      <c r="Y342" s="78">
        <f t="shared" si="278"/>
        <v>960</v>
      </c>
    </row>
    <row r="343" spans="1:25" s="26" customFormat="1" ht="21" customHeight="1">
      <c r="A343" s="93"/>
      <c r="B343" s="75"/>
      <c r="C343" s="48">
        <v>4300</v>
      </c>
      <c r="D343" s="14" t="s">
        <v>82</v>
      </c>
      <c r="E343" s="69">
        <v>6700</v>
      </c>
      <c r="F343" s="69"/>
      <c r="G343" s="78">
        <f t="shared" si="218"/>
        <v>6700</v>
      </c>
      <c r="H343" s="69"/>
      <c r="I343" s="78">
        <f t="shared" si="270"/>
        <v>6700</v>
      </c>
      <c r="J343" s="69"/>
      <c r="K343" s="78">
        <f t="shared" si="271"/>
        <v>6700</v>
      </c>
      <c r="L343" s="69">
        <v>-2500</v>
      </c>
      <c r="M343" s="78">
        <f t="shared" si="272"/>
        <v>4200</v>
      </c>
      <c r="N343" s="69"/>
      <c r="O343" s="78">
        <f t="shared" si="273"/>
        <v>4200</v>
      </c>
      <c r="P343" s="69"/>
      <c r="Q343" s="78">
        <f t="shared" si="274"/>
        <v>4200</v>
      </c>
      <c r="R343" s="69"/>
      <c r="S343" s="78">
        <f t="shared" si="275"/>
        <v>4200</v>
      </c>
      <c r="T343" s="69"/>
      <c r="U343" s="78">
        <f t="shared" si="276"/>
        <v>4200</v>
      </c>
      <c r="V343" s="69"/>
      <c r="W343" s="78">
        <f t="shared" si="277"/>
        <v>4200</v>
      </c>
      <c r="X343" s="69"/>
      <c r="Y343" s="78">
        <f t="shared" si="278"/>
        <v>4200</v>
      </c>
    </row>
    <row r="344" spans="1:25" s="26" customFormat="1" ht="21" customHeight="1">
      <c r="A344" s="93"/>
      <c r="B344" s="75"/>
      <c r="C344" s="48">
        <v>4350</v>
      </c>
      <c r="D344" s="41" t="s">
        <v>215</v>
      </c>
      <c r="E344" s="69">
        <v>3000</v>
      </c>
      <c r="F344" s="69"/>
      <c r="G344" s="78">
        <f t="shared" si="218"/>
        <v>3000</v>
      </c>
      <c r="H344" s="69"/>
      <c r="I344" s="78">
        <f t="shared" si="270"/>
        <v>3000</v>
      </c>
      <c r="J344" s="69"/>
      <c r="K344" s="78">
        <f t="shared" si="271"/>
        <v>3000</v>
      </c>
      <c r="L344" s="69"/>
      <c r="M344" s="78">
        <f t="shared" si="272"/>
        <v>3000</v>
      </c>
      <c r="N344" s="69"/>
      <c r="O344" s="78">
        <f t="shared" si="273"/>
        <v>3000</v>
      </c>
      <c r="P344" s="69"/>
      <c r="Q344" s="78">
        <f t="shared" si="274"/>
        <v>3000</v>
      </c>
      <c r="R344" s="69"/>
      <c r="S344" s="78">
        <f t="shared" si="275"/>
        <v>3000</v>
      </c>
      <c r="T344" s="69"/>
      <c r="U344" s="78">
        <f t="shared" si="276"/>
        <v>3000</v>
      </c>
      <c r="V344" s="69"/>
      <c r="W344" s="78">
        <f t="shared" si="277"/>
        <v>3000</v>
      </c>
      <c r="X344" s="69">
        <v>-1800</v>
      </c>
      <c r="Y344" s="78">
        <f t="shared" si="278"/>
        <v>1200</v>
      </c>
    </row>
    <row r="345" spans="1:25" s="26" customFormat="1" ht="24">
      <c r="A345" s="93"/>
      <c r="B345" s="75"/>
      <c r="C345" s="48">
        <v>4360</v>
      </c>
      <c r="D345" s="41" t="s">
        <v>238</v>
      </c>
      <c r="E345" s="69">
        <v>960</v>
      </c>
      <c r="F345" s="69"/>
      <c r="G345" s="78">
        <f t="shared" si="218"/>
        <v>960</v>
      </c>
      <c r="H345" s="69"/>
      <c r="I345" s="78">
        <f t="shared" si="270"/>
        <v>960</v>
      </c>
      <c r="J345" s="69"/>
      <c r="K345" s="78">
        <f t="shared" si="271"/>
        <v>960</v>
      </c>
      <c r="L345" s="69"/>
      <c r="M345" s="78">
        <f t="shared" si="272"/>
        <v>960</v>
      </c>
      <c r="N345" s="69"/>
      <c r="O345" s="78">
        <f t="shared" si="273"/>
        <v>960</v>
      </c>
      <c r="P345" s="69"/>
      <c r="Q345" s="78">
        <f t="shared" si="274"/>
        <v>960</v>
      </c>
      <c r="R345" s="69"/>
      <c r="S345" s="78">
        <f t="shared" si="275"/>
        <v>960</v>
      </c>
      <c r="T345" s="69"/>
      <c r="U345" s="78">
        <f t="shared" si="276"/>
        <v>960</v>
      </c>
      <c r="V345" s="69"/>
      <c r="W345" s="78">
        <f t="shared" si="277"/>
        <v>960</v>
      </c>
      <c r="X345" s="69"/>
      <c r="Y345" s="78">
        <f t="shared" si="278"/>
        <v>960</v>
      </c>
    </row>
    <row r="346" spans="1:25" s="26" customFormat="1" ht="24">
      <c r="A346" s="93"/>
      <c r="B346" s="75"/>
      <c r="C346" s="48">
        <v>4370</v>
      </c>
      <c r="D346" s="41" t="s">
        <v>235</v>
      </c>
      <c r="E346" s="69">
        <v>2000</v>
      </c>
      <c r="F346" s="69"/>
      <c r="G346" s="78">
        <f t="shared" si="218"/>
        <v>2000</v>
      </c>
      <c r="H346" s="69"/>
      <c r="I346" s="78">
        <f t="shared" si="270"/>
        <v>2000</v>
      </c>
      <c r="J346" s="69"/>
      <c r="K346" s="78">
        <f t="shared" si="271"/>
        <v>2000</v>
      </c>
      <c r="L346" s="69"/>
      <c r="M346" s="78">
        <f t="shared" si="272"/>
        <v>2000</v>
      </c>
      <c r="N346" s="69"/>
      <c r="O346" s="78">
        <f t="shared" si="273"/>
        <v>2000</v>
      </c>
      <c r="P346" s="69"/>
      <c r="Q346" s="78">
        <f t="shared" si="274"/>
        <v>2000</v>
      </c>
      <c r="R346" s="69"/>
      <c r="S346" s="78">
        <f t="shared" si="275"/>
        <v>2000</v>
      </c>
      <c r="T346" s="69"/>
      <c r="U346" s="78">
        <f t="shared" si="276"/>
        <v>2000</v>
      </c>
      <c r="V346" s="69"/>
      <c r="W346" s="78">
        <f t="shared" si="277"/>
        <v>2000</v>
      </c>
      <c r="X346" s="69">
        <v>2500</v>
      </c>
      <c r="Y346" s="78">
        <f t="shared" si="278"/>
        <v>4500</v>
      </c>
    </row>
    <row r="347" spans="1:25" s="26" customFormat="1" ht="21" customHeight="1">
      <c r="A347" s="93"/>
      <c r="B347" s="75"/>
      <c r="C347" s="48">
        <v>4410</v>
      </c>
      <c r="D347" s="41" t="s">
        <v>93</v>
      </c>
      <c r="E347" s="69">
        <v>4000</v>
      </c>
      <c r="F347" s="69"/>
      <c r="G347" s="78">
        <f t="shared" si="218"/>
        <v>4000</v>
      </c>
      <c r="H347" s="69"/>
      <c r="I347" s="78">
        <f t="shared" si="270"/>
        <v>4000</v>
      </c>
      <c r="J347" s="69">
        <v>2000</v>
      </c>
      <c r="K347" s="78">
        <f t="shared" si="271"/>
        <v>6000</v>
      </c>
      <c r="L347" s="69"/>
      <c r="M347" s="78">
        <f t="shared" si="272"/>
        <v>6000</v>
      </c>
      <c r="N347" s="69"/>
      <c r="O347" s="78">
        <f t="shared" si="273"/>
        <v>6000</v>
      </c>
      <c r="P347" s="69"/>
      <c r="Q347" s="78">
        <f t="shared" si="274"/>
        <v>6000</v>
      </c>
      <c r="R347" s="69"/>
      <c r="S347" s="78">
        <f t="shared" si="275"/>
        <v>6000</v>
      </c>
      <c r="T347" s="69"/>
      <c r="U347" s="78">
        <f t="shared" si="276"/>
        <v>6000</v>
      </c>
      <c r="V347" s="69"/>
      <c r="W347" s="78">
        <f t="shared" si="277"/>
        <v>6000</v>
      </c>
      <c r="X347" s="69">
        <v>-700</v>
      </c>
      <c r="Y347" s="78">
        <f t="shared" si="278"/>
        <v>5300</v>
      </c>
    </row>
    <row r="348" spans="1:25" s="26" customFormat="1" ht="21" customHeight="1">
      <c r="A348" s="93"/>
      <c r="B348" s="75"/>
      <c r="C348" s="48">
        <v>4430</v>
      </c>
      <c r="D348" s="41" t="s">
        <v>97</v>
      </c>
      <c r="E348" s="69">
        <v>7800</v>
      </c>
      <c r="F348" s="69"/>
      <c r="G348" s="78">
        <f t="shared" si="218"/>
        <v>7800</v>
      </c>
      <c r="H348" s="69"/>
      <c r="I348" s="78">
        <f t="shared" si="270"/>
        <v>7800</v>
      </c>
      <c r="J348" s="69">
        <v>1000</v>
      </c>
      <c r="K348" s="78">
        <f t="shared" si="271"/>
        <v>8800</v>
      </c>
      <c r="L348" s="69"/>
      <c r="M348" s="78">
        <f t="shared" si="272"/>
        <v>8800</v>
      </c>
      <c r="N348" s="69"/>
      <c r="O348" s="78">
        <f t="shared" si="273"/>
        <v>8800</v>
      </c>
      <c r="P348" s="69"/>
      <c r="Q348" s="78">
        <f t="shared" si="274"/>
        <v>8800</v>
      </c>
      <c r="R348" s="69"/>
      <c r="S348" s="78">
        <f t="shared" si="275"/>
        <v>8800</v>
      </c>
      <c r="T348" s="69"/>
      <c r="U348" s="78">
        <f t="shared" si="276"/>
        <v>8800</v>
      </c>
      <c r="V348" s="69"/>
      <c r="W348" s="78">
        <f t="shared" si="277"/>
        <v>8800</v>
      </c>
      <c r="X348" s="69"/>
      <c r="Y348" s="78">
        <f t="shared" si="278"/>
        <v>8800</v>
      </c>
    </row>
    <row r="349" spans="1:25" s="26" customFormat="1" ht="24">
      <c r="A349" s="93"/>
      <c r="B349" s="75"/>
      <c r="C349" s="48">
        <v>4440</v>
      </c>
      <c r="D349" s="14" t="s">
        <v>91</v>
      </c>
      <c r="E349" s="69">
        <v>4875</v>
      </c>
      <c r="F349" s="69"/>
      <c r="G349" s="78">
        <f t="shared" si="218"/>
        <v>4875</v>
      </c>
      <c r="H349" s="69"/>
      <c r="I349" s="78">
        <f t="shared" si="270"/>
        <v>4875</v>
      </c>
      <c r="J349" s="69">
        <v>126</v>
      </c>
      <c r="K349" s="78">
        <f t="shared" si="271"/>
        <v>5001</v>
      </c>
      <c r="L349" s="69"/>
      <c r="M349" s="78">
        <f t="shared" si="272"/>
        <v>5001</v>
      </c>
      <c r="N349" s="69"/>
      <c r="O349" s="78">
        <f t="shared" si="273"/>
        <v>5001</v>
      </c>
      <c r="P349" s="69"/>
      <c r="Q349" s="78">
        <f t="shared" si="274"/>
        <v>5001</v>
      </c>
      <c r="R349" s="69"/>
      <c r="S349" s="78">
        <f t="shared" si="275"/>
        <v>5001</v>
      </c>
      <c r="T349" s="69"/>
      <c r="U349" s="78">
        <f t="shared" si="276"/>
        <v>5001</v>
      </c>
      <c r="V349" s="69"/>
      <c r="W349" s="78">
        <f t="shared" si="277"/>
        <v>5001</v>
      </c>
      <c r="X349" s="69"/>
      <c r="Y349" s="78">
        <f t="shared" si="278"/>
        <v>5001</v>
      </c>
    </row>
    <row r="350" spans="1:25" s="26" customFormat="1" ht="21" customHeight="1">
      <c r="A350" s="93"/>
      <c r="B350" s="75"/>
      <c r="C350" s="48">
        <v>4580</v>
      </c>
      <c r="D350" s="14" t="s">
        <v>11</v>
      </c>
      <c r="E350" s="69"/>
      <c r="F350" s="69"/>
      <c r="G350" s="78"/>
      <c r="H350" s="69"/>
      <c r="I350" s="78">
        <v>0</v>
      </c>
      <c r="J350" s="69">
        <v>200</v>
      </c>
      <c r="K350" s="78">
        <f t="shared" si="271"/>
        <v>200</v>
      </c>
      <c r="L350" s="69"/>
      <c r="M350" s="78">
        <f t="shared" si="272"/>
        <v>200</v>
      </c>
      <c r="N350" s="69"/>
      <c r="O350" s="78">
        <f t="shared" si="273"/>
        <v>200</v>
      </c>
      <c r="P350" s="69"/>
      <c r="Q350" s="78">
        <f t="shared" si="274"/>
        <v>200</v>
      </c>
      <c r="R350" s="69"/>
      <c r="S350" s="78">
        <f t="shared" si="275"/>
        <v>200</v>
      </c>
      <c r="T350" s="69"/>
      <c r="U350" s="78">
        <f t="shared" si="276"/>
        <v>200</v>
      </c>
      <c r="V350" s="69"/>
      <c r="W350" s="78">
        <f t="shared" si="277"/>
        <v>200</v>
      </c>
      <c r="X350" s="69"/>
      <c r="Y350" s="78">
        <f t="shared" si="278"/>
        <v>200</v>
      </c>
    </row>
    <row r="351" spans="1:25" s="26" customFormat="1" ht="24">
      <c r="A351" s="93"/>
      <c r="B351" s="75"/>
      <c r="C351" s="48">
        <v>4610</v>
      </c>
      <c r="D351" s="41" t="s">
        <v>188</v>
      </c>
      <c r="E351" s="69">
        <v>1000</v>
      </c>
      <c r="F351" s="69"/>
      <c r="G351" s="78">
        <f t="shared" si="218"/>
        <v>1000</v>
      </c>
      <c r="H351" s="69"/>
      <c r="I351" s="78">
        <f t="shared" si="270"/>
        <v>1000</v>
      </c>
      <c r="J351" s="69"/>
      <c r="K351" s="78">
        <f t="shared" si="271"/>
        <v>1000</v>
      </c>
      <c r="L351" s="69"/>
      <c r="M351" s="78">
        <f t="shared" si="272"/>
        <v>1000</v>
      </c>
      <c r="N351" s="69"/>
      <c r="O351" s="78">
        <f t="shared" si="273"/>
        <v>1000</v>
      </c>
      <c r="P351" s="69"/>
      <c r="Q351" s="78">
        <f t="shared" si="274"/>
        <v>1000</v>
      </c>
      <c r="R351" s="69"/>
      <c r="S351" s="78">
        <f t="shared" si="275"/>
        <v>1000</v>
      </c>
      <c r="T351" s="69"/>
      <c r="U351" s="78">
        <f t="shared" si="276"/>
        <v>1000</v>
      </c>
      <c r="V351" s="69"/>
      <c r="W351" s="78">
        <f t="shared" si="277"/>
        <v>1000</v>
      </c>
      <c r="X351" s="69"/>
      <c r="Y351" s="78">
        <f t="shared" si="278"/>
        <v>1000</v>
      </c>
    </row>
    <row r="352" spans="1:25" s="26" customFormat="1" ht="24">
      <c r="A352" s="93"/>
      <c r="B352" s="75"/>
      <c r="C352" s="48">
        <v>4700</v>
      </c>
      <c r="D352" s="41" t="s">
        <v>272</v>
      </c>
      <c r="E352" s="69">
        <v>3300</v>
      </c>
      <c r="F352" s="69"/>
      <c r="G352" s="78">
        <f aca="true" t="shared" si="279" ref="G352:G429">SUM(E352:F352)</f>
        <v>3300</v>
      </c>
      <c r="H352" s="69"/>
      <c r="I352" s="78">
        <f t="shared" si="270"/>
        <v>3300</v>
      </c>
      <c r="J352" s="69"/>
      <c r="K352" s="78">
        <f t="shared" si="271"/>
        <v>3300</v>
      </c>
      <c r="L352" s="69"/>
      <c r="M352" s="78">
        <f t="shared" si="272"/>
        <v>3300</v>
      </c>
      <c r="N352" s="69"/>
      <c r="O352" s="78">
        <f t="shared" si="273"/>
        <v>3300</v>
      </c>
      <c r="P352" s="69"/>
      <c r="Q352" s="78">
        <f t="shared" si="274"/>
        <v>3300</v>
      </c>
      <c r="R352" s="69"/>
      <c r="S352" s="78">
        <f t="shared" si="275"/>
        <v>3300</v>
      </c>
      <c r="T352" s="69"/>
      <c r="U352" s="78">
        <f t="shared" si="276"/>
        <v>3300</v>
      </c>
      <c r="V352" s="69"/>
      <c r="W352" s="78">
        <f t="shared" si="277"/>
        <v>3300</v>
      </c>
      <c r="X352" s="69"/>
      <c r="Y352" s="78">
        <f t="shared" si="278"/>
        <v>3300</v>
      </c>
    </row>
    <row r="353" spans="1:25" s="26" customFormat="1" ht="27.75" customHeight="1">
      <c r="A353" s="93"/>
      <c r="B353" s="75"/>
      <c r="C353" s="48">
        <v>4740</v>
      </c>
      <c r="D353" s="41" t="s">
        <v>236</v>
      </c>
      <c r="E353" s="69">
        <v>2000</v>
      </c>
      <c r="F353" s="69"/>
      <c r="G353" s="78">
        <f t="shared" si="279"/>
        <v>2000</v>
      </c>
      <c r="H353" s="69"/>
      <c r="I353" s="78">
        <f t="shared" si="270"/>
        <v>2000</v>
      </c>
      <c r="J353" s="69">
        <v>1000</v>
      </c>
      <c r="K353" s="78">
        <f t="shared" si="271"/>
        <v>3000</v>
      </c>
      <c r="L353" s="69"/>
      <c r="M353" s="78">
        <f t="shared" si="272"/>
        <v>3000</v>
      </c>
      <c r="N353" s="69"/>
      <c r="O353" s="78">
        <f t="shared" si="273"/>
        <v>3000</v>
      </c>
      <c r="P353" s="69"/>
      <c r="Q353" s="78">
        <f t="shared" si="274"/>
        <v>3000</v>
      </c>
      <c r="R353" s="69"/>
      <c r="S353" s="78">
        <f t="shared" si="275"/>
        <v>3000</v>
      </c>
      <c r="T353" s="69"/>
      <c r="U353" s="78">
        <f t="shared" si="276"/>
        <v>3000</v>
      </c>
      <c r="V353" s="69"/>
      <c r="W353" s="78">
        <f t="shared" si="277"/>
        <v>3000</v>
      </c>
      <c r="X353" s="69"/>
      <c r="Y353" s="78">
        <f t="shared" si="278"/>
        <v>3000</v>
      </c>
    </row>
    <row r="354" spans="1:25" s="26" customFormat="1" ht="24">
      <c r="A354" s="93"/>
      <c r="B354" s="75"/>
      <c r="C354" s="48">
        <v>4750</v>
      </c>
      <c r="D354" s="41" t="s">
        <v>280</v>
      </c>
      <c r="E354" s="69">
        <v>2000</v>
      </c>
      <c r="F354" s="69"/>
      <c r="G354" s="78">
        <f t="shared" si="279"/>
        <v>2000</v>
      </c>
      <c r="H354" s="69"/>
      <c r="I354" s="78">
        <f t="shared" si="270"/>
        <v>2000</v>
      </c>
      <c r="J354" s="69">
        <v>1000</v>
      </c>
      <c r="K354" s="78">
        <f t="shared" si="271"/>
        <v>3000</v>
      </c>
      <c r="L354" s="69">
        <v>6700</v>
      </c>
      <c r="M354" s="78">
        <f t="shared" si="272"/>
        <v>9700</v>
      </c>
      <c r="N354" s="69"/>
      <c r="O354" s="78">
        <f t="shared" si="273"/>
        <v>9700</v>
      </c>
      <c r="P354" s="69"/>
      <c r="Q354" s="78">
        <f t="shared" si="274"/>
        <v>9700</v>
      </c>
      <c r="R354" s="69"/>
      <c r="S354" s="78">
        <f t="shared" si="275"/>
        <v>9700</v>
      </c>
      <c r="T354" s="69"/>
      <c r="U354" s="78">
        <f t="shared" si="276"/>
        <v>9700</v>
      </c>
      <c r="V354" s="69"/>
      <c r="W354" s="78">
        <f t="shared" si="277"/>
        <v>9700</v>
      </c>
      <c r="X354" s="69"/>
      <c r="Y354" s="78">
        <f t="shared" si="278"/>
        <v>9700</v>
      </c>
    </row>
    <row r="355" spans="1:25" s="26" customFormat="1" ht="72">
      <c r="A355" s="65"/>
      <c r="B355" s="84">
        <v>85213</v>
      </c>
      <c r="C355" s="83"/>
      <c r="D355" s="74" t="s">
        <v>337</v>
      </c>
      <c r="E355" s="78">
        <f aca="true" t="shared" si="280" ref="E355:Y355">SUM(E356)</f>
        <v>59100</v>
      </c>
      <c r="F355" s="78">
        <f t="shared" si="280"/>
        <v>0</v>
      </c>
      <c r="G355" s="78">
        <f t="shared" si="280"/>
        <v>59100</v>
      </c>
      <c r="H355" s="78">
        <f t="shared" si="280"/>
        <v>0</v>
      </c>
      <c r="I355" s="78">
        <f t="shared" si="280"/>
        <v>59100</v>
      </c>
      <c r="J355" s="78">
        <f t="shared" si="280"/>
        <v>-4100</v>
      </c>
      <c r="K355" s="78">
        <f t="shared" si="280"/>
        <v>55000</v>
      </c>
      <c r="L355" s="78">
        <f t="shared" si="280"/>
        <v>0</v>
      </c>
      <c r="M355" s="78">
        <f t="shared" si="280"/>
        <v>55000</v>
      </c>
      <c r="N355" s="78">
        <f t="shared" si="280"/>
        <v>0</v>
      </c>
      <c r="O355" s="78">
        <f t="shared" si="280"/>
        <v>55000</v>
      </c>
      <c r="P355" s="78">
        <f t="shared" si="280"/>
        <v>0</v>
      </c>
      <c r="Q355" s="78">
        <f t="shared" si="280"/>
        <v>55000</v>
      </c>
      <c r="R355" s="78">
        <f t="shared" si="280"/>
        <v>0</v>
      </c>
      <c r="S355" s="78">
        <f t="shared" si="280"/>
        <v>55000</v>
      </c>
      <c r="T355" s="78">
        <f t="shared" si="280"/>
        <v>0</v>
      </c>
      <c r="U355" s="78">
        <f t="shared" si="280"/>
        <v>55000</v>
      </c>
      <c r="V355" s="78">
        <f t="shared" si="280"/>
        <v>0</v>
      </c>
      <c r="W355" s="78">
        <f t="shared" si="280"/>
        <v>55000</v>
      </c>
      <c r="X355" s="78">
        <f t="shared" si="280"/>
        <v>0</v>
      </c>
      <c r="Y355" s="78">
        <f t="shared" si="280"/>
        <v>55000</v>
      </c>
    </row>
    <row r="356" spans="1:25" s="26" customFormat="1" ht="21" customHeight="1">
      <c r="A356" s="65"/>
      <c r="B356" s="84"/>
      <c r="C356" s="83">
        <v>4130</v>
      </c>
      <c r="D356" s="41" t="s">
        <v>123</v>
      </c>
      <c r="E356" s="69">
        <v>59100</v>
      </c>
      <c r="F356" s="69"/>
      <c r="G356" s="78">
        <f t="shared" si="279"/>
        <v>59100</v>
      </c>
      <c r="H356" s="69"/>
      <c r="I356" s="78">
        <f>SUM(G356:H356)</f>
        <v>59100</v>
      </c>
      <c r="J356" s="69">
        <v>-4100</v>
      </c>
      <c r="K356" s="78">
        <f>SUM(I356:J356)</f>
        <v>55000</v>
      </c>
      <c r="L356" s="69"/>
      <c r="M356" s="78">
        <f>SUM(K356:L356)</f>
        <v>55000</v>
      </c>
      <c r="N356" s="69"/>
      <c r="O356" s="78">
        <f>SUM(M356:N356)</f>
        <v>55000</v>
      </c>
      <c r="P356" s="69"/>
      <c r="Q356" s="78">
        <f>SUM(O356:P356)</f>
        <v>55000</v>
      </c>
      <c r="R356" s="69"/>
      <c r="S356" s="78">
        <f>SUM(Q356:R356)</f>
        <v>55000</v>
      </c>
      <c r="T356" s="69"/>
      <c r="U356" s="78">
        <f>SUM(S356:T356)</f>
        <v>55000</v>
      </c>
      <c r="V356" s="69"/>
      <c r="W356" s="78">
        <f>SUM(U356:V356)</f>
        <v>55000</v>
      </c>
      <c r="X356" s="69"/>
      <c r="Y356" s="78">
        <f>SUM(W356:X356)</f>
        <v>55000</v>
      </c>
    </row>
    <row r="357" spans="1:25" s="26" customFormat="1" ht="24">
      <c r="A357" s="65"/>
      <c r="B357" s="79">
        <v>85214</v>
      </c>
      <c r="C357" s="83"/>
      <c r="D357" s="41" t="s">
        <v>214</v>
      </c>
      <c r="E357" s="78">
        <f aca="true" t="shared" si="281" ref="E357:K357">SUM(E358:E359)</f>
        <v>1686100</v>
      </c>
      <c r="F357" s="78">
        <f t="shared" si="281"/>
        <v>0</v>
      </c>
      <c r="G357" s="78">
        <f t="shared" si="281"/>
        <v>1686100</v>
      </c>
      <c r="H357" s="78">
        <f t="shared" si="281"/>
        <v>0</v>
      </c>
      <c r="I357" s="78">
        <f t="shared" si="281"/>
        <v>1686100</v>
      </c>
      <c r="J357" s="78">
        <f t="shared" si="281"/>
        <v>-17600</v>
      </c>
      <c r="K357" s="78">
        <f t="shared" si="281"/>
        <v>1668500</v>
      </c>
      <c r="L357" s="78">
        <f aca="true" t="shared" si="282" ref="L357:Q357">SUM(L358:L359)</f>
        <v>0</v>
      </c>
      <c r="M357" s="78">
        <f t="shared" si="282"/>
        <v>1668500</v>
      </c>
      <c r="N357" s="78">
        <f t="shared" si="282"/>
        <v>0</v>
      </c>
      <c r="O357" s="78">
        <f t="shared" si="282"/>
        <v>1668500</v>
      </c>
      <c r="P357" s="78">
        <f t="shared" si="282"/>
        <v>0</v>
      </c>
      <c r="Q357" s="78">
        <f t="shared" si="282"/>
        <v>1668500</v>
      </c>
      <c r="R357" s="78">
        <f aca="true" t="shared" si="283" ref="R357:W357">SUM(R358:R359)</f>
        <v>0</v>
      </c>
      <c r="S357" s="78">
        <f t="shared" si="283"/>
        <v>1668500</v>
      </c>
      <c r="T357" s="78">
        <f t="shared" si="283"/>
        <v>0</v>
      </c>
      <c r="U357" s="78">
        <f t="shared" si="283"/>
        <v>1668500</v>
      </c>
      <c r="V357" s="78">
        <f t="shared" si="283"/>
        <v>0</v>
      </c>
      <c r="W357" s="78">
        <f t="shared" si="283"/>
        <v>1668500</v>
      </c>
      <c r="X357" s="78">
        <f>SUM(X358:X359)</f>
        <v>0</v>
      </c>
      <c r="Y357" s="78">
        <f>SUM(Y358:Y359)</f>
        <v>1668500</v>
      </c>
    </row>
    <row r="358" spans="1:25" s="26" customFormat="1" ht="21" customHeight="1">
      <c r="A358" s="65"/>
      <c r="B358" s="79"/>
      <c r="C358" s="83">
        <v>3110</v>
      </c>
      <c r="D358" s="41" t="s">
        <v>115</v>
      </c>
      <c r="E358" s="78">
        <f>466900+656100+562000</f>
        <v>1685000</v>
      </c>
      <c r="F358" s="78"/>
      <c r="G358" s="78">
        <f t="shared" si="279"/>
        <v>1685000</v>
      </c>
      <c r="H358" s="78"/>
      <c r="I358" s="78">
        <f>SUM(G358:H358)</f>
        <v>1685000</v>
      </c>
      <c r="J358" s="78">
        <f>-68300+50700</f>
        <v>-17600</v>
      </c>
      <c r="K358" s="78">
        <f>SUM(I358:J358)</f>
        <v>1667400</v>
      </c>
      <c r="L358" s="78"/>
      <c r="M358" s="78">
        <f>SUM(K358:L358)</f>
        <v>1667400</v>
      </c>
      <c r="N358" s="78"/>
      <c r="O358" s="78">
        <f>SUM(M358:N358)</f>
        <v>1667400</v>
      </c>
      <c r="P358" s="78"/>
      <c r="Q358" s="78">
        <f>SUM(O358:P358)</f>
        <v>1667400</v>
      </c>
      <c r="R358" s="78"/>
      <c r="S358" s="78">
        <f>SUM(Q358:R358)</f>
        <v>1667400</v>
      </c>
      <c r="T358" s="78"/>
      <c r="U358" s="78">
        <f>SUM(S358:T358)</f>
        <v>1667400</v>
      </c>
      <c r="V358" s="78"/>
      <c r="W358" s="78">
        <f>SUM(U358:V358)</f>
        <v>1667400</v>
      </c>
      <c r="X358" s="78"/>
      <c r="Y358" s="78">
        <f>SUM(W358:X358)</f>
        <v>1667400</v>
      </c>
    </row>
    <row r="359" spans="1:27" s="26" customFormat="1" ht="21" customHeight="1">
      <c r="A359" s="65"/>
      <c r="B359" s="79"/>
      <c r="C359" s="48">
        <v>4110</v>
      </c>
      <c r="D359" s="14" t="s">
        <v>89</v>
      </c>
      <c r="E359" s="78">
        <v>1100</v>
      </c>
      <c r="F359" s="78"/>
      <c r="G359" s="78">
        <f t="shared" si="279"/>
        <v>1100</v>
      </c>
      <c r="H359" s="78"/>
      <c r="I359" s="78">
        <f>SUM(G359:H359)</f>
        <v>1100</v>
      </c>
      <c r="J359" s="78"/>
      <c r="K359" s="78">
        <f>SUM(I359:J359)</f>
        <v>1100</v>
      </c>
      <c r="L359" s="78"/>
      <c r="M359" s="78">
        <f>SUM(K359:L359)</f>
        <v>1100</v>
      </c>
      <c r="N359" s="78"/>
      <c r="O359" s="78">
        <f>SUM(M359:N359)</f>
        <v>1100</v>
      </c>
      <c r="P359" s="78"/>
      <c r="Q359" s="78">
        <f>SUM(O359:P359)</f>
        <v>1100</v>
      </c>
      <c r="R359" s="78"/>
      <c r="S359" s="78">
        <f>SUM(Q359:R359)</f>
        <v>1100</v>
      </c>
      <c r="T359" s="78"/>
      <c r="U359" s="78">
        <f>SUM(S359:T359)</f>
        <v>1100</v>
      </c>
      <c r="V359" s="78"/>
      <c r="W359" s="78">
        <f>SUM(U359:V359)</f>
        <v>1100</v>
      </c>
      <c r="X359" s="78"/>
      <c r="Y359" s="78">
        <f>SUM(W359:X359)</f>
        <v>1100</v>
      </c>
      <c r="Z359" s="117"/>
      <c r="AA359" s="117"/>
    </row>
    <row r="360" spans="1:25" s="26" customFormat="1" ht="21" customHeight="1">
      <c r="A360" s="65"/>
      <c r="B360" s="79">
        <v>85215</v>
      </c>
      <c r="C360" s="83"/>
      <c r="D360" s="41" t="s">
        <v>59</v>
      </c>
      <c r="E360" s="78">
        <f aca="true" t="shared" si="284" ref="E360:Y360">SUM(E361)</f>
        <v>900000</v>
      </c>
      <c r="F360" s="78">
        <f t="shared" si="284"/>
        <v>0</v>
      </c>
      <c r="G360" s="78">
        <f t="shared" si="284"/>
        <v>900000</v>
      </c>
      <c r="H360" s="78">
        <f t="shared" si="284"/>
        <v>0</v>
      </c>
      <c r="I360" s="78">
        <f t="shared" si="284"/>
        <v>900000</v>
      </c>
      <c r="J360" s="78">
        <f t="shared" si="284"/>
        <v>0</v>
      </c>
      <c r="K360" s="78">
        <f t="shared" si="284"/>
        <v>900000</v>
      </c>
      <c r="L360" s="78">
        <f t="shared" si="284"/>
        <v>0</v>
      </c>
      <c r="M360" s="78">
        <f t="shared" si="284"/>
        <v>900000</v>
      </c>
      <c r="N360" s="78">
        <f t="shared" si="284"/>
        <v>0</v>
      </c>
      <c r="O360" s="78">
        <f t="shared" si="284"/>
        <v>900000</v>
      </c>
      <c r="P360" s="78">
        <f t="shared" si="284"/>
        <v>0</v>
      </c>
      <c r="Q360" s="78">
        <f t="shared" si="284"/>
        <v>900000</v>
      </c>
      <c r="R360" s="78">
        <f t="shared" si="284"/>
        <v>0</v>
      </c>
      <c r="S360" s="78">
        <f t="shared" si="284"/>
        <v>900000</v>
      </c>
      <c r="T360" s="78">
        <f t="shared" si="284"/>
        <v>0</v>
      </c>
      <c r="U360" s="78">
        <f t="shared" si="284"/>
        <v>900000</v>
      </c>
      <c r="V360" s="78">
        <f t="shared" si="284"/>
        <v>0</v>
      </c>
      <c r="W360" s="78">
        <f t="shared" si="284"/>
        <v>900000</v>
      </c>
      <c r="X360" s="78">
        <f t="shared" si="284"/>
        <v>0</v>
      </c>
      <c r="Y360" s="78">
        <f t="shared" si="284"/>
        <v>900000</v>
      </c>
    </row>
    <row r="361" spans="1:25" s="26" customFormat="1" ht="21" customHeight="1">
      <c r="A361" s="65"/>
      <c r="B361" s="79"/>
      <c r="C361" s="83">
        <v>3110</v>
      </c>
      <c r="D361" s="41" t="s">
        <v>115</v>
      </c>
      <c r="E361" s="78">
        <v>900000</v>
      </c>
      <c r="F361" s="78"/>
      <c r="G361" s="78">
        <f t="shared" si="279"/>
        <v>900000</v>
      </c>
      <c r="H361" s="78"/>
      <c r="I361" s="78">
        <f>SUM(G361:H361)</f>
        <v>900000</v>
      </c>
      <c r="J361" s="78"/>
      <c r="K361" s="78">
        <f>SUM(I361:J361)</f>
        <v>900000</v>
      </c>
      <c r="L361" s="78"/>
      <c r="M361" s="78">
        <f>SUM(K361:L361)</f>
        <v>900000</v>
      </c>
      <c r="N361" s="78"/>
      <c r="O361" s="78">
        <f>SUM(M361:N361)</f>
        <v>900000</v>
      </c>
      <c r="P361" s="78"/>
      <c r="Q361" s="78">
        <f>SUM(O361:P361)</f>
        <v>900000</v>
      </c>
      <c r="R361" s="78"/>
      <c r="S361" s="78">
        <f>SUM(Q361:R361)</f>
        <v>900000</v>
      </c>
      <c r="T361" s="78"/>
      <c r="U361" s="78">
        <f>SUM(S361:T361)</f>
        <v>900000</v>
      </c>
      <c r="V361" s="78"/>
      <c r="W361" s="78">
        <f>SUM(U361:V361)</f>
        <v>900000</v>
      </c>
      <c r="X361" s="78"/>
      <c r="Y361" s="78">
        <f>SUM(W361:X361)</f>
        <v>900000</v>
      </c>
    </row>
    <row r="362" spans="1:25" s="26" customFormat="1" ht="21" customHeight="1">
      <c r="A362" s="65"/>
      <c r="B362" s="79">
        <v>85219</v>
      </c>
      <c r="C362" s="83"/>
      <c r="D362" s="41" t="s">
        <v>60</v>
      </c>
      <c r="E362" s="78">
        <f aca="true" t="shared" si="285" ref="E362:K362">SUM(E363:E385)</f>
        <v>1337592</v>
      </c>
      <c r="F362" s="78">
        <f t="shared" si="285"/>
        <v>0</v>
      </c>
      <c r="G362" s="78">
        <f t="shared" si="285"/>
        <v>1337592</v>
      </c>
      <c r="H362" s="78">
        <f t="shared" si="285"/>
        <v>0</v>
      </c>
      <c r="I362" s="78">
        <f t="shared" si="285"/>
        <v>1337592</v>
      </c>
      <c r="J362" s="78">
        <f t="shared" si="285"/>
        <v>0</v>
      </c>
      <c r="K362" s="78">
        <f t="shared" si="285"/>
        <v>1337592</v>
      </c>
      <c r="L362" s="78">
        <f aca="true" t="shared" si="286" ref="L362:Q362">SUM(L363:L385)</f>
        <v>36050</v>
      </c>
      <c r="M362" s="78">
        <f t="shared" si="286"/>
        <v>1373642</v>
      </c>
      <c r="N362" s="78">
        <f t="shared" si="286"/>
        <v>0</v>
      </c>
      <c r="O362" s="78">
        <f t="shared" si="286"/>
        <v>1373642</v>
      </c>
      <c r="P362" s="78">
        <f t="shared" si="286"/>
        <v>0</v>
      </c>
      <c r="Q362" s="78">
        <f t="shared" si="286"/>
        <v>1373642</v>
      </c>
      <c r="R362" s="78">
        <f aca="true" t="shared" si="287" ref="R362:W362">SUM(R363:R385)</f>
        <v>0</v>
      </c>
      <c r="S362" s="78">
        <f t="shared" si="287"/>
        <v>1373642</v>
      </c>
      <c r="T362" s="78">
        <f t="shared" si="287"/>
        <v>0</v>
      </c>
      <c r="U362" s="78">
        <f t="shared" si="287"/>
        <v>1373642</v>
      </c>
      <c r="V362" s="78">
        <f t="shared" si="287"/>
        <v>2750</v>
      </c>
      <c r="W362" s="78">
        <f t="shared" si="287"/>
        <v>1376392</v>
      </c>
      <c r="X362" s="78">
        <f>SUM(X363:X385)</f>
        <v>0</v>
      </c>
      <c r="Y362" s="78">
        <f>SUM(Y363:Y385)</f>
        <v>1376392</v>
      </c>
    </row>
    <row r="363" spans="1:25" s="26" customFormat="1" ht="24">
      <c r="A363" s="65"/>
      <c r="B363" s="79"/>
      <c r="C363" s="83">
        <v>3020</v>
      </c>
      <c r="D363" s="41" t="s">
        <v>218</v>
      </c>
      <c r="E363" s="78">
        <v>3218</v>
      </c>
      <c r="F363" s="78"/>
      <c r="G363" s="78">
        <f t="shared" si="279"/>
        <v>3218</v>
      </c>
      <c r="H363" s="78"/>
      <c r="I363" s="78">
        <f aca="true" t="shared" si="288" ref="I363:I385">SUM(G363:H363)</f>
        <v>3218</v>
      </c>
      <c r="J363" s="78"/>
      <c r="K363" s="78">
        <f aca="true" t="shared" si="289" ref="K363:K385">SUM(I363:J363)</f>
        <v>3218</v>
      </c>
      <c r="L363" s="78"/>
      <c r="M363" s="78">
        <f aca="true" t="shared" si="290" ref="M363:M385">SUM(K363:L363)</f>
        <v>3218</v>
      </c>
      <c r="N363" s="78"/>
      <c r="O363" s="78">
        <f aca="true" t="shared" si="291" ref="O363:O385">SUM(M363:N363)</f>
        <v>3218</v>
      </c>
      <c r="P363" s="78"/>
      <c r="Q363" s="78">
        <f aca="true" t="shared" si="292" ref="Q363:Q385">SUM(O363:P363)</f>
        <v>3218</v>
      </c>
      <c r="R363" s="78"/>
      <c r="S363" s="78">
        <f aca="true" t="shared" si="293" ref="S363:S385">SUM(Q363:R363)</f>
        <v>3218</v>
      </c>
      <c r="T363" s="78"/>
      <c r="U363" s="78">
        <f aca="true" t="shared" si="294" ref="U363:U385">SUM(S363:T363)</f>
        <v>3218</v>
      </c>
      <c r="V363" s="78"/>
      <c r="W363" s="78">
        <f aca="true" t="shared" si="295" ref="W363:W385">SUM(U363:V363)</f>
        <v>3218</v>
      </c>
      <c r="X363" s="78"/>
      <c r="Y363" s="78">
        <f aca="true" t="shared" si="296" ref="Y363:Y385">SUM(W363:X363)</f>
        <v>3218</v>
      </c>
    </row>
    <row r="364" spans="1:27" s="26" customFormat="1" ht="21" customHeight="1">
      <c r="A364" s="65"/>
      <c r="B364" s="79"/>
      <c r="C364" s="83">
        <v>4010</v>
      </c>
      <c r="D364" s="41" t="s">
        <v>87</v>
      </c>
      <c r="E364" s="78">
        <f>28577+467500+141137+61197</f>
        <v>698411</v>
      </c>
      <c r="F364" s="78"/>
      <c r="G364" s="78">
        <f t="shared" si="279"/>
        <v>698411</v>
      </c>
      <c r="H364" s="78"/>
      <c r="I364" s="78">
        <f t="shared" si="288"/>
        <v>698411</v>
      </c>
      <c r="J364" s="78"/>
      <c r="K364" s="78">
        <f t="shared" si="289"/>
        <v>698411</v>
      </c>
      <c r="L364" s="78">
        <f>20500+13050</f>
        <v>33550</v>
      </c>
      <c r="M364" s="78">
        <f t="shared" si="290"/>
        <v>731961</v>
      </c>
      <c r="N364" s="78"/>
      <c r="O364" s="78">
        <f t="shared" si="291"/>
        <v>731961</v>
      </c>
      <c r="P364" s="78"/>
      <c r="Q364" s="78">
        <f t="shared" si="292"/>
        <v>731961</v>
      </c>
      <c r="R364" s="78"/>
      <c r="S364" s="78">
        <f t="shared" si="293"/>
        <v>731961</v>
      </c>
      <c r="T364" s="78"/>
      <c r="U364" s="78">
        <f t="shared" si="294"/>
        <v>731961</v>
      </c>
      <c r="V364" s="78">
        <v>2750</v>
      </c>
      <c r="W364" s="78">
        <f t="shared" si="295"/>
        <v>734711</v>
      </c>
      <c r="X364" s="78"/>
      <c r="Y364" s="78">
        <f t="shared" si="296"/>
        <v>734711</v>
      </c>
      <c r="Z364" s="117"/>
      <c r="AA364" s="117"/>
    </row>
    <row r="365" spans="1:27" s="26" customFormat="1" ht="21" customHeight="1">
      <c r="A365" s="65"/>
      <c r="B365" s="79"/>
      <c r="C365" s="83">
        <v>4040</v>
      </c>
      <c r="D365" s="41" t="s">
        <v>88</v>
      </c>
      <c r="E365" s="78">
        <f>2774+32000+12500+4300</f>
        <v>51574</v>
      </c>
      <c r="F365" s="78"/>
      <c r="G365" s="78">
        <f t="shared" si="279"/>
        <v>51574</v>
      </c>
      <c r="H365" s="78"/>
      <c r="I365" s="78">
        <f t="shared" si="288"/>
        <v>51574</v>
      </c>
      <c r="J365" s="78"/>
      <c r="K365" s="78">
        <f t="shared" si="289"/>
        <v>51574</v>
      </c>
      <c r="L365" s="78"/>
      <c r="M365" s="78">
        <f t="shared" si="290"/>
        <v>51574</v>
      </c>
      <c r="N365" s="78"/>
      <c r="O365" s="78">
        <f t="shared" si="291"/>
        <v>51574</v>
      </c>
      <c r="P365" s="78"/>
      <c r="Q365" s="78">
        <f t="shared" si="292"/>
        <v>51574</v>
      </c>
      <c r="R365" s="78"/>
      <c r="S365" s="78">
        <f t="shared" si="293"/>
        <v>51574</v>
      </c>
      <c r="T365" s="78"/>
      <c r="U365" s="78">
        <f t="shared" si="294"/>
        <v>51574</v>
      </c>
      <c r="V365" s="78"/>
      <c r="W365" s="78">
        <f t="shared" si="295"/>
        <v>51574</v>
      </c>
      <c r="X365" s="78"/>
      <c r="Y365" s="78">
        <f t="shared" si="296"/>
        <v>51574</v>
      </c>
      <c r="Z365" s="117"/>
      <c r="AA365" s="117"/>
    </row>
    <row r="366" spans="1:27" s="26" customFormat="1" ht="21" customHeight="1">
      <c r="A366" s="65"/>
      <c r="B366" s="79"/>
      <c r="C366" s="83">
        <v>4110</v>
      </c>
      <c r="D366" s="41" t="s">
        <v>89</v>
      </c>
      <c r="E366" s="78">
        <f>5234+72050+29130+10129</f>
        <v>116543</v>
      </c>
      <c r="F366" s="78"/>
      <c r="G366" s="78">
        <f t="shared" si="279"/>
        <v>116543</v>
      </c>
      <c r="H366" s="78"/>
      <c r="I366" s="78">
        <f t="shared" si="288"/>
        <v>116543</v>
      </c>
      <c r="J366" s="78"/>
      <c r="K366" s="78">
        <f t="shared" si="289"/>
        <v>116543</v>
      </c>
      <c r="L366" s="78">
        <v>2180</v>
      </c>
      <c r="M366" s="78">
        <f t="shared" si="290"/>
        <v>118723</v>
      </c>
      <c r="N366" s="78"/>
      <c r="O366" s="78">
        <f t="shared" si="291"/>
        <v>118723</v>
      </c>
      <c r="P366" s="78"/>
      <c r="Q366" s="78">
        <f t="shared" si="292"/>
        <v>118723</v>
      </c>
      <c r="R366" s="78"/>
      <c r="S366" s="78">
        <f t="shared" si="293"/>
        <v>118723</v>
      </c>
      <c r="T366" s="78"/>
      <c r="U366" s="78">
        <f t="shared" si="294"/>
        <v>118723</v>
      </c>
      <c r="V366" s="78"/>
      <c r="W366" s="78">
        <f t="shared" si="295"/>
        <v>118723</v>
      </c>
      <c r="X366" s="78"/>
      <c r="Y366" s="78">
        <f t="shared" si="296"/>
        <v>118723</v>
      </c>
      <c r="Z366" s="117"/>
      <c r="AA366" s="117"/>
    </row>
    <row r="367" spans="1:27" s="26" customFormat="1" ht="21" customHeight="1">
      <c r="A367" s="65"/>
      <c r="B367" s="79"/>
      <c r="C367" s="83">
        <v>4120</v>
      </c>
      <c r="D367" s="41" t="s">
        <v>90</v>
      </c>
      <c r="E367" s="78">
        <f>768+11250+4399+1578</f>
        <v>17995</v>
      </c>
      <c r="F367" s="78"/>
      <c r="G367" s="78">
        <f t="shared" si="279"/>
        <v>17995</v>
      </c>
      <c r="H367" s="78"/>
      <c r="I367" s="78">
        <f t="shared" si="288"/>
        <v>17995</v>
      </c>
      <c r="J367" s="78"/>
      <c r="K367" s="78">
        <f t="shared" si="289"/>
        <v>17995</v>
      </c>
      <c r="L367" s="78">
        <v>320</v>
      </c>
      <c r="M367" s="78">
        <f t="shared" si="290"/>
        <v>18315</v>
      </c>
      <c r="N367" s="78"/>
      <c r="O367" s="78">
        <f t="shared" si="291"/>
        <v>18315</v>
      </c>
      <c r="P367" s="78"/>
      <c r="Q367" s="78">
        <f t="shared" si="292"/>
        <v>18315</v>
      </c>
      <c r="R367" s="78"/>
      <c r="S367" s="78">
        <f t="shared" si="293"/>
        <v>18315</v>
      </c>
      <c r="T367" s="78"/>
      <c r="U367" s="78">
        <f t="shared" si="294"/>
        <v>18315</v>
      </c>
      <c r="V367" s="78"/>
      <c r="W367" s="78">
        <f t="shared" si="295"/>
        <v>18315</v>
      </c>
      <c r="X367" s="78"/>
      <c r="Y367" s="78">
        <f t="shared" si="296"/>
        <v>18315</v>
      </c>
      <c r="Z367" s="117"/>
      <c r="AA367" s="117"/>
    </row>
    <row r="368" spans="1:27" s="26" customFormat="1" ht="21" customHeight="1">
      <c r="A368" s="65"/>
      <c r="B368" s="79"/>
      <c r="C368" s="83">
        <v>4170</v>
      </c>
      <c r="D368" s="41" t="s">
        <v>202</v>
      </c>
      <c r="E368" s="78">
        <f>13200+6240</f>
        <v>19440</v>
      </c>
      <c r="F368" s="78"/>
      <c r="G368" s="78">
        <f t="shared" si="279"/>
        <v>19440</v>
      </c>
      <c r="H368" s="78"/>
      <c r="I368" s="78">
        <f t="shared" si="288"/>
        <v>19440</v>
      </c>
      <c r="J368" s="78"/>
      <c r="K368" s="78">
        <f t="shared" si="289"/>
        <v>19440</v>
      </c>
      <c r="L368" s="78"/>
      <c r="M368" s="78">
        <f t="shared" si="290"/>
        <v>19440</v>
      </c>
      <c r="N368" s="78"/>
      <c r="O368" s="78">
        <f t="shared" si="291"/>
        <v>19440</v>
      </c>
      <c r="P368" s="78"/>
      <c r="Q368" s="78">
        <f t="shared" si="292"/>
        <v>19440</v>
      </c>
      <c r="R368" s="78">
        <v>-12200</v>
      </c>
      <c r="S368" s="78">
        <f t="shared" si="293"/>
        <v>7240</v>
      </c>
      <c r="T368" s="78"/>
      <c r="U368" s="78">
        <f t="shared" si="294"/>
        <v>7240</v>
      </c>
      <c r="V368" s="78"/>
      <c r="W368" s="78">
        <f t="shared" si="295"/>
        <v>7240</v>
      </c>
      <c r="X368" s="78"/>
      <c r="Y368" s="78">
        <f t="shared" si="296"/>
        <v>7240</v>
      </c>
      <c r="Z368" s="117"/>
      <c r="AA368" s="117"/>
    </row>
    <row r="369" spans="1:25" s="26" customFormat="1" ht="21" customHeight="1">
      <c r="A369" s="65"/>
      <c r="B369" s="79"/>
      <c r="C369" s="83">
        <v>4210</v>
      </c>
      <c r="D369" s="41" t="s">
        <v>95</v>
      </c>
      <c r="E369" s="78">
        <f>2800+22500+11100</f>
        <v>36400</v>
      </c>
      <c r="F369" s="78"/>
      <c r="G369" s="78">
        <f t="shared" si="279"/>
        <v>36400</v>
      </c>
      <c r="H369" s="78"/>
      <c r="I369" s="78">
        <f t="shared" si="288"/>
        <v>36400</v>
      </c>
      <c r="J369" s="78"/>
      <c r="K369" s="78">
        <f t="shared" si="289"/>
        <v>36400</v>
      </c>
      <c r="L369" s="78"/>
      <c r="M369" s="78">
        <f t="shared" si="290"/>
        <v>36400</v>
      </c>
      <c r="N369" s="78"/>
      <c r="O369" s="78">
        <f t="shared" si="291"/>
        <v>36400</v>
      </c>
      <c r="P369" s="78"/>
      <c r="Q369" s="78">
        <f t="shared" si="292"/>
        <v>36400</v>
      </c>
      <c r="R369" s="78"/>
      <c r="S369" s="78">
        <f t="shared" si="293"/>
        <v>36400</v>
      </c>
      <c r="T369" s="78"/>
      <c r="U369" s="78">
        <f t="shared" si="294"/>
        <v>36400</v>
      </c>
      <c r="V369" s="78"/>
      <c r="W369" s="78">
        <f t="shared" si="295"/>
        <v>36400</v>
      </c>
      <c r="X369" s="78"/>
      <c r="Y369" s="78">
        <f t="shared" si="296"/>
        <v>36400</v>
      </c>
    </row>
    <row r="370" spans="1:25" s="26" customFormat="1" ht="21" customHeight="1">
      <c r="A370" s="65"/>
      <c r="B370" s="79"/>
      <c r="C370" s="83">
        <v>4220</v>
      </c>
      <c r="D370" s="41" t="s">
        <v>185</v>
      </c>
      <c r="E370" s="78">
        <v>150000</v>
      </c>
      <c r="F370" s="78"/>
      <c r="G370" s="78">
        <f t="shared" si="279"/>
        <v>150000</v>
      </c>
      <c r="H370" s="78"/>
      <c r="I370" s="78">
        <f t="shared" si="288"/>
        <v>150000</v>
      </c>
      <c r="J370" s="78"/>
      <c r="K370" s="78">
        <f t="shared" si="289"/>
        <v>150000</v>
      </c>
      <c r="L370" s="78"/>
      <c r="M370" s="78">
        <f t="shared" si="290"/>
        <v>150000</v>
      </c>
      <c r="N370" s="78"/>
      <c r="O370" s="78">
        <f t="shared" si="291"/>
        <v>150000</v>
      </c>
      <c r="P370" s="78"/>
      <c r="Q370" s="78">
        <f t="shared" si="292"/>
        <v>150000</v>
      </c>
      <c r="R370" s="78"/>
      <c r="S370" s="78">
        <f t="shared" si="293"/>
        <v>150000</v>
      </c>
      <c r="T370" s="78"/>
      <c r="U370" s="78">
        <f t="shared" si="294"/>
        <v>150000</v>
      </c>
      <c r="V370" s="78"/>
      <c r="W370" s="78">
        <f t="shared" si="295"/>
        <v>150000</v>
      </c>
      <c r="X370" s="78"/>
      <c r="Y370" s="78">
        <f t="shared" si="296"/>
        <v>150000</v>
      </c>
    </row>
    <row r="371" spans="1:25" s="26" customFormat="1" ht="21" customHeight="1">
      <c r="A371" s="65"/>
      <c r="B371" s="79"/>
      <c r="C371" s="83">
        <v>4260</v>
      </c>
      <c r="D371" s="41" t="s">
        <v>98</v>
      </c>
      <c r="E371" s="78">
        <f>4700+9855</f>
        <v>14555</v>
      </c>
      <c r="F371" s="78"/>
      <c r="G371" s="78">
        <f t="shared" si="279"/>
        <v>14555</v>
      </c>
      <c r="H371" s="78"/>
      <c r="I371" s="78">
        <f t="shared" si="288"/>
        <v>14555</v>
      </c>
      <c r="J371" s="78"/>
      <c r="K371" s="78">
        <f t="shared" si="289"/>
        <v>14555</v>
      </c>
      <c r="L371" s="78"/>
      <c r="M371" s="78">
        <f t="shared" si="290"/>
        <v>14555</v>
      </c>
      <c r="N371" s="78"/>
      <c r="O371" s="78">
        <f t="shared" si="291"/>
        <v>14555</v>
      </c>
      <c r="P371" s="78"/>
      <c r="Q371" s="78">
        <f t="shared" si="292"/>
        <v>14555</v>
      </c>
      <c r="R371" s="78"/>
      <c r="S371" s="78">
        <f t="shared" si="293"/>
        <v>14555</v>
      </c>
      <c r="T371" s="78"/>
      <c r="U371" s="78">
        <f t="shared" si="294"/>
        <v>14555</v>
      </c>
      <c r="V371" s="78"/>
      <c r="W371" s="78">
        <f t="shared" si="295"/>
        <v>14555</v>
      </c>
      <c r="X371" s="78"/>
      <c r="Y371" s="78">
        <f t="shared" si="296"/>
        <v>14555</v>
      </c>
    </row>
    <row r="372" spans="1:25" s="26" customFormat="1" ht="21" customHeight="1">
      <c r="A372" s="65"/>
      <c r="B372" s="79"/>
      <c r="C372" s="83">
        <v>4270</v>
      </c>
      <c r="D372" s="41" t="s">
        <v>81</v>
      </c>
      <c r="E372" s="78">
        <f>2000+2000</f>
        <v>4000</v>
      </c>
      <c r="F372" s="78"/>
      <c r="G372" s="78">
        <f t="shared" si="279"/>
        <v>4000</v>
      </c>
      <c r="H372" s="78"/>
      <c r="I372" s="78">
        <f t="shared" si="288"/>
        <v>4000</v>
      </c>
      <c r="J372" s="78"/>
      <c r="K372" s="78">
        <f t="shared" si="289"/>
        <v>4000</v>
      </c>
      <c r="L372" s="78"/>
      <c r="M372" s="78">
        <f t="shared" si="290"/>
        <v>4000</v>
      </c>
      <c r="N372" s="78"/>
      <c r="O372" s="78">
        <f t="shared" si="291"/>
        <v>4000</v>
      </c>
      <c r="P372" s="78"/>
      <c r="Q372" s="78">
        <f t="shared" si="292"/>
        <v>4000</v>
      </c>
      <c r="R372" s="78"/>
      <c r="S372" s="78">
        <f t="shared" si="293"/>
        <v>4000</v>
      </c>
      <c r="T372" s="78"/>
      <c r="U372" s="78">
        <f t="shared" si="294"/>
        <v>4000</v>
      </c>
      <c r="V372" s="78"/>
      <c r="W372" s="78">
        <f t="shared" si="295"/>
        <v>4000</v>
      </c>
      <c r="X372" s="78"/>
      <c r="Y372" s="78">
        <f t="shared" si="296"/>
        <v>4000</v>
      </c>
    </row>
    <row r="373" spans="1:25" s="26" customFormat="1" ht="21" customHeight="1">
      <c r="A373" s="65"/>
      <c r="B373" s="79"/>
      <c r="C373" s="83">
        <v>4280</v>
      </c>
      <c r="D373" s="41" t="s">
        <v>207</v>
      </c>
      <c r="E373" s="78">
        <f>1000+350</f>
        <v>1350</v>
      </c>
      <c r="F373" s="78"/>
      <c r="G373" s="78">
        <f t="shared" si="279"/>
        <v>1350</v>
      </c>
      <c r="H373" s="78"/>
      <c r="I373" s="78">
        <f t="shared" si="288"/>
        <v>1350</v>
      </c>
      <c r="J373" s="78"/>
      <c r="K373" s="78">
        <f t="shared" si="289"/>
        <v>1350</v>
      </c>
      <c r="L373" s="78"/>
      <c r="M373" s="78">
        <f t="shared" si="290"/>
        <v>1350</v>
      </c>
      <c r="N373" s="78"/>
      <c r="O373" s="78">
        <f t="shared" si="291"/>
        <v>1350</v>
      </c>
      <c r="P373" s="78"/>
      <c r="Q373" s="78">
        <f t="shared" si="292"/>
        <v>1350</v>
      </c>
      <c r="R373" s="78"/>
      <c r="S373" s="78">
        <f t="shared" si="293"/>
        <v>1350</v>
      </c>
      <c r="T373" s="78"/>
      <c r="U373" s="78">
        <f t="shared" si="294"/>
        <v>1350</v>
      </c>
      <c r="V373" s="78"/>
      <c r="W373" s="78">
        <f t="shared" si="295"/>
        <v>1350</v>
      </c>
      <c r="X373" s="78"/>
      <c r="Y373" s="78">
        <f t="shared" si="296"/>
        <v>1350</v>
      </c>
    </row>
    <row r="374" spans="1:25" s="26" customFormat="1" ht="21" customHeight="1">
      <c r="A374" s="65"/>
      <c r="B374" s="79"/>
      <c r="C374" s="83">
        <v>4300</v>
      </c>
      <c r="D374" s="41" t="s">
        <v>82</v>
      </c>
      <c r="E374" s="78">
        <f>42600+32639+10790</f>
        <v>86029</v>
      </c>
      <c r="F374" s="78"/>
      <c r="G374" s="78">
        <f t="shared" si="279"/>
        <v>86029</v>
      </c>
      <c r="H374" s="78"/>
      <c r="I374" s="78">
        <f t="shared" si="288"/>
        <v>86029</v>
      </c>
      <c r="J374" s="78"/>
      <c r="K374" s="78">
        <f t="shared" si="289"/>
        <v>86029</v>
      </c>
      <c r="L374" s="78"/>
      <c r="M374" s="78">
        <f t="shared" si="290"/>
        <v>86029</v>
      </c>
      <c r="N374" s="78"/>
      <c r="O374" s="78">
        <f t="shared" si="291"/>
        <v>86029</v>
      </c>
      <c r="P374" s="78"/>
      <c r="Q374" s="78">
        <f t="shared" si="292"/>
        <v>86029</v>
      </c>
      <c r="R374" s="78">
        <v>12200</v>
      </c>
      <c r="S374" s="78">
        <f t="shared" si="293"/>
        <v>98229</v>
      </c>
      <c r="T374" s="78"/>
      <c r="U374" s="78">
        <f t="shared" si="294"/>
        <v>98229</v>
      </c>
      <c r="V374" s="78"/>
      <c r="W374" s="78">
        <f t="shared" si="295"/>
        <v>98229</v>
      </c>
      <c r="X374" s="78"/>
      <c r="Y374" s="78">
        <f t="shared" si="296"/>
        <v>98229</v>
      </c>
    </row>
    <row r="375" spans="1:25" s="26" customFormat="1" ht="21" customHeight="1">
      <c r="A375" s="65"/>
      <c r="B375" s="79"/>
      <c r="C375" s="83">
        <v>4350</v>
      </c>
      <c r="D375" s="41" t="s">
        <v>215</v>
      </c>
      <c r="E375" s="78">
        <f>550+627</f>
        <v>1177</v>
      </c>
      <c r="F375" s="78"/>
      <c r="G375" s="78">
        <f t="shared" si="279"/>
        <v>1177</v>
      </c>
      <c r="H375" s="78"/>
      <c r="I375" s="78">
        <f t="shared" si="288"/>
        <v>1177</v>
      </c>
      <c r="J375" s="78"/>
      <c r="K375" s="78">
        <f t="shared" si="289"/>
        <v>1177</v>
      </c>
      <c r="L375" s="78"/>
      <c r="M375" s="78">
        <f t="shared" si="290"/>
        <v>1177</v>
      </c>
      <c r="N375" s="78"/>
      <c r="O375" s="78">
        <f t="shared" si="291"/>
        <v>1177</v>
      </c>
      <c r="P375" s="78"/>
      <c r="Q375" s="78">
        <f t="shared" si="292"/>
        <v>1177</v>
      </c>
      <c r="R375" s="78"/>
      <c r="S375" s="78">
        <f t="shared" si="293"/>
        <v>1177</v>
      </c>
      <c r="T375" s="78"/>
      <c r="U375" s="78">
        <f t="shared" si="294"/>
        <v>1177</v>
      </c>
      <c r="V375" s="78"/>
      <c r="W375" s="78">
        <f t="shared" si="295"/>
        <v>1177</v>
      </c>
      <c r="X375" s="78"/>
      <c r="Y375" s="78">
        <f t="shared" si="296"/>
        <v>1177</v>
      </c>
    </row>
    <row r="376" spans="1:25" s="26" customFormat="1" ht="27" customHeight="1">
      <c r="A376" s="65"/>
      <c r="B376" s="79"/>
      <c r="C376" s="83">
        <v>4360</v>
      </c>
      <c r="D376" s="41" t="s">
        <v>238</v>
      </c>
      <c r="E376" s="78">
        <v>732</v>
      </c>
      <c r="F376" s="78"/>
      <c r="G376" s="78">
        <f t="shared" si="279"/>
        <v>732</v>
      </c>
      <c r="H376" s="78"/>
      <c r="I376" s="78">
        <f t="shared" si="288"/>
        <v>732</v>
      </c>
      <c r="J376" s="78"/>
      <c r="K376" s="78">
        <f t="shared" si="289"/>
        <v>732</v>
      </c>
      <c r="L376" s="78"/>
      <c r="M376" s="78">
        <f t="shared" si="290"/>
        <v>732</v>
      </c>
      <c r="N376" s="78"/>
      <c r="O376" s="78">
        <f t="shared" si="291"/>
        <v>732</v>
      </c>
      <c r="P376" s="78"/>
      <c r="Q376" s="78">
        <f t="shared" si="292"/>
        <v>732</v>
      </c>
      <c r="R376" s="78"/>
      <c r="S376" s="78">
        <f t="shared" si="293"/>
        <v>732</v>
      </c>
      <c r="T376" s="78"/>
      <c r="U376" s="78">
        <f t="shared" si="294"/>
        <v>732</v>
      </c>
      <c r="V376" s="78"/>
      <c r="W376" s="78">
        <f t="shared" si="295"/>
        <v>732</v>
      </c>
      <c r="X376" s="78"/>
      <c r="Y376" s="78">
        <f t="shared" si="296"/>
        <v>732</v>
      </c>
    </row>
    <row r="377" spans="1:25" s="26" customFormat="1" ht="27" customHeight="1">
      <c r="A377" s="65"/>
      <c r="B377" s="79"/>
      <c r="C377" s="83">
        <v>4370</v>
      </c>
      <c r="D377" s="41" t="s">
        <v>235</v>
      </c>
      <c r="E377" s="78">
        <f>2500+7800+480</f>
        <v>10780</v>
      </c>
      <c r="F377" s="78"/>
      <c r="G377" s="78">
        <f t="shared" si="279"/>
        <v>10780</v>
      </c>
      <c r="H377" s="78"/>
      <c r="I377" s="78">
        <f t="shared" si="288"/>
        <v>10780</v>
      </c>
      <c r="J377" s="78"/>
      <c r="K377" s="78">
        <f t="shared" si="289"/>
        <v>10780</v>
      </c>
      <c r="L377" s="78"/>
      <c r="M377" s="78">
        <f t="shared" si="290"/>
        <v>10780</v>
      </c>
      <c r="N377" s="78"/>
      <c r="O377" s="78">
        <f t="shared" si="291"/>
        <v>10780</v>
      </c>
      <c r="P377" s="78"/>
      <c r="Q377" s="78">
        <f t="shared" si="292"/>
        <v>10780</v>
      </c>
      <c r="R377" s="78"/>
      <c r="S377" s="78">
        <f t="shared" si="293"/>
        <v>10780</v>
      </c>
      <c r="T377" s="78"/>
      <c r="U377" s="78">
        <f t="shared" si="294"/>
        <v>10780</v>
      </c>
      <c r="V377" s="78"/>
      <c r="W377" s="78">
        <f t="shared" si="295"/>
        <v>10780</v>
      </c>
      <c r="X377" s="78"/>
      <c r="Y377" s="78">
        <f t="shared" si="296"/>
        <v>10780</v>
      </c>
    </row>
    <row r="378" spans="1:25" s="26" customFormat="1" ht="27" customHeight="1">
      <c r="A378" s="65"/>
      <c r="B378" s="79"/>
      <c r="C378" s="83">
        <v>4400</v>
      </c>
      <c r="D378" s="41" t="s">
        <v>263</v>
      </c>
      <c r="E378" s="78">
        <f>2104+58671+12501</f>
        <v>73276</v>
      </c>
      <c r="F378" s="78"/>
      <c r="G378" s="78">
        <f t="shared" si="279"/>
        <v>73276</v>
      </c>
      <c r="H378" s="78"/>
      <c r="I378" s="78">
        <f t="shared" si="288"/>
        <v>73276</v>
      </c>
      <c r="J378" s="78"/>
      <c r="K378" s="78">
        <f t="shared" si="289"/>
        <v>73276</v>
      </c>
      <c r="L378" s="78"/>
      <c r="M378" s="78">
        <f t="shared" si="290"/>
        <v>73276</v>
      </c>
      <c r="N378" s="78"/>
      <c r="O378" s="78">
        <f t="shared" si="291"/>
        <v>73276</v>
      </c>
      <c r="P378" s="78"/>
      <c r="Q378" s="78">
        <f t="shared" si="292"/>
        <v>73276</v>
      </c>
      <c r="R378" s="78"/>
      <c r="S378" s="78">
        <f t="shared" si="293"/>
        <v>73276</v>
      </c>
      <c r="T378" s="78"/>
      <c r="U378" s="78">
        <f t="shared" si="294"/>
        <v>73276</v>
      </c>
      <c r="V378" s="78"/>
      <c r="W378" s="78">
        <f t="shared" si="295"/>
        <v>73276</v>
      </c>
      <c r="X378" s="78"/>
      <c r="Y378" s="78">
        <f t="shared" si="296"/>
        <v>73276</v>
      </c>
    </row>
    <row r="379" spans="1:25" s="26" customFormat="1" ht="21" customHeight="1">
      <c r="A379" s="65"/>
      <c r="B379" s="79"/>
      <c r="C379" s="83">
        <v>4410</v>
      </c>
      <c r="D379" s="41" t="s">
        <v>93</v>
      </c>
      <c r="E379" s="78">
        <f>447+11015</f>
        <v>11462</v>
      </c>
      <c r="F379" s="78"/>
      <c r="G379" s="78">
        <f t="shared" si="279"/>
        <v>11462</v>
      </c>
      <c r="H379" s="78"/>
      <c r="I379" s="78">
        <f t="shared" si="288"/>
        <v>11462</v>
      </c>
      <c r="J379" s="78"/>
      <c r="K379" s="78">
        <f t="shared" si="289"/>
        <v>11462</v>
      </c>
      <c r="L379" s="78"/>
      <c r="M379" s="78">
        <f t="shared" si="290"/>
        <v>11462</v>
      </c>
      <c r="N379" s="78"/>
      <c r="O379" s="78">
        <f t="shared" si="291"/>
        <v>11462</v>
      </c>
      <c r="P379" s="78"/>
      <c r="Q379" s="78">
        <f t="shared" si="292"/>
        <v>11462</v>
      </c>
      <c r="R379" s="78"/>
      <c r="S379" s="78">
        <f t="shared" si="293"/>
        <v>11462</v>
      </c>
      <c r="T379" s="78"/>
      <c r="U379" s="78">
        <f t="shared" si="294"/>
        <v>11462</v>
      </c>
      <c r="V379" s="78"/>
      <c r="W379" s="78">
        <f t="shared" si="295"/>
        <v>11462</v>
      </c>
      <c r="X379" s="78"/>
      <c r="Y379" s="78">
        <f t="shared" si="296"/>
        <v>11462</v>
      </c>
    </row>
    <row r="380" spans="1:25" s="26" customFormat="1" ht="21" customHeight="1">
      <c r="A380" s="65"/>
      <c r="B380" s="79"/>
      <c r="C380" s="83">
        <v>4430</v>
      </c>
      <c r="D380" s="41" t="s">
        <v>97</v>
      </c>
      <c r="E380" s="78">
        <f>2430</f>
        <v>2430</v>
      </c>
      <c r="F380" s="78"/>
      <c r="G380" s="78">
        <f t="shared" si="279"/>
        <v>2430</v>
      </c>
      <c r="H380" s="78"/>
      <c r="I380" s="78">
        <f t="shared" si="288"/>
        <v>2430</v>
      </c>
      <c r="J380" s="78"/>
      <c r="K380" s="78">
        <f t="shared" si="289"/>
        <v>2430</v>
      </c>
      <c r="L380" s="78"/>
      <c r="M380" s="78">
        <f t="shared" si="290"/>
        <v>2430</v>
      </c>
      <c r="N380" s="78"/>
      <c r="O380" s="78">
        <f t="shared" si="291"/>
        <v>2430</v>
      </c>
      <c r="P380" s="78"/>
      <c r="Q380" s="78">
        <f t="shared" si="292"/>
        <v>2430</v>
      </c>
      <c r="R380" s="78"/>
      <c r="S380" s="78">
        <f t="shared" si="293"/>
        <v>2430</v>
      </c>
      <c r="T380" s="78"/>
      <c r="U380" s="78">
        <f t="shared" si="294"/>
        <v>2430</v>
      </c>
      <c r="V380" s="78"/>
      <c r="W380" s="78">
        <f t="shared" si="295"/>
        <v>2430</v>
      </c>
      <c r="X380" s="78"/>
      <c r="Y380" s="78">
        <f t="shared" si="296"/>
        <v>2430</v>
      </c>
    </row>
    <row r="381" spans="1:25" s="26" customFormat="1" ht="21" customHeight="1">
      <c r="A381" s="65"/>
      <c r="B381" s="79"/>
      <c r="C381" s="83">
        <v>4440</v>
      </c>
      <c r="D381" s="41" t="s">
        <v>91</v>
      </c>
      <c r="E381" s="78">
        <f>1138+15000+5171+3007</f>
        <v>24316</v>
      </c>
      <c r="F381" s="78"/>
      <c r="G381" s="78">
        <f t="shared" si="279"/>
        <v>24316</v>
      </c>
      <c r="H381" s="78"/>
      <c r="I381" s="78">
        <f t="shared" si="288"/>
        <v>24316</v>
      </c>
      <c r="J381" s="78"/>
      <c r="K381" s="78">
        <f t="shared" si="289"/>
        <v>24316</v>
      </c>
      <c r="L381" s="78"/>
      <c r="M381" s="78">
        <f t="shared" si="290"/>
        <v>24316</v>
      </c>
      <c r="N381" s="78"/>
      <c r="O381" s="78">
        <f t="shared" si="291"/>
        <v>24316</v>
      </c>
      <c r="P381" s="78"/>
      <c r="Q381" s="78">
        <f t="shared" si="292"/>
        <v>24316</v>
      </c>
      <c r="R381" s="78"/>
      <c r="S381" s="78">
        <f t="shared" si="293"/>
        <v>24316</v>
      </c>
      <c r="T381" s="78"/>
      <c r="U381" s="78">
        <f t="shared" si="294"/>
        <v>24316</v>
      </c>
      <c r="V381" s="78"/>
      <c r="W381" s="78">
        <f t="shared" si="295"/>
        <v>24316</v>
      </c>
      <c r="X381" s="78"/>
      <c r="Y381" s="78">
        <f t="shared" si="296"/>
        <v>24316</v>
      </c>
    </row>
    <row r="382" spans="1:25" s="26" customFormat="1" ht="21" customHeight="1">
      <c r="A382" s="65"/>
      <c r="B382" s="79"/>
      <c r="C382" s="83">
        <v>4610</v>
      </c>
      <c r="D382" s="41" t="s">
        <v>188</v>
      </c>
      <c r="E382" s="78">
        <v>800</v>
      </c>
      <c r="F382" s="78"/>
      <c r="G382" s="78">
        <f t="shared" si="279"/>
        <v>800</v>
      </c>
      <c r="H382" s="78"/>
      <c r="I382" s="78">
        <f t="shared" si="288"/>
        <v>800</v>
      </c>
      <c r="J382" s="78"/>
      <c r="K382" s="78">
        <f t="shared" si="289"/>
        <v>800</v>
      </c>
      <c r="L382" s="78"/>
      <c r="M382" s="78">
        <f t="shared" si="290"/>
        <v>800</v>
      </c>
      <c r="N382" s="78"/>
      <c r="O382" s="78">
        <f t="shared" si="291"/>
        <v>800</v>
      </c>
      <c r="P382" s="78"/>
      <c r="Q382" s="78">
        <f t="shared" si="292"/>
        <v>800</v>
      </c>
      <c r="R382" s="78"/>
      <c r="S382" s="78">
        <f t="shared" si="293"/>
        <v>800</v>
      </c>
      <c r="T382" s="78"/>
      <c r="U382" s="78">
        <f t="shared" si="294"/>
        <v>800</v>
      </c>
      <c r="V382" s="78"/>
      <c r="W382" s="78">
        <f t="shared" si="295"/>
        <v>800</v>
      </c>
      <c r="X382" s="78"/>
      <c r="Y382" s="78">
        <f t="shared" si="296"/>
        <v>800</v>
      </c>
    </row>
    <row r="383" spans="1:25" s="26" customFormat="1" ht="27" customHeight="1">
      <c r="A383" s="65"/>
      <c r="B383" s="79"/>
      <c r="C383" s="83">
        <v>4700</v>
      </c>
      <c r="D383" s="41" t="s">
        <v>272</v>
      </c>
      <c r="E383" s="78">
        <v>6000</v>
      </c>
      <c r="F383" s="78"/>
      <c r="G383" s="78">
        <f t="shared" si="279"/>
        <v>6000</v>
      </c>
      <c r="H383" s="78"/>
      <c r="I383" s="78">
        <f t="shared" si="288"/>
        <v>6000</v>
      </c>
      <c r="J383" s="78"/>
      <c r="K383" s="78">
        <f t="shared" si="289"/>
        <v>6000</v>
      </c>
      <c r="L383" s="78"/>
      <c r="M383" s="78">
        <f t="shared" si="290"/>
        <v>6000</v>
      </c>
      <c r="N383" s="78"/>
      <c r="O383" s="78">
        <f t="shared" si="291"/>
        <v>6000</v>
      </c>
      <c r="P383" s="78"/>
      <c r="Q383" s="78">
        <f t="shared" si="292"/>
        <v>6000</v>
      </c>
      <c r="R383" s="78"/>
      <c r="S383" s="78">
        <f t="shared" si="293"/>
        <v>6000</v>
      </c>
      <c r="T383" s="78"/>
      <c r="U383" s="78">
        <f t="shared" si="294"/>
        <v>6000</v>
      </c>
      <c r="V383" s="78"/>
      <c r="W383" s="78">
        <f t="shared" si="295"/>
        <v>6000</v>
      </c>
      <c r="X383" s="78"/>
      <c r="Y383" s="78">
        <f t="shared" si="296"/>
        <v>6000</v>
      </c>
    </row>
    <row r="384" spans="1:25" s="26" customFormat="1" ht="27" customHeight="1">
      <c r="A384" s="65"/>
      <c r="B384" s="79"/>
      <c r="C384" s="83">
        <v>4740</v>
      </c>
      <c r="D384" s="41" t="s">
        <v>236</v>
      </c>
      <c r="E384" s="78">
        <f>300+1804</f>
        <v>2104</v>
      </c>
      <c r="F384" s="78"/>
      <c r="G384" s="78">
        <f t="shared" si="279"/>
        <v>2104</v>
      </c>
      <c r="H384" s="78"/>
      <c r="I384" s="78">
        <f t="shared" si="288"/>
        <v>2104</v>
      </c>
      <c r="J384" s="78"/>
      <c r="K384" s="78">
        <f t="shared" si="289"/>
        <v>2104</v>
      </c>
      <c r="L384" s="78"/>
      <c r="M384" s="78">
        <f t="shared" si="290"/>
        <v>2104</v>
      </c>
      <c r="N384" s="78"/>
      <c r="O384" s="78">
        <f t="shared" si="291"/>
        <v>2104</v>
      </c>
      <c r="P384" s="78"/>
      <c r="Q384" s="78">
        <f t="shared" si="292"/>
        <v>2104</v>
      </c>
      <c r="R384" s="78"/>
      <c r="S384" s="78">
        <f t="shared" si="293"/>
        <v>2104</v>
      </c>
      <c r="T384" s="78"/>
      <c r="U384" s="78">
        <f t="shared" si="294"/>
        <v>2104</v>
      </c>
      <c r="V384" s="78"/>
      <c r="W384" s="78">
        <f t="shared" si="295"/>
        <v>2104</v>
      </c>
      <c r="X384" s="78"/>
      <c r="Y384" s="78">
        <f t="shared" si="296"/>
        <v>2104</v>
      </c>
    </row>
    <row r="385" spans="1:25" s="26" customFormat="1" ht="24">
      <c r="A385" s="65"/>
      <c r="B385" s="79"/>
      <c r="C385" s="83">
        <v>4750</v>
      </c>
      <c r="D385" s="41" t="s">
        <v>280</v>
      </c>
      <c r="E385" s="78">
        <v>5000</v>
      </c>
      <c r="F385" s="78"/>
      <c r="G385" s="78">
        <f t="shared" si="279"/>
        <v>5000</v>
      </c>
      <c r="H385" s="78"/>
      <c r="I385" s="78">
        <f t="shared" si="288"/>
        <v>5000</v>
      </c>
      <c r="J385" s="78"/>
      <c r="K385" s="78">
        <f t="shared" si="289"/>
        <v>5000</v>
      </c>
      <c r="L385" s="78"/>
      <c r="M385" s="78">
        <f t="shared" si="290"/>
        <v>5000</v>
      </c>
      <c r="N385" s="78"/>
      <c r="O385" s="78">
        <f t="shared" si="291"/>
        <v>5000</v>
      </c>
      <c r="P385" s="78"/>
      <c r="Q385" s="78">
        <f t="shared" si="292"/>
        <v>5000</v>
      </c>
      <c r="R385" s="78"/>
      <c r="S385" s="78">
        <f t="shared" si="293"/>
        <v>5000</v>
      </c>
      <c r="T385" s="78"/>
      <c r="U385" s="78">
        <f t="shared" si="294"/>
        <v>5000</v>
      </c>
      <c r="V385" s="78"/>
      <c r="W385" s="78">
        <f t="shared" si="295"/>
        <v>5000</v>
      </c>
      <c r="X385" s="78"/>
      <c r="Y385" s="78">
        <f t="shared" si="296"/>
        <v>5000</v>
      </c>
    </row>
    <row r="386" spans="1:25" s="26" customFormat="1" ht="24">
      <c r="A386" s="65"/>
      <c r="B386" s="79">
        <v>85228</v>
      </c>
      <c r="C386" s="83"/>
      <c r="D386" s="41" t="s">
        <v>124</v>
      </c>
      <c r="E386" s="78">
        <f aca="true" t="shared" si="297" ref="E386:Y386">SUM(E387)</f>
        <v>150000</v>
      </c>
      <c r="F386" s="78">
        <f t="shared" si="297"/>
        <v>0</v>
      </c>
      <c r="G386" s="78">
        <f t="shared" si="297"/>
        <v>150000</v>
      </c>
      <c r="H386" s="78">
        <f t="shared" si="297"/>
        <v>0</v>
      </c>
      <c r="I386" s="78">
        <f t="shared" si="297"/>
        <v>150000</v>
      </c>
      <c r="J386" s="78">
        <f t="shared" si="297"/>
        <v>0</v>
      </c>
      <c r="K386" s="78">
        <f t="shared" si="297"/>
        <v>150000</v>
      </c>
      <c r="L386" s="78">
        <f t="shared" si="297"/>
        <v>0</v>
      </c>
      <c r="M386" s="78">
        <f t="shared" si="297"/>
        <v>150000</v>
      </c>
      <c r="N386" s="78">
        <f t="shared" si="297"/>
        <v>0</v>
      </c>
      <c r="O386" s="78">
        <f t="shared" si="297"/>
        <v>150000</v>
      </c>
      <c r="P386" s="78">
        <f t="shared" si="297"/>
        <v>0</v>
      </c>
      <c r="Q386" s="78">
        <f t="shared" si="297"/>
        <v>150000</v>
      </c>
      <c r="R386" s="78">
        <f t="shared" si="297"/>
        <v>0</v>
      </c>
      <c r="S386" s="78">
        <f t="shared" si="297"/>
        <v>150000</v>
      </c>
      <c r="T386" s="78">
        <f t="shared" si="297"/>
        <v>0</v>
      </c>
      <c r="U386" s="78">
        <f t="shared" si="297"/>
        <v>150000</v>
      </c>
      <c r="V386" s="78">
        <f t="shared" si="297"/>
        <v>0</v>
      </c>
      <c r="W386" s="78">
        <f t="shared" si="297"/>
        <v>150000</v>
      </c>
      <c r="X386" s="78">
        <f t="shared" si="297"/>
        <v>0</v>
      </c>
      <c r="Y386" s="78">
        <f t="shared" si="297"/>
        <v>150000</v>
      </c>
    </row>
    <row r="387" spans="1:25" s="26" customFormat="1" ht="21" customHeight="1">
      <c r="A387" s="65"/>
      <c r="B387" s="79"/>
      <c r="C387" s="83">
        <v>4300</v>
      </c>
      <c r="D387" s="41" t="s">
        <v>82</v>
      </c>
      <c r="E387" s="78">
        <v>150000</v>
      </c>
      <c r="F387" s="78"/>
      <c r="G387" s="78">
        <f t="shared" si="279"/>
        <v>150000</v>
      </c>
      <c r="H387" s="78"/>
      <c r="I387" s="78">
        <f>SUM(G387:H387)</f>
        <v>150000</v>
      </c>
      <c r="J387" s="78"/>
      <c r="K387" s="78">
        <f>SUM(I387:J387)</f>
        <v>150000</v>
      </c>
      <c r="L387" s="78"/>
      <c r="M387" s="78">
        <f>SUM(K387:L387)</f>
        <v>150000</v>
      </c>
      <c r="N387" s="78"/>
      <c r="O387" s="78">
        <f>SUM(M387:N387)</f>
        <v>150000</v>
      </c>
      <c r="P387" s="78"/>
      <c r="Q387" s="78">
        <f>SUM(O387:P387)</f>
        <v>150000</v>
      </c>
      <c r="R387" s="78"/>
      <c r="S387" s="78">
        <f>SUM(Q387:R387)</f>
        <v>150000</v>
      </c>
      <c r="T387" s="78"/>
      <c r="U387" s="78">
        <f>SUM(S387:T387)</f>
        <v>150000</v>
      </c>
      <c r="V387" s="78"/>
      <c r="W387" s="78">
        <f>SUM(U387:V387)</f>
        <v>150000</v>
      </c>
      <c r="X387" s="78"/>
      <c r="Y387" s="78">
        <f>SUM(W387:X387)</f>
        <v>150000</v>
      </c>
    </row>
    <row r="388" spans="1:25" s="26" customFormat="1" ht="21" customHeight="1">
      <c r="A388" s="65"/>
      <c r="B388" s="79" t="s">
        <v>162</v>
      </c>
      <c r="C388" s="83"/>
      <c r="D388" s="41" t="s">
        <v>6</v>
      </c>
      <c r="E388" s="78">
        <f aca="true" t="shared" si="298" ref="E388:K388">SUM(E389:E390)</f>
        <v>763820</v>
      </c>
      <c r="F388" s="78">
        <f t="shared" si="298"/>
        <v>0</v>
      </c>
      <c r="G388" s="78">
        <f t="shared" si="298"/>
        <v>763820</v>
      </c>
      <c r="H388" s="78">
        <f t="shared" si="298"/>
        <v>0</v>
      </c>
      <c r="I388" s="78">
        <f t="shared" si="298"/>
        <v>763820</v>
      </c>
      <c r="J388" s="78">
        <f t="shared" si="298"/>
        <v>0</v>
      </c>
      <c r="K388" s="78">
        <f t="shared" si="298"/>
        <v>763820</v>
      </c>
      <c r="L388" s="78">
        <f aca="true" t="shared" si="299" ref="L388:Q388">SUM(L389:L390)</f>
        <v>0</v>
      </c>
      <c r="M388" s="78">
        <f t="shared" si="299"/>
        <v>763820</v>
      </c>
      <c r="N388" s="78">
        <f t="shared" si="299"/>
        <v>75000</v>
      </c>
      <c r="O388" s="78">
        <f t="shared" si="299"/>
        <v>838820</v>
      </c>
      <c r="P388" s="78">
        <f t="shared" si="299"/>
        <v>0</v>
      </c>
      <c r="Q388" s="78">
        <f t="shared" si="299"/>
        <v>838820</v>
      </c>
      <c r="R388" s="78">
        <f aca="true" t="shared" si="300" ref="R388:W388">SUM(R389:R390)</f>
        <v>0</v>
      </c>
      <c r="S388" s="78">
        <f t="shared" si="300"/>
        <v>838820</v>
      </c>
      <c r="T388" s="78">
        <f t="shared" si="300"/>
        <v>0</v>
      </c>
      <c r="U388" s="78">
        <f t="shared" si="300"/>
        <v>838820</v>
      </c>
      <c r="V388" s="78">
        <f t="shared" si="300"/>
        <v>10000</v>
      </c>
      <c r="W388" s="78">
        <f t="shared" si="300"/>
        <v>848820</v>
      </c>
      <c r="X388" s="78">
        <f>SUM(X389:X390)</f>
        <v>0</v>
      </c>
      <c r="Y388" s="78">
        <f>SUM(Y389:Y390)</f>
        <v>848820</v>
      </c>
    </row>
    <row r="389" spans="1:25" s="26" customFormat="1" ht="21" customHeight="1">
      <c r="A389" s="65"/>
      <c r="B389" s="79"/>
      <c r="C389" s="83">
        <v>3110</v>
      </c>
      <c r="D389" s="41" t="s">
        <v>115</v>
      </c>
      <c r="E389" s="69">
        <f>541300+217000</f>
        <v>758300</v>
      </c>
      <c r="F389" s="69"/>
      <c r="G389" s="78">
        <f t="shared" si="279"/>
        <v>758300</v>
      </c>
      <c r="H389" s="69"/>
      <c r="I389" s="78">
        <f>SUM(G389:H389)</f>
        <v>758300</v>
      </c>
      <c r="J389" s="69"/>
      <c r="K389" s="78">
        <f>SUM(I389:J389)</f>
        <v>758300</v>
      </c>
      <c r="L389" s="69"/>
      <c r="M389" s="78">
        <f>SUM(K389:L389)</f>
        <v>758300</v>
      </c>
      <c r="N389" s="69">
        <v>75000</v>
      </c>
      <c r="O389" s="78">
        <f>SUM(M389:N389)</f>
        <v>833300</v>
      </c>
      <c r="P389" s="69"/>
      <c r="Q389" s="78">
        <f>SUM(O389:P389)</f>
        <v>833300</v>
      </c>
      <c r="R389" s="69"/>
      <c r="S389" s="78">
        <f>SUM(Q389:R389)</f>
        <v>833300</v>
      </c>
      <c r="T389" s="69"/>
      <c r="U389" s="78">
        <f>SUM(S389:T389)</f>
        <v>833300</v>
      </c>
      <c r="V389" s="69">
        <v>10000</v>
      </c>
      <c r="W389" s="78">
        <f>SUM(U389:V389)</f>
        <v>843300</v>
      </c>
      <c r="X389" s="69"/>
      <c r="Y389" s="78">
        <f>SUM(W389:X389)</f>
        <v>843300</v>
      </c>
    </row>
    <row r="390" spans="1:25" s="26" customFormat="1" ht="21" customHeight="1">
      <c r="A390" s="65"/>
      <c r="B390" s="79"/>
      <c r="C390" s="83">
        <v>4430</v>
      </c>
      <c r="D390" s="41" t="s">
        <v>97</v>
      </c>
      <c r="E390" s="78">
        <v>5520</v>
      </c>
      <c r="F390" s="78"/>
      <c r="G390" s="78">
        <f t="shared" si="279"/>
        <v>5520</v>
      </c>
      <c r="H390" s="78"/>
      <c r="I390" s="78">
        <f>SUM(G390:H390)</f>
        <v>5520</v>
      </c>
      <c r="J390" s="78"/>
      <c r="K390" s="78">
        <f>SUM(I390:J390)</f>
        <v>5520</v>
      </c>
      <c r="L390" s="78"/>
      <c r="M390" s="78">
        <f>SUM(K390:L390)</f>
        <v>5520</v>
      </c>
      <c r="N390" s="78"/>
      <c r="O390" s="78">
        <f>SUM(M390:N390)</f>
        <v>5520</v>
      </c>
      <c r="P390" s="78"/>
      <c r="Q390" s="78">
        <f>SUM(O390:P390)</f>
        <v>5520</v>
      </c>
      <c r="R390" s="78"/>
      <c r="S390" s="78">
        <f>SUM(Q390:R390)</f>
        <v>5520</v>
      </c>
      <c r="T390" s="78"/>
      <c r="U390" s="78">
        <f>SUM(S390:T390)</f>
        <v>5520</v>
      </c>
      <c r="V390" s="78"/>
      <c r="W390" s="78">
        <f>SUM(U390:V390)</f>
        <v>5520</v>
      </c>
      <c r="X390" s="78"/>
      <c r="Y390" s="78">
        <f>SUM(W390:X390)</f>
        <v>5520</v>
      </c>
    </row>
    <row r="391" spans="1:25" s="145" customFormat="1" ht="24">
      <c r="A391" s="286">
        <v>853</v>
      </c>
      <c r="B391" s="287"/>
      <c r="C391" s="288"/>
      <c r="D391" s="289" t="s">
        <v>323</v>
      </c>
      <c r="E391" s="290">
        <f aca="true" t="shared" si="301" ref="E391:Y392">E392</f>
        <v>10800</v>
      </c>
      <c r="F391" s="290">
        <f t="shared" si="301"/>
        <v>0</v>
      </c>
      <c r="G391" s="290">
        <f t="shared" si="301"/>
        <v>10800</v>
      </c>
      <c r="H391" s="290">
        <f t="shared" si="301"/>
        <v>0</v>
      </c>
      <c r="I391" s="290">
        <f t="shared" si="301"/>
        <v>10800</v>
      </c>
      <c r="J391" s="290">
        <f t="shared" si="301"/>
        <v>0</v>
      </c>
      <c r="K391" s="290">
        <f t="shared" si="301"/>
        <v>10800</v>
      </c>
      <c r="L391" s="290">
        <f t="shared" si="301"/>
        <v>0</v>
      </c>
      <c r="M391" s="290">
        <f t="shared" si="301"/>
        <v>10800</v>
      </c>
      <c r="N391" s="290">
        <f t="shared" si="301"/>
        <v>0</v>
      </c>
      <c r="O391" s="290">
        <f t="shared" si="301"/>
        <v>10800</v>
      </c>
      <c r="P391" s="290">
        <f t="shared" si="301"/>
        <v>0</v>
      </c>
      <c r="Q391" s="290">
        <f t="shared" si="301"/>
        <v>10800</v>
      </c>
      <c r="R391" s="290">
        <f t="shared" si="301"/>
        <v>0</v>
      </c>
      <c r="S391" s="290">
        <f t="shared" si="301"/>
        <v>10800</v>
      </c>
      <c r="T391" s="290">
        <f t="shared" si="301"/>
        <v>0</v>
      </c>
      <c r="U391" s="290">
        <f>U392+U394</f>
        <v>10800</v>
      </c>
      <c r="V391" s="290">
        <f>V392+V394</f>
        <v>196185</v>
      </c>
      <c r="W391" s="290">
        <f>W392+W394</f>
        <v>206985</v>
      </c>
      <c r="X391" s="290">
        <f>X392+X394</f>
        <v>0</v>
      </c>
      <c r="Y391" s="290">
        <f>Y392+Y394</f>
        <v>206985</v>
      </c>
    </row>
    <row r="392" spans="1:25" s="26" customFormat="1" ht="21" customHeight="1">
      <c r="A392" s="65"/>
      <c r="B392" s="79">
        <v>85311</v>
      </c>
      <c r="C392" s="83"/>
      <c r="D392" s="41" t="s">
        <v>324</v>
      </c>
      <c r="E392" s="78">
        <f t="shared" si="301"/>
        <v>10800</v>
      </c>
      <c r="F392" s="78">
        <f t="shared" si="301"/>
        <v>0</v>
      </c>
      <c r="G392" s="78">
        <f t="shared" si="301"/>
        <v>10800</v>
      </c>
      <c r="H392" s="78">
        <f t="shared" si="301"/>
        <v>0</v>
      </c>
      <c r="I392" s="78">
        <f t="shared" si="301"/>
        <v>10800</v>
      </c>
      <c r="J392" s="78">
        <f t="shared" si="301"/>
        <v>0</v>
      </c>
      <c r="K392" s="78">
        <f t="shared" si="301"/>
        <v>10800</v>
      </c>
      <c r="L392" s="78">
        <f t="shared" si="301"/>
        <v>0</v>
      </c>
      <c r="M392" s="78">
        <f t="shared" si="301"/>
        <v>10800</v>
      </c>
      <c r="N392" s="78">
        <f t="shared" si="301"/>
        <v>0</v>
      </c>
      <c r="O392" s="78">
        <f t="shared" si="301"/>
        <v>10800</v>
      </c>
      <c r="P392" s="78">
        <f t="shared" si="301"/>
        <v>0</v>
      </c>
      <c r="Q392" s="78">
        <f t="shared" si="301"/>
        <v>10800</v>
      </c>
      <c r="R392" s="78">
        <f t="shared" si="301"/>
        <v>0</v>
      </c>
      <c r="S392" s="78">
        <f t="shared" si="301"/>
        <v>10800</v>
      </c>
      <c r="T392" s="78">
        <f t="shared" si="301"/>
        <v>0</v>
      </c>
      <c r="U392" s="78">
        <f t="shared" si="301"/>
        <v>10800</v>
      </c>
      <c r="V392" s="78">
        <f t="shared" si="301"/>
        <v>0</v>
      </c>
      <c r="W392" s="78">
        <f t="shared" si="301"/>
        <v>10800</v>
      </c>
      <c r="X392" s="78">
        <f t="shared" si="301"/>
        <v>0</v>
      </c>
      <c r="Y392" s="78">
        <f t="shared" si="301"/>
        <v>10800</v>
      </c>
    </row>
    <row r="393" spans="1:25" s="26" customFormat="1" ht="48">
      <c r="A393" s="65"/>
      <c r="B393" s="79"/>
      <c r="C393" s="83">
        <v>2710</v>
      </c>
      <c r="D393" s="41" t="s">
        <v>338</v>
      </c>
      <c r="E393" s="78">
        <v>10800</v>
      </c>
      <c r="F393" s="78"/>
      <c r="G393" s="78">
        <f t="shared" si="279"/>
        <v>10800</v>
      </c>
      <c r="H393" s="78"/>
      <c r="I393" s="78">
        <f>SUM(G393:H393)</f>
        <v>10800</v>
      </c>
      <c r="J393" s="78"/>
      <c r="K393" s="78">
        <f>SUM(I393:J393)</f>
        <v>10800</v>
      </c>
      <c r="L393" s="78"/>
      <c r="M393" s="78">
        <f>SUM(K393:L393)</f>
        <v>10800</v>
      </c>
      <c r="N393" s="78"/>
      <c r="O393" s="78">
        <f>SUM(M393:N393)</f>
        <v>10800</v>
      </c>
      <c r="P393" s="78"/>
      <c r="Q393" s="78">
        <f>SUM(O393:P393)</f>
        <v>10800</v>
      </c>
      <c r="R393" s="78"/>
      <c r="S393" s="78">
        <f>SUM(Q393:R393)</f>
        <v>10800</v>
      </c>
      <c r="T393" s="78"/>
      <c r="U393" s="78">
        <f>SUM(S393:T393)</f>
        <v>10800</v>
      </c>
      <c r="V393" s="78"/>
      <c r="W393" s="78">
        <f>SUM(U393:V393)</f>
        <v>10800</v>
      </c>
      <c r="X393" s="78"/>
      <c r="Y393" s="78">
        <f>SUM(W393:X393)</f>
        <v>10800</v>
      </c>
    </row>
    <row r="394" spans="1:25" s="26" customFormat="1" ht="23.25" customHeight="1">
      <c r="A394" s="65"/>
      <c r="B394" s="79">
        <v>85395</v>
      </c>
      <c r="C394" s="83"/>
      <c r="D394" s="41" t="s">
        <v>6</v>
      </c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>
        <f>SUM(U395:U404)</f>
        <v>0</v>
      </c>
      <c r="V394" s="78">
        <f>SUM(V395:V404)</f>
        <v>196185</v>
      </c>
      <c r="W394" s="78">
        <f>SUM(W395:W404)</f>
        <v>196185</v>
      </c>
      <c r="X394" s="78">
        <f>SUM(X395:X404)</f>
        <v>0</v>
      </c>
      <c r="Y394" s="78">
        <f>SUM(Y395:Y404)</f>
        <v>196185</v>
      </c>
    </row>
    <row r="395" spans="1:25" s="26" customFormat="1" ht="23.25" customHeight="1">
      <c r="A395" s="65"/>
      <c r="B395" s="79"/>
      <c r="C395" s="83">
        <v>3119</v>
      </c>
      <c r="D395" s="41" t="s">
        <v>115</v>
      </c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>
        <v>0</v>
      </c>
      <c r="V395" s="78">
        <v>20600</v>
      </c>
      <c r="W395" s="78">
        <f>SUM(U395:V395)</f>
        <v>20600</v>
      </c>
      <c r="X395" s="78"/>
      <c r="Y395" s="78">
        <f>SUM(W395:X395)</f>
        <v>20600</v>
      </c>
    </row>
    <row r="396" spans="1:27" s="26" customFormat="1" ht="23.25" customHeight="1">
      <c r="A396" s="65"/>
      <c r="B396" s="79"/>
      <c r="C396" s="83">
        <v>4018</v>
      </c>
      <c r="D396" s="41" t="s">
        <v>87</v>
      </c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>
        <v>0</v>
      </c>
      <c r="V396" s="78">
        <v>25481</v>
      </c>
      <c r="W396" s="78">
        <f aca="true" t="shared" si="302" ref="W396:W404">SUM(U396:V396)</f>
        <v>25481</v>
      </c>
      <c r="X396" s="78"/>
      <c r="Y396" s="78">
        <f aca="true" t="shared" si="303" ref="Y396:Y404">SUM(W396:X396)</f>
        <v>25481</v>
      </c>
      <c r="Z396" s="117"/>
      <c r="AA396" s="117"/>
    </row>
    <row r="397" spans="1:27" s="26" customFormat="1" ht="23.25" customHeight="1">
      <c r="A397" s="65"/>
      <c r="B397" s="79"/>
      <c r="C397" s="83">
        <v>4118</v>
      </c>
      <c r="D397" s="41" t="s">
        <v>89</v>
      </c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>
        <v>0</v>
      </c>
      <c r="V397" s="78">
        <v>4415</v>
      </c>
      <c r="W397" s="78">
        <f t="shared" si="302"/>
        <v>4415</v>
      </c>
      <c r="X397" s="78"/>
      <c r="Y397" s="78">
        <f t="shared" si="303"/>
        <v>4415</v>
      </c>
      <c r="Z397" s="117"/>
      <c r="AA397" s="117"/>
    </row>
    <row r="398" spans="1:27" s="26" customFormat="1" ht="23.25" customHeight="1">
      <c r="A398" s="65"/>
      <c r="B398" s="79"/>
      <c r="C398" s="83">
        <v>4128</v>
      </c>
      <c r="D398" s="41" t="s">
        <v>90</v>
      </c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>
        <v>0</v>
      </c>
      <c r="V398" s="78">
        <v>708</v>
      </c>
      <c r="W398" s="78">
        <f t="shared" si="302"/>
        <v>708</v>
      </c>
      <c r="X398" s="78"/>
      <c r="Y398" s="78">
        <f t="shared" si="303"/>
        <v>708</v>
      </c>
      <c r="Z398" s="117"/>
      <c r="AA398" s="117"/>
    </row>
    <row r="399" spans="1:27" s="26" customFormat="1" ht="18" customHeight="1">
      <c r="A399" s="65"/>
      <c r="B399" s="79"/>
      <c r="C399" s="83">
        <v>4178</v>
      </c>
      <c r="D399" s="41" t="s">
        <v>202</v>
      </c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>
        <v>0</v>
      </c>
      <c r="V399" s="78">
        <v>13109</v>
      </c>
      <c r="W399" s="78">
        <f t="shared" si="302"/>
        <v>13109</v>
      </c>
      <c r="X399" s="78"/>
      <c r="Y399" s="78">
        <f t="shared" si="303"/>
        <v>13109</v>
      </c>
      <c r="Z399" s="117"/>
      <c r="AA399" s="117"/>
    </row>
    <row r="400" spans="1:27" s="26" customFormat="1" ht="18" customHeight="1">
      <c r="A400" s="65"/>
      <c r="B400" s="79"/>
      <c r="C400" s="83">
        <v>4179</v>
      </c>
      <c r="D400" s="41" t="s">
        <v>202</v>
      </c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>
        <v>0</v>
      </c>
      <c r="V400" s="78">
        <v>8828</v>
      </c>
      <c r="W400" s="78">
        <f t="shared" si="302"/>
        <v>8828</v>
      </c>
      <c r="X400" s="78"/>
      <c r="Y400" s="78">
        <f t="shared" si="303"/>
        <v>8828</v>
      </c>
      <c r="Z400" s="117"/>
      <c r="AA400" s="117"/>
    </row>
    <row r="401" spans="1:25" s="26" customFormat="1" ht="18" customHeight="1">
      <c r="A401" s="65"/>
      <c r="B401" s="79"/>
      <c r="C401" s="83">
        <v>4218</v>
      </c>
      <c r="D401" s="41" t="s">
        <v>95</v>
      </c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>
        <v>0</v>
      </c>
      <c r="V401" s="78">
        <v>14572</v>
      </c>
      <c r="W401" s="78">
        <f t="shared" si="302"/>
        <v>14572</v>
      </c>
      <c r="X401" s="78"/>
      <c r="Y401" s="78">
        <f t="shared" si="303"/>
        <v>14572</v>
      </c>
    </row>
    <row r="402" spans="1:25" s="26" customFormat="1" ht="18" customHeight="1">
      <c r="A402" s="65"/>
      <c r="B402" s="79"/>
      <c r="C402" s="83">
        <v>4308</v>
      </c>
      <c r="D402" s="41" t="s">
        <v>82</v>
      </c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>
        <v>0</v>
      </c>
      <c r="V402" s="78">
        <v>107372</v>
      </c>
      <c r="W402" s="78">
        <f t="shared" si="302"/>
        <v>107372</v>
      </c>
      <c r="X402" s="78"/>
      <c r="Y402" s="78">
        <f t="shared" si="303"/>
        <v>107372</v>
      </c>
    </row>
    <row r="403" spans="1:25" s="26" customFormat="1" ht="37.5" customHeight="1">
      <c r="A403" s="65"/>
      <c r="B403" s="79"/>
      <c r="C403" s="83">
        <v>4748</v>
      </c>
      <c r="D403" s="41" t="s">
        <v>236</v>
      </c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>
        <v>0</v>
      </c>
      <c r="V403" s="78">
        <v>100</v>
      </c>
      <c r="W403" s="78">
        <f t="shared" si="302"/>
        <v>100</v>
      </c>
      <c r="X403" s="78"/>
      <c r="Y403" s="78">
        <f t="shared" si="303"/>
        <v>100</v>
      </c>
    </row>
    <row r="404" spans="1:25" s="26" customFormat="1" ht="27.75" customHeight="1">
      <c r="A404" s="65"/>
      <c r="B404" s="79"/>
      <c r="C404" s="83">
        <v>4758</v>
      </c>
      <c r="D404" s="41" t="s">
        <v>280</v>
      </c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>
        <v>0</v>
      </c>
      <c r="V404" s="78">
        <v>1000</v>
      </c>
      <c r="W404" s="78">
        <f t="shared" si="302"/>
        <v>1000</v>
      </c>
      <c r="X404" s="78"/>
      <c r="Y404" s="78">
        <f t="shared" si="303"/>
        <v>1000</v>
      </c>
    </row>
    <row r="405" spans="1:25" s="9" customFormat="1" ht="21" customHeight="1">
      <c r="A405" s="36" t="s">
        <v>125</v>
      </c>
      <c r="B405" s="37"/>
      <c r="C405" s="38"/>
      <c r="D405" s="39" t="s">
        <v>61</v>
      </c>
      <c r="E405" s="40">
        <f aca="true" t="shared" si="304" ref="E405:K405">SUM(E406,E416,E428,E424,E421)</f>
        <v>995031</v>
      </c>
      <c r="F405" s="40">
        <f t="shared" si="304"/>
        <v>-35000</v>
      </c>
      <c r="G405" s="40">
        <f t="shared" si="304"/>
        <v>960031</v>
      </c>
      <c r="H405" s="40">
        <f t="shared" si="304"/>
        <v>252163</v>
      </c>
      <c r="I405" s="40">
        <f t="shared" si="304"/>
        <v>1212194</v>
      </c>
      <c r="J405" s="40">
        <f t="shared" si="304"/>
        <v>4462</v>
      </c>
      <c r="K405" s="40">
        <f t="shared" si="304"/>
        <v>1216656</v>
      </c>
      <c r="L405" s="40">
        <f aca="true" t="shared" si="305" ref="L405:Q405">SUM(L406,L416,L428,L424,L421)</f>
        <v>0</v>
      </c>
      <c r="M405" s="40">
        <f t="shared" si="305"/>
        <v>1216656</v>
      </c>
      <c r="N405" s="40">
        <f t="shared" si="305"/>
        <v>0</v>
      </c>
      <c r="O405" s="40">
        <f t="shared" si="305"/>
        <v>1216656</v>
      </c>
      <c r="P405" s="40">
        <f t="shared" si="305"/>
        <v>0</v>
      </c>
      <c r="Q405" s="40">
        <f t="shared" si="305"/>
        <v>1216656</v>
      </c>
      <c r="R405" s="40">
        <f aca="true" t="shared" si="306" ref="R405:W405">SUM(R406,R416,R428,R424,R421)</f>
        <v>0</v>
      </c>
      <c r="S405" s="40">
        <f t="shared" si="306"/>
        <v>1216656</v>
      </c>
      <c r="T405" s="40">
        <f t="shared" si="306"/>
        <v>0</v>
      </c>
      <c r="U405" s="40">
        <f t="shared" si="306"/>
        <v>1216656</v>
      </c>
      <c r="V405" s="40">
        <f t="shared" si="306"/>
        <v>0</v>
      </c>
      <c r="W405" s="40">
        <f t="shared" si="306"/>
        <v>1216656</v>
      </c>
      <c r="X405" s="40">
        <f>SUM(X406,X416,X428,X424,X421)</f>
        <v>90190</v>
      </c>
      <c r="Y405" s="40">
        <f>SUM(Y406,Y416,Y428,Y424,Y421)</f>
        <v>1306846</v>
      </c>
    </row>
    <row r="406" spans="1:25" s="26" customFormat="1" ht="21" customHeight="1">
      <c r="A406" s="65"/>
      <c r="B406" s="79">
        <v>85401</v>
      </c>
      <c r="C406" s="83"/>
      <c r="D406" s="41" t="s">
        <v>62</v>
      </c>
      <c r="E406" s="78">
        <f aca="true" t="shared" si="307" ref="E406:K406">SUM(E407:E415)</f>
        <v>522477</v>
      </c>
      <c r="F406" s="78">
        <f t="shared" si="307"/>
        <v>0</v>
      </c>
      <c r="G406" s="78">
        <f t="shared" si="307"/>
        <v>522477</v>
      </c>
      <c r="H406" s="78">
        <f t="shared" si="307"/>
        <v>0</v>
      </c>
      <c r="I406" s="78">
        <f t="shared" si="307"/>
        <v>522477</v>
      </c>
      <c r="J406" s="78">
        <f t="shared" si="307"/>
        <v>4462</v>
      </c>
      <c r="K406" s="78">
        <f t="shared" si="307"/>
        <v>526939</v>
      </c>
      <c r="L406" s="78">
        <f aca="true" t="shared" si="308" ref="L406:Q406">SUM(L407:L415)</f>
        <v>0</v>
      </c>
      <c r="M406" s="78">
        <f t="shared" si="308"/>
        <v>526939</v>
      </c>
      <c r="N406" s="78">
        <f t="shared" si="308"/>
        <v>0</v>
      </c>
      <c r="O406" s="78">
        <f t="shared" si="308"/>
        <v>526939</v>
      </c>
      <c r="P406" s="78">
        <f t="shared" si="308"/>
        <v>0</v>
      </c>
      <c r="Q406" s="78">
        <f t="shared" si="308"/>
        <v>526939</v>
      </c>
      <c r="R406" s="78">
        <f aca="true" t="shared" si="309" ref="R406:W406">SUM(R407:R415)</f>
        <v>0</v>
      </c>
      <c r="S406" s="78">
        <f t="shared" si="309"/>
        <v>526939</v>
      </c>
      <c r="T406" s="78">
        <f t="shared" si="309"/>
        <v>0</v>
      </c>
      <c r="U406" s="78">
        <f t="shared" si="309"/>
        <v>526939</v>
      </c>
      <c r="V406" s="78">
        <f t="shared" si="309"/>
        <v>0</v>
      </c>
      <c r="W406" s="78">
        <f t="shared" si="309"/>
        <v>526939</v>
      </c>
      <c r="X406" s="78">
        <f>SUM(X407:X415)</f>
        <v>0</v>
      </c>
      <c r="Y406" s="78">
        <f>SUM(Y407:Y415)</f>
        <v>526939</v>
      </c>
    </row>
    <row r="407" spans="1:25" s="26" customFormat="1" ht="21" customHeight="1">
      <c r="A407" s="65"/>
      <c r="B407" s="79"/>
      <c r="C407" s="83">
        <v>3020</v>
      </c>
      <c r="D407" s="41" t="s">
        <v>218</v>
      </c>
      <c r="E407" s="78">
        <v>10339</v>
      </c>
      <c r="F407" s="78"/>
      <c r="G407" s="78">
        <f t="shared" si="279"/>
        <v>10339</v>
      </c>
      <c r="H407" s="78"/>
      <c r="I407" s="78">
        <f aca="true" t="shared" si="310" ref="I407:I415">SUM(G407:H407)</f>
        <v>10339</v>
      </c>
      <c r="J407" s="78"/>
      <c r="K407" s="78">
        <f aca="true" t="shared" si="311" ref="K407:K415">SUM(I407:J407)</f>
        <v>10339</v>
      </c>
      <c r="L407" s="78"/>
      <c r="M407" s="78">
        <f aca="true" t="shared" si="312" ref="M407:M415">SUM(K407:L407)</f>
        <v>10339</v>
      </c>
      <c r="N407" s="78"/>
      <c r="O407" s="78">
        <f aca="true" t="shared" si="313" ref="O407:O415">SUM(M407:N407)</f>
        <v>10339</v>
      </c>
      <c r="P407" s="78"/>
      <c r="Q407" s="78">
        <f aca="true" t="shared" si="314" ref="Q407:Q415">SUM(O407:P407)</f>
        <v>10339</v>
      </c>
      <c r="R407" s="78"/>
      <c r="S407" s="78">
        <f aca="true" t="shared" si="315" ref="S407:S415">SUM(Q407:R407)</f>
        <v>10339</v>
      </c>
      <c r="T407" s="78"/>
      <c r="U407" s="78">
        <f aca="true" t="shared" si="316" ref="U407:U415">SUM(S407:T407)</f>
        <v>10339</v>
      </c>
      <c r="V407" s="78"/>
      <c r="W407" s="78">
        <f aca="true" t="shared" si="317" ref="W407:W415">SUM(U407:V407)</f>
        <v>10339</v>
      </c>
      <c r="X407" s="78"/>
      <c r="Y407" s="78">
        <f aca="true" t="shared" si="318" ref="Y407:Y415">SUM(W407:X407)</f>
        <v>10339</v>
      </c>
    </row>
    <row r="408" spans="1:27" s="26" customFormat="1" ht="21" customHeight="1">
      <c r="A408" s="65"/>
      <c r="B408" s="79"/>
      <c r="C408" s="83">
        <v>4010</v>
      </c>
      <c r="D408" s="41" t="s">
        <v>87</v>
      </c>
      <c r="E408" s="78">
        <v>371545</v>
      </c>
      <c r="F408" s="78"/>
      <c r="G408" s="78">
        <f t="shared" si="279"/>
        <v>371545</v>
      </c>
      <c r="H408" s="78"/>
      <c r="I408" s="78">
        <f t="shared" si="310"/>
        <v>371545</v>
      </c>
      <c r="J408" s="78">
        <v>613</v>
      </c>
      <c r="K408" s="78">
        <f t="shared" si="311"/>
        <v>372158</v>
      </c>
      <c r="L408" s="78"/>
      <c r="M408" s="78">
        <f t="shared" si="312"/>
        <v>372158</v>
      </c>
      <c r="N408" s="78"/>
      <c r="O408" s="78">
        <f t="shared" si="313"/>
        <v>372158</v>
      </c>
      <c r="P408" s="78"/>
      <c r="Q408" s="78">
        <f t="shared" si="314"/>
        <v>372158</v>
      </c>
      <c r="R408" s="78"/>
      <c r="S408" s="78">
        <f t="shared" si="315"/>
        <v>372158</v>
      </c>
      <c r="T408" s="78"/>
      <c r="U408" s="78">
        <f t="shared" si="316"/>
        <v>372158</v>
      </c>
      <c r="V408" s="78"/>
      <c r="W408" s="78">
        <f t="shared" si="317"/>
        <v>372158</v>
      </c>
      <c r="X408" s="78"/>
      <c r="Y408" s="78">
        <f t="shared" si="318"/>
        <v>372158</v>
      </c>
      <c r="Z408" s="117"/>
      <c r="AA408" s="117"/>
    </row>
    <row r="409" spans="1:27" s="26" customFormat="1" ht="21" customHeight="1">
      <c r="A409" s="65"/>
      <c r="B409" s="79"/>
      <c r="C409" s="83">
        <v>4040</v>
      </c>
      <c r="D409" s="41" t="s">
        <v>88</v>
      </c>
      <c r="E409" s="78">
        <v>23840</v>
      </c>
      <c r="F409" s="78"/>
      <c r="G409" s="78">
        <f t="shared" si="279"/>
        <v>23840</v>
      </c>
      <c r="H409" s="78"/>
      <c r="I409" s="78">
        <f t="shared" si="310"/>
        <v>23840</v>
      </c>
      <c r="J409" s="78">
        <v>3849</v>
      </c>
      <c r="K409" s="78">
        <f t="shared" si="311"/>
        <v>27689</v>
      </c>
      <c r="L409" s="78"/>
      <c r="M409" s="78">
        <f t="shared" si="312"/>
        <v>27689</v>
      </c>
      <c r="N409" s="78"/>
      <c r="O409" s="78">
        <f t="shared" si="313"/>
        <v>27689</v>
      </c>
      <c r="P409" s="78"/>
      <c r="Q409" s="78">
        <f t="shared" si="314"/>
        <v>27689</v>
      </c>
      <c r="R409" s="78"/>
      <c r="S409" s="78">
        <f t="shared" si="315"/>
        <v>27689</v>
      </c>
      <c r="T409" s="78"/>
      <c r="U409" s="78">
        <f t="shared" si="316"/>
        <v>27689</v>
      </c>
      <c r="V409" s="78"/>
      <c r="W409" s="78">
        <f t="shared" si="317"/>
        <v>27689</v>
      </c>
      <c r="X409" s="78"/>
      <c r="Y409" s="78">
        <f t="shared" si="318"/>
        <v>27689</v>
      </c>
      <c r="Z409" s="117"/>
      <c r="AA409" s="117"/>
    </row>
    <row r="410" spans="1:27" s="26" customFormat="1" ht="21" customHeight="1">
      <c r="A410" s="65"/>
      <c r="B410" s="79"/>
      <c r="C410" s="83">
        <v>4110</v>
      </c>
      <c r="D410" s="41" t="s">
        <v>89</v>
      </c>
      <c r="E410" s="78">
        <v>58485</v>
      </c>
      <c r="F410" s="78"/>
      <c r="G410" s="78">
        <f t="shared" si="279"/>
        <v>58485</v>
      </c>
      <c r="H410" s="78"/>
      <c r="I410" s="78">
        <f t="shared" si="310"/>
        <v>58485</v>
      </c>
      <c r="J410" s="78"/>
      <c r="K410" s="78">
        <f t="shared" si="311"/>
        <v>58485</v>
      </c>
      <c r="L410" s="78"/>
      <c r="M410" s="78">
        <f t="shared" si="312"/>
        <v>58485</v>
      </c>
      <c r="N410" s="78"/>
      <c r="O410" s="78">
        <f t="shared" si="313"/>
        <v>58485</v>
      </c>
      <c r="P410" s="78"/>
      <c r="Q410" s="78">
        <f t="shared" si="314"/>
        <v>58485</v>
      </c>
      <c r="R410" s="78"/>
      <c r="S410" s="78">
        <f t="shared" si="315"/>
        <v>58485</v>
      </c>
      <c r="T410" s="78"/>
      <c r="U410" s="78">
        <f t="shared" si="316"/>
        <v>58485</v>
      </c>
      <c r="V410" s="78"/>
      <c r="W410" s="78">
        <f t="shared" si="317"/>
        <v>58485</v>
      </c>
      <c r="X410" s="78"/>
      <c r="Y410" s="78">
        <f t="shared" si="318"/>
        <v>58485</v>
      </c>
      <c r="Z410" s="117"/>
      <c r="AA410" s="117"/>
    </row>
    <row r="411" spans="1:27" s="26" customFormat="1" ht="21" customHeight="1">
      <c r="A411" s="65"/>
      <c r="B411" s="79"/>
      <c r="C411" s="83">
        <v>4120</v>
      </c>
      <c r="D411" s="41" t="s">
        <v>90</v>
      </c>
      <c r="E411" s="78">
        <v>10075</v>
      </c>
      <c r="F411" s="78"/>
      <c r="G411" s="78">
        <f t="shared" si="279"/>
        <v>10075</v>
      </c>
      <c r="H411" s="78"/>
      <c r="I411" s="78">
        <f t="shared" si="310"/>
        <v>10075</v>
      </c>
      <c r="J411" s="78"/>
      <c r="K411" s="78">
        <f t="shared" si="311"/>
        <v>10075</v>
      </c>
      <c r="L411" s="78"/>
      <c r="M411" s="78">
        <f t="shared" si="312"/>
        <v>10075</v>
      </c>
      <c r="N411" s="78"/>
      <c r="O411" s="78">
        <f t="shared" si="313"/>
        <v>10075</v>
      </c>
      <c r="P411" s="78"/>
      <c r="Q411" s="78">
        <f t="shared" si="314"/>
        <v>10075</v>
      </c>
      <c r="R411" s="78"/>
      <c r="S411" s="78">
        <f t="shared" si="315"/>
        <v>10075</v>
      </c>
      <c r="T411" s="78"/>
      <c r="U411" s="78">
        <f t="shared" si="316"/>
        <v>10075</v>
      </c>
      <c r="V411" s="78"/>
      <c r="W411" s="78">
        <f t="shared" si="317"/>
        <v>10075</v>
      </c>
      <c r="X411" s="78"/>
      <c r="Y411" s="78">
        <f t="shared" si="318"/>
        <v>10075</v>
      </c>
      <c r="Z411" s="117"/>
      <c r="AA411" s="117"/>
    </row>
    <row r="412" spans="1:25" s="26" customFormat="1" ht="21" customHeight="1">
      <c r="A412" s="65"/>
      <c r="B412" s="79"/>
      <c r="C412" s="83">
        <v>4210</v>
      </c>
      <c r="D412" s="41" t="s">
        <v>95</v>
      </c>
      <c r="E412" s="78">
        <v>9950</v>
      </c>
      <c r="F412" s="78"/>
      <c r="G412" s="78">
        <f t="shared" si="279"/>
        <v>9950</v>
      </c>
      <c r="H412" s="78"/>
      <c r="I412" s="78">
        <f t="shared" si="310"/>
        <v>9950</v>
      </c>
      <c r="J412" s="78"/>
      <c r="K412" s="78">
        <f t="shared" si="311"/>
        <v>9950</v>
      </c>
      <c r="L412" s="78"/>
      <c r="M412" s="78">
        <f t="shared" si="312"/>
        <v>9950</v>
      </c>
      <c r="N412" s="78"/>
      <c r="O412" s="78">
        <f t="shared" si="313"/>
        <v>9950</v>
      </c>
      <c r="P412" s="78"/>
      <c r="Q412" s="78">
        <f t="shared" si="314"/>
        <v>9950</v>
      </c>
      <c r="R412" s="78"/>
      <c r="S412" s="78">
        <f t="shared" si="315"/>
        <v>9950</v>
      </c>
      <c r="T412" s="78"/>
      <c r="U412" s="78">
        <f t="shared" si="316"/>
        <v>9950</v>
      </c>
      <c r="V412" s="78"/>
      <c r="W412" s="78">
        <f t="shared" si="317"/>
        <v>9950</v>
      </c>
      <c r="X412" s="78"/>
      <c r="Y412" s="78">
        <f t="shared" si="318"/>
        <v>9950</v>
      </c>
    </row>
    <row r="413" spans="1:25" s="26" customFormat="1" ht="24">
      <c r="A413" s="65"/>
      <c r="B413" s="79"/>
      <c r="C413" s="83">
        <v>4240</v>
      </c>
      <c r="D413" s="41" t="s">
        <v>126</v>
      </c>
      <c r="E413" s="78">
        <v>8000</v>
      </c>
      <c r="F413" s="78"/>
      <c r="G413" s="78">
        <f t="shared" si="279"/>
        <v>8000</v>
      </c>
      <c r="H413" s="78"/>
      <c r="I413" s="78">
        <f t="shared" si="310"/>
        <v>8000</v>
      </c>
      <c r="J413" s="78"/>
      <c r="K413" s="78">
        <f t="shared" si="311"/>
        <v>8000</v>
      </c>
      <c r="L413" s="78"/>
      <c r="M413" s="78">
        <f t="shared" si="312"/>
        <v>8000</v>
      </c>
      <c r="N413" s="78"/>
      <c r="O413" s="78">
        <f t="shared" si="313"/>
        <v>8000</v>
      </c>
      <c r="P413" s="78"/>
      <c r="Q413" s="78">
        <f t="shared" si="314"/>
        <v>8000</v>
      </c>
      <c r="R413" s="78"/>
      <c r="S413" s="78">
        <f t="shared" si="315"/>
        <v>8000</v>
      </c>
      <c r="T413" s="78"/>
      <c r="U413" s="78">
        <f t="shared" si="316"/>
        <v>8000</v>
      </c>
      <c r="V413" s="78"/>
      <c r="W413" s="78">
        <f t="shared" si="317"/>
        <v>8000</v>
      </c>
      <c r="X413" s="78"/>
      <c r="Y413" s="78">
        <f t="shared" si="318"/>
        <v>8000</v>
      </c>
    </row>
    <row r="414" spans="1:25" s="26" customFormat="1" ht="21" customHeight="1">
      <c r="A414" s="65"/>
      <c r="B414" s="79"/>
      <c r="C414" s="83">
        <v>4280</v>
      </c>
      <c r="D414" s="41" t="s">
        <v>207</v>
      </c>
      <c r="E414" s="78">
        <v>600</v>
      </c>
      <c r="F414" s="78"/>
      <c r="G414" s="78">
        <f t="shared" si="279"/>
        <v>600</v>
      </c>
      <c r="H414" s="78"/>
      <c r="I414" s="78">
        <f t="shared" si="310"/>
        <v>600</v>
      </c>
      <c r="J414" s="78"/>
      <c r="K414" s="78">
        <f t="shared" si="311"/>
        <v>600</v>
      </c>
      <c r="L414" s="78"/>
      <c r="M414" s="78">
        <f t="shared" si="312"/>
        <v>600</v>
      </c>
      <c r="N414" s="78"/>
      <c r="O414" s="78">
        <f t="shared" si="313"/>
        <v>600</v>
      </c>
      <c r="P414" s="78"/>
      <c r="Q414" s="78">
        <f t="shared" si="314"/>
        <v>600</v>
      </c>
      <c r="R414" s="78"/>
      <c r="S414" s="78">
        <f t="shared" si="315"/>
        <v>600</v>
      </c>
      <c r="T414" s="78"/>
      <c r="U414" s="78">
        <f t="shared" si="316"/>
        <v>600</v>
      </c>
      <c r="V414" s="78"/>
      <c r="W414" s="78">
        <f t="shared" si="317"/>
        <v>600</v>
      </c>
      <c r="X414" s="78"/>
      <c r="Y414" s="78">
        <f t="shared" si="318"/>
        <v>600</v>
      </c>
    </row>
    <row r="415" spans="1:25" s="26" customFormat="1" ht="24">
      <c r="A415" s="65"/>
      <c r="B415" s="79"/>
      <c r="C415" s="83">
        <v>4440</v>
      </c>
      <c r="D415" s="41" t="s">
        <v>91</v>
      </c>
      <c r="E415" s="78">
        <v>29643</v>
      </c>
      <c r="F415" s="78"/>
      <c r="G415" s="78">
        <f t="shared" si="279"/>
        <v>29643</v>
      </c>
      <c r="H415" s="78"/>
      <c r="I415" s="78">
        <f t="shared" si="310"/>
        <v>29643</v>
      </c>
      <c r="J415" s="78"/>
      <c r="K415" s="78">
        <f t="shared" si="311"/>
        <v>29643</v>
      </c>
      <c r="L415" s="78"/>
      <c r="M415" s="78">
        <f t="shared" si="312"/>
        <v>29643</v>
      </c>
      <c r="N415" s="78"/>
      <c r="O415" s="78">
        <f t="shared" si="313"/>
        <v>29643</v>
      </c>
      <c r="P415" s="78"/>
      <c r="Q415" s="78">
        <f t="shared" si="314"/>
        <v>29643</v>
      </c>
      <c r="R415" s="78"/>
      <c r="S415" s="78">
        <f t="shared" si="315"/>
        <v>29643</v>
      </c>
      <c r="T415" s="78"/>
      <c r="U415" s="78">
        <f t="shared" si="316"/>
        <v>29643</v>
      </c>
      <c r="V415" s="78"/>
      <c r="W415" s="78">
        <f t="shared" si="317"/>
        <v>29643</v>
      </c>
      <c r="X415" s="78"/>
      <c r="Y415" s="78">
        <f t="shared" si="318"/>
        <v>29643</v>
      </c>
    </row>
    <row r="416" spans="1:25" s="26" customFormat="1" ht="36">
      <c r="A416" s="65"/>
      <c r="B416" s="79" t="s">
        <v>129</v>
      </c>
      <c r="C416" s="83"/>
      <c r="D416" s="41" t="s">
        <v>163</v>
      </c>
      <c r="E416" s="78">
        <f aca="true" t="shared" si="319" ref="E416:K416">SUM(E417:E420)</f>
        <v>140890</v>
      </c>
      <c r="F416" s="78">
        <f t="shared" si="319"/>
        <v>-35000</v>
      </c>
      <c r="G416" s="78">
        <f t="shared" si="319"/>
        <v>105890</v>
      </c>
      <c r="H416" s="78">
        <f t="shared" si="319"/>
        <v>0</v>
      </c>
      <c r="I416" s="78">
        <f t="shared" si="319"/>
        <v>105890</v>
      </c>
      <c r="J416" s="78">
        <f t="shared" si="319"/>
        <v>0</v>
      </c>
      <c r="K416" s="78">
        <f t="shared" si="319"/>
        <v>105890</v>
      </c>
      <c r="L416" s="78">
        <f aca="true" t="shared" si="320" ref="L416:Q416">SUM(L417:L420)</f>
        <v>0</v>
      </c>
      <c r="M416" s="78">
        <f t="shared" si="320"/>
        <v>105890</v>
      </c>
      <c r="N416" s="78">
        <f t="shared" si="320"/>
        <v>0</v>
      </c>
      <c r="O416" s="78">
        <f t="shared" si="320"/>
        <v>105890</v>
      </c>
      <c r="P416" s="78">
        <f t="shared" si="320"/>
        <v>0</v>
      </c>
      <c r="Q416" s="78">
        <f t="shared" si="320"/>
        <v>105890</v>
      </c>
      <c r="R416" s="78">
        <f aca="true" t="shared" si="321" ref="R416:W416">SUM(R417:R420)</f>
        <v>0</v>
      </c>
      <c r="S416" s="78">
        <f t="shared" si="321"/>
        <v>105890</v>
      </c>
      <c r="T416" s="78">
        <f t="shared" si="321"/>
        <v>0</v>
      </c>
      <c r="U416" s="78">
        <f t="shared" si="321"/>
        <v>105890</v>
      </c>
      <c r="V416" s="78">
        <f t="shared" si="321"/>
        <v>0</v>
      </c>
      <c r="W416" s="78">
        <f t="shared" si="321"/>
        <v>105890</v>
      </c>
      <c r="X416" s="78">
        <f>SUM(X417:X420)</f>
        <v>38250</v>
      </c>
      <c r="Y416" s="78">
        <f>SUM(Y417:Y420)</f>
        <v>144140</v>
      </c>
    </row>
    <row r="417" spans="1:25" s="26" customFormat="1" ht="60">
      <c r="A417" s="65"/>
      <c r="B417" s="79"/>
      <c r="C417" s="83">
        <v>2830</v>
      </c>
      <c r="D417" s="41" t="s">
        <v>383</v>
      </c>
      <c r="E417" s="78">
        <v>65000</v>
      </c>
      <c r="F417" s="78">
        <v>-65000</v>
      </c>
      <c r="G417" s="78">
        <f t="shared" si="279"/>
        <v>0</v>
      </c>
      <c r="H417" s="78"/>
      <c r="I417" s="78">
        <f>SUM(G417:H417)</f>
        <v>0</v>
      </c>
      <c r="J417" s="78"/>
      <c r="K417" s="78">
        <f>SUM(I417:J417)</f>
        <v>0</v>
      </c>
      <c r="L417" s="78"/>
      <c r="M417" s="78">
        <f>SUM(K417:L417)</f>
        <v>0</v>
      </c>
      <c r="N417" s="78"/>
      <c r="O417" s="78">
        <f>SUM(M417:N417)</f>
        <v>0</v>
      </c>
      <c r="P417" s="78"/>
      <c r="Q417" s="78">
        <f>SUM(O417:P417)</f>
        <v>0</v>
      </c>
      <c r="R417" s="78"/>
      <c r="S417" s="78">
        <f>SUM(Q417:R417)</f>
        <v>0</v>
      </c>
      <c r="T417" s="78"/>
      <c r="U417" s="78">
        <f>SUM(S417:T417)</f>
        <v>0</v>
      </c>
      <c r="V417" s="78"/>
      <c r="W417" s="78">
        <f>SUM(U417:V417)</f>
        <v>0</v>
      </c>
      <c r="X417" s="78">
        <v>38250</v>
      </c>
      <c r="Y417" s="78">
        <f>SUM(W417:X417)</f>
        <v>38250</v>
      </c>
    </row>
    <row r="418" spans="1:25" s="26" customFormat="1" ht="21" customHeight="1">
      <c r="A418" s="65"/>
      <c r="B418" s="79"/>
      <c r="C418" s="83">
        <v>4210</v>
      </c>
      <c r="D418" s="41" t="s">
        <v>95</v>
      </c>
      <c r="E418" s="78">
        <v>2390</v>
      </c>
      <c r="F418" s="78"/>
      <c r="G418" s="78">
        <f t="shared" si="279"/>
        <v>2390</v>
      </c>
      <c r="H418" s="78"/>
      <c r="I418" s="78">
        <f>SUM(G418:H418)</f>
        <v>2390</v>
      </c>
      <c r="J418" s="78"/>
      <c r="K418" s="78">
        <f>SUM(I418:J418)</f>
        <v>2390</v>
      </c>
      <c r="L418" s="78"/>
      <c r="M418" s="78">
        <f>SUM(K418:L418)</f>
        <v>2390</v>
      </c>
      <c r="N418" s="78"/>
      <c r="O418" s="78">
        <f>SUM(M418:N418)</f>
        <v>2390</v>
      </c>
      <c r="P418" s="78"/>
      <c r="Q418" s="78">
        <f>SUM(O418:P418)</f>
        <v>2390</v>
      </c>
      <c r="R418" s="78"/>
      <c r="S418" s="78">
        <f>SUM(Q418:R418)</f>
        <v>2390</v>
      </c>
      <c r="T418" s="78"/>
      <c r="U418" s="78">
        <f>SUM(S418:T418)</f>
        <v>2390</v>
      </c>
      <c r="V418" s="78"/>
      <c r="W418" s="78">
        <f>SUM(U418:V418)</f>
        <v>2390</v>
      </c>
      <c r="X418" s="78"/>
      <c r="Y418" s="78">
        <f>SUM(W418:X418)</f>
        <v>2390</v>
      </c>
    </row>
    <row r="419" spans="1:25" s="26" customFormat="1" ht="21" customHeight="1">
      <c r="A419" s="83"/>
      <c r="B419" s="84"/>
      <c r="C419" s="83">
        <v>4300</v>
      </c>
      <c r="D419" s="41" t="s">
        <v>82</v>
      </c>
      <c r="E419" s="78">
        <v>7500</v>
      </c>
      <c r="F419" s="78">
        <v>30000</v>
      </c>
      <c r="G419" s="78">
        <f t="shared" si="279"/>
        <v>37500</v>
      </c>
      <c r="H419" s="78"/>
      <c r="I419" s="78">
        <f>SUM(G419:H419)</f>
        <v>37500</v>
      </c>
      <c r="J419" s="78"/>
      <c r="K419" s="78">
        <f>SUM(I419:J419)</f>
        <v>37500</v>
      </c>
      <c r="L419" s="78"/>
      <c r="M419" s="78">
        <f>SUM(K419:L419)</f>
        <v>37500</v>
      </c>
      <c r="N419" s="78"/>
      <c r="O419" s="78">
        <f>SUM(M419:N419)</f>
        <v>37500</v>
      </c>
      <c r="P419" s="78"/>
      <c r="Q419" s="78">
        <f>SUM(O419:P419)</f>
        <v>37500</v>
      </c>
      <c r="R419" s="78"/>
      <c r="S419" s="78">
        <f>SUM(Q419:R419)</f>
        <v>37500</v>
      </c>
      <c r="T419" s="78"/>
      <c r="U419" s="78">
        <f>SUM(S419:T419)</f>
        <v>37500</v>
      </c>
      <c r="V419" s="78"/>
      <c r="W419" s="78">
        <f>SUM(U419:V419)</f>
        <v>37500</v>
      </c>
      <c r="X419" s="78"/>
      <c r="Y419" s="78">
        <f>SUM(W419:X419)</f>
        <v>37500</v>
      </c>
    </row>
    <row r="420" spans="1:25" s="26" customFormat="1" ht="21" customHeight="1">
      <c r="A420" s="83"/>
      <c r="B420" s="84"/>
      <c r="C420" s="83">
        <v>6050</v>
      </c>
      <c r="D420" s="41" t="s">
        <v>76</v>
      </c>
      <c r="E420" s="78">
        <f>50000+16000</f>
        <v>66000</v>
      </c>
      <c r="F420" s="78"/>
      <c r="G420" s="78">
        <f t="shared" si="279"/>
        <v>66000</v>
      </c>
      <c r="H420" s="78"/>
      <c r="I420" s="78">
        <f>SUM(G420:H420)</f>
        <v>66000</v>
      </c>
      <c r="J420" s="78"/>
      <c r="K420" s="78">
        <f>SUM(I420:J420)</f>
        <v>66000</v>
      </c>
      <c r="L420" s="78"/>
      <c r="M420" s="78">
        <f>SUM(K420:L420)</f>
        <v>66000</v>
      </c>
      <c r="N420" s="78"/>
      <c r="O420" s="78">
        <f>SUM(M420:N420)</f>
        <v>66000</v>
      </c>
      <c r="P420" s="78"/>
      <c r="Q420" s="78">
        <f>SUM(O420:P420)</f>
        <v>66000</v>
      </c>
      <c r="R420" s="78"/>
      <c r="S420" s="78">
        <f>SUM(Q420:R420)</f>
        <v>66000</v>
      </c>
      <c r="T420" s="78"/>
      <c r="U420" s="78">
        <f>SUM(S420:T420)</f>
        <v>66000</v>
      </c>
      <c r="V420" s="78"/>
      <c r="W420" s="78">
        <f>SUM(U420:V420)</f>
        <v>66000</v>
      </c>
      <c r="X420" s="78"/>
      <c r="Y420" s="78">
        <f>SUM(W420:X420)</f>
        <v>66000</v>
      </c>
    </row>
    <row r="421" spans="1:25" s="26" customFormat="1" ht="21" customHeight="1">
      <c r="A421" s="83"/>
      <c r="B421" s="84">
        <v>85415</v>
      </c>
      <c r="C421" s="83"/>
      <c r="D421" s="41" t="s">
        <v>239</v>
      </c>
      <c r="E421" s="78">
        <f aca="true" t="shared" si="322" ref="E421:V421">SUM(E422)</f>
        <v>100000</v>
      </c>
      <c r="F421" s="78">
        <f t="shared" si="322"/>
        <v>0</v>
      </c>
      <c r="G421" s="78">
        <f t="shared" si="322"/>
        <v>100000</v>
      </c>
      <c r="H421" s="78">
        <f t="shared" si="322"/>
        <v>252163</v>
      </c>
      <c r="I421" s="78">
        <f t="shared" si="322"/>
        <v>352163</v>
      </c>
      <c r="J421" s="78">
        <f t="shared" si="322"/>
        <v>0</v>
      </c>
      <c r="K421" s="78">
        <f t="shared" si="322"/>
        <v>352163</v>
      </c>
      <c r="L421" s="78">
        <f t="shared" si="322"/>
        <v>0</v>
      </c>
      <c r="M421" s="78">
        <f t="shared" si="322"/>
        <v>352163</v>
      </c>
      <c r="N421" s="78">
        <f t="shared" si="322"/>
        <v>0</v>
      </c>
      <c r="O421" s="78">
        <f t="shared" si="322"/>
        <v>352163</v>
      </c>
      <c r="P421" s="78">
        <f t="shared" si="322"/>
        <v>0</v>
      </c>
      <c r="Q421" s="78">
        <f t="shared" si="322"/>
        <v>352163</v>
      </c>
      <c r="R421" s="78">
        <f t="shared" si="322"/>
        <v>0</v>
      </c>
      <c r="S421" s="78">
        <f t="shared" si="322"/>
        <v>352163</v>
      </c>
      <c r="T421" s="78">
        <f t="shared" si="322"/>
        <v>0</v>
      </c>
      <c r="U421" s="78">
        <f t="shared" si="322"/>
        <v>352163</v>
      </c>
      <c r="V421" s="78">
        <f t="shared" si="322"/>
        <v>0</v>
      </c>
      <c r="W421" s="78">
        <f>SUM(W422,W423)</f>
        <v>352163</v>
      </c>
      <c r="X421" s="78">
        <f>SUM(X422,X423)</f>
        <v>51940</v>
      </c>
      <c r="Y421" s="78">
        <f>SUM(Y422,Y423)</f>
        <v>404103</v>
      </c>
    </row>
    <row r="422" spans="1:25" s="26" customFormat="1" ht="21" customHeight="1">
      <c r="A422" s="83"/>
      <c r="B422" s="84"/>
      <c r="C422" s="83">
        <v>3240</v>
      </c>
      <c r="D422" s="41" t="s">
        <v>240</v>
      </c>
      <c r="E422" s="78">
        <v>100000</v>
      </c>
      <c r="F422" s="78"/>
      <c r="G422" s="78">
        <f t="shared" si="279"/>
        <v>100000</v>
      </c>
      <c r="H422" s="78">
        <v>252163</v>
      </c>
      <c r="I422" s="78">
        <f>SUM(G422:H422)</f>
        <v>352163</v>
      </c>
      <c r="J422" s="78"/>
      <c r="K422" s="78">
        <f>SUM(I422:J422)</f>
        <v>352163</v>
      </c>
      <c r="L422" s="78"/>
      <c r="M422" s="78">
        <f>SUM(K422:L422)</f>
        <v>352163</v>
      </c>
      <c r="N422" s="78"/>
      <c r="O422" s="78">
        <f>SUM(M422:N422)</f>
        <v>352163</v>
      </c>
      <c r="P422" s="78"/>
      <c r="Q422" s="78">
        <f>SUM(O422:P422)</f>
        <v>352163</v>
      </c>
      <c r="R422" s="78"/>
      <c r="S422" s="78">
        <f>SUM(Q422:R422)</f>
        <v>352163</v>
      </c>
      <c r="T422" s="78"/>
      <c r="U422" s="78">
        <f>SUM(S422:T422)</f>
        <v>352163</v>
      </c>
      <c r="V422" s="78"/>
      <c r="W422" s="78">
        <f>SUM(U422:V422)</f>
        <v>352163</v>
      </c>
      <c r="X422" s="78"/>
      <c r="Y422" s="78">
        <f>SUM(W422:X422)</f>
        <v>352163</v>
      </c>
    </row>
    <row r="423" spans="1:25" s="26" customFormat="1" ht="15.75" customHeight="1">
      <c r="A423" s="83"/>
      <c r="B423" s="84"/>
      <c r="C423" s="83">
        <v>3260</v>
      </c>
      <c r="D423" s="41" t="s">
        <v>476</v>
      </c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>
        <v>0</v>
      </c>
      <c r="X423" s="78">
        <v>51940</v>
      </c>
      <c r="Y423" s="78">
        <f>SUM(W423:X423)</f>
        <v>51940</v>
      </c>
    </row>
    <row r="424" spans="1:25" s="26" customFormat="1" ht="21" customHeight="1">
      <c r="A424" s="83"/>
      <c r="B424" s="84">
        <v>85446</v>
      </c>
      <c r="C424" s="83"/>
      <c r="D424" s="41" t="s">
        <v>152</v>
      </c>
      <c r="E424" s="78">
        <f>SUM(E425:E425)</f>
        <v>3813</v>
      </c>
      <c r="F424" s="78">
        <f>SUM(F425:F425)</f>
        <v>0</v>
      </c>
      <c r="G424" s="78">
        <f>SUM(G425:G425)</f>
        <v>3813</v>
      </c>
      <c r="H424" s="78">
        <f>SUM(H425:H425)</f>
        <v>0</v>
      </c>
      <c r="I424" s="78">
        <f aca="true" t="shared" si="323" ref="I424:O424">SUM(I425:I427)</f>
        <v>3813</v>
      </c>
      <c r="J424" s="78">
        <f t="shared" si="323"/>
        <v>0</v>
      </c>
      <c r="K424" s="78">
        <f t="shared" si="323"/>
        <v>3813</v>
      </c>
      <c r="L424" s="78">
        <f t="shared" si="323"/>
        <v>0</v>
      </c>
      <c r="M424" s="78">
        <f t="shared" si="323"/>
        <v>3813</v>
      </c>
      <c r="N424" s="78">
        <f t="shared" si="323"/>
        <v>0</v>
      </c>
      <c r="O424" s="78">
        <f t="shared" si="323"/>
        <v>3813</v>
      </c>
      <c r="P424" s="78">
        <f aca="true" t="shared" si="324" ref="P424:U424">SUM(P425:P427)</f>
        <v>0</v>
      </c>
      <c r="Q424" s="78">
        <f t="shared" si="324"/>
        <v>3813</v>
      </c>
      <c r="R424" s="78">
        <f t="shared" si="324"/>
        <v>0</v>
      </c>
      <c r="S424" s="78">
        <f t="shared" si="324"/>
        <v>3813</v>
      </c>
      <c r="T424" s="78">
        <f t="shared" si="324"/>
        <v>0</v>
      </c>
      <c r="U424" s="78">
        <f t="shared" si="324"/>
        <v>3813</v>
      </c>
      <c r="V424" s="78">
        <f>SUM(V425:V427)</f>
        <v>0</v>
      </c>
      <c r="W424" s="78">
        <f>SUM(W425:W427)</f>
        <v>3813</v>
      </c>
      <c r="X424" s="78">
        <f>SUM(X425:X427)</f>
        <v>0</v>
      </c>
      <c r="Y424" s="78">
        <f>SUM(Y425:Y427)</f>
        <v>3813</v>
      </c>
    </row>
    <row r="425" spans="1:25" s="26" customFormat="1" ht="15.75" customHeight="1">
      <c r="A425" s="83"/>
      <c r="B425" s="84"/>
      <c r="C425" s="83">
        <v>4300</v>
      </c>
      <c r="D425" s="41" t="s">
        <v>82</v>
      </c>
      <c r="E425" s="78">
        <v>3813</v>
      </c>
      <c r="F425" s="78"/>
      <c r="G425" s="78">
        <f t="shared" si="279"/>
        <v>3813</v>
      </c>
      <c r="H425" s="78"/>
      <c r="I425" s="78">
        <f>SUM(G425:H425)</f>
        <v>3813</v>
      </c>
      <c r="J425" s="78">
        <f>-1825-1158</f>
        <v>-2983</v>
      </c>
      <c r="K425" s="78">
        <f>SUM(I425:J425)</f>
        <v>830</v>
      </c>
      <c r="L425" s="78"/>
      <c r="M425" s="78">
        <f>SUM(K425:L425)</f>
        <v>830</v>
      </c>
      <c r="N425" s="78"/>
      <c r="O425" s="78">
        <f>SUM(M425:N425)</f>
        <v>830</v>
      </c>
      <c r="P425" s="78"/>
      <c r="Q425" s="78">
        <f>SUM(O425:P425)</f>
        <v>830</v>
      </c>
      <c r="R425" s="78"/>
      <c r="S425" s="78">
        <f>SUM(Q425:R425)</f>
        <v>830</v>
      </c>
      <c r="T425" s="78"/>
      <c r="U425" s="78">
        <f>SUM(S425:T425)</f>
        <v>830</v>
      </c>
      <c r="V425" s="78"/>
      <c r="W425" s="78">
        <f>SUM(U425:V425)</f>
        <v>830</v>
      </c>
      <c r="X425" s="78"/>
      <c r="Y425" s="78">
        <f>SUM(W425:X425)</f>
        <v>830</v>
      </c>
    </row>
    <row r="426" spans="1:25" s="26" customFormat="1" ht="21" customHeight="1">
      <c r="A426" s="83"/>
      <c r="B426" s="84"/>
      <c r="C426" s="83">
        <v>4410</v>
      </c>
      <c r="D426" s="41" t="s">
        <v>93</v>
      </c>
      <c r="E426" s="78"/>
      <c r="F426" s="78"/>
      <c r="G426" s="78"/>
      <c r="H426" s="78"/>
      <c r="I426" s="78">
        <v>0</v>
      </c>
      <c r="J426" s="78">
        <v>1158</v>
      </c>
      <c r="K426" s="78">
        <f>SUM(I426:J426)</f>
        <v>1158</v>
      </c>
      <c r="L426" s="78"/>
      <c r="M426" s="78">
        <f>SUM(K426:L426)</f>
        <v>1158</v>
      </c>
      <c r="N426" s="78"/>
      <c r="O426" s="78">
        <f>SUM(M426:N426)</f>
        <v>1158</v>
      </c>
      <c r="P426" s="78"/>
      <c r="Q426" s="78">
        <f>SUM(O426:P426)</f>
        <v>1158</v>
      </c>
      <c r="R426" s="78"/>
      <c r="S426" s="78">
        <f>SUM(Q426:R426)</f>
        <v>1158</v>
      </c>
      <c r="T426" s="78"/>
      <c r="U426" s="78">
        <f>SUM(S426:T426)</f>
        <v>1158</v>
      </c>
      <c r="V426" s="78"/>
      <c r="W426" s="78">
        <f>SUM(U426:V426)</f>
        <v>1158</v>
      </c>
      <c r="X426" s="78"/>
      <c r="Y426" s="78">
        <f>SUM(W426:X426)</f>
        <v>1158</v>
      </c>
    </row>
    <row r="427" spans="1:25" s="26" customFormat="1" ht="24">
      <c r="A427" s="83"/>
      <c r="B427" s="84"/>
      <c r="C427" s="83">
        <v>4700</v>
      </c>
      <c r="D427" s="41" t="s">
        <v>272</v>
      </c>
      <c r="E427" s="78"/>
      <c r="F427" s="78"/>
      <c r="G427" s="78"/>
      <c r="H427" s="78"/>
      <c r="I427" s="78">
        <v>0</v>
      </c>
      <c r="J427" s="78">
        <v>1825</v>
      </c>
      <c r="K427" s="78">
        <f>SUM(I427:J427)</f>
        <v>1825</v>
      </c>
      <c r="L427" s="78"/>
      <c r="M427" s="78">
        <f>SUM(K427:L427)</f>
        <v>1825</v>
      </c>
      <c r="N427" s="78"/>
      <c r="O427" s="78">
        <f>SUM(M427:N427)</f>
        <v>1825</v>
      </c>
      <c r="P427" s="78"/>
      <c r="Q427" s="78">
        <f>SUM(O427:P427)</f>
        <v>1825</v>
      </c>
      <c r="R427" s="78"/>
      <c r="S427" s="78">
        <f>SUM(Q427:R427)</f>
        <v>1825</v>
      </c>
      <c r="T427" s="78"/>
      <c r="U427" s="78">
        <f>SUM(S427:T427)</f>
        <v>1825</v>
      </c>
      <c r="V427" s="78"/>
      <c r="W427" s="78">
        <f>SUM(U427:V427)</f>
        <v>1825</v>
      </c>
      <c r="X427" s="78"/>
      <c r="Y427" s="78">
        <f>SUM(W427:X427)</f>
        <v>1825</v>
      </c>
    </row>
    <row r="428" spans="1:25" s="26" customFormat="1" ht="21" customHeight="1">
      <c r="A428" s="83"/>
      <c r="B428" s="84">
        <v>85495</v>
      </c>
      <c r="C428" s="83"/>
      <c r="D428" s="41" t="s">
        <v>6</v>
      </c>
      <c r="E428" s="78">
        <f aca="true" t="shared" si="325" ref="E428:Y428">SUM(E429:E429)</f>
        <v>227851</v>
      </c>
      <c r="F428" s="78">
        <f t="shared" si="325"/>
        <v>0</v>
      </c>
      <c r="G428" s="78">
        <f t="shared" si="325"/>
        <v>227851</v>
      </c>
      <c r="H428" s="78">
        <f t="shared" si="325"/>
        <v>0</v>
      </c>
      <c r="I428" s="78">
        <f t="shared" si="325"/>
        <v>227851</v>
      </c>
      <c r="J428" s="78">
        <f t="shared" si="325"/>
        <v>0</v>
      </c>
      <c r="K428" s="78">
        <f t="shared" si="325"/>
        <v>227851</v>
      </c>
      <c r="L428" s="78">
        <f t="shared" si="325"/>
        <v>0</v>
      </c>
      <c r="M428" s="78">
        <f t="shared" si="325"/>
        <v>227851</v>
      </c>
      <c r="N428" s="78">
        <f t="shared" si="325"/>
        <v>0</v>
      </c>
      <c r="O428" s="78">
        <f t="shared" si="325"/>
        <v>227851</v>
      </c>
      <c r="P428" s="78">
        <f t="shared" si="325"/>
        <v>0</v>
      </c>
      <c r="Q428" s="78">
        <f t="shared" si="325"/>
        <v>227851</v>
      </c>
      <c r="R428" s="78">
        <f t="shared" si="325"/>
        <v>0</v>
      </c>
      <c r="S428" s="78">
        <f t="shared" si="325"/>
        <v>227851</v>
      </c>
      <c r="T428" s="78">
        <f t="shared" si="325"/>
        <v>0</v>
      </c>
      <c r="U428" s="78">
        <f t="shared" si="325"/>
        <v>227851</v>
      </c>
      <c r="V428" s="78">
        <f t="shared" si="325"/>
        <v>0</v>
      </c>
      <c r="W428" s="78">
        <f t="shared" si="325"/>
        <v>227851</v>
      </c>
      <c r="X428" s="78">
        <f t="shared" si="325"/>
        <v>0</v>
      </c>
      <c r="Y428" s="78">
        <f t="shared" si="325"/>
        <v>227851</v>
      </c>
    </row>
    <row r="429" spans="1:25" s="26" customFormat="1" ht="48">
      <c r="A429" s="83"/>
      <c r="B429" s="84"/>
      <c r="C429" s="83">
        <v>2320</v>
      </c>
      <c r="D429" s="41" t="s">
        <v>155</v>
      </c>
      <c r="E429" s="78">
        <v>227851</v>
      </c>
      <c r="F429" s="78"/>
      <c r="G429" s="78">
        <f t="shared" si="279"/>
        <v>227851</v>
      </c>
      <c r="H429" s="78"/>
      <c r="I429" s="78">
        <f>SUM(G429:H429)</f>
        <v>227851</v>
      </c>
      <c r="J429" s="78"/>
      <c r="K429" s="78">
        <f>SUM(I429:J429)</f>
        <v>227851</v>
      </c>
      <c r="L429" s="78"/>
      <c r="M429" s="78">
        <f>SUM(K429:L429)</f>
        <v>227851</v>
      </c>
      <c r="N429" s="78"/>
      <c r="O429" s="78">
        <f>SUM(M429:N429)</f>
        <v>227851</v>
      </c>
      <c r="P429" s="78"/>
      <c r="Q429" s="78">
        <f>SUM(O429:P429)</f>
        <v>227851</v>
      </c>
      <c r="R429" s="78"/>
      <c r="S429" s="78">
        <f>SUM(Q429:R429)</f>
        <v>227851</v>
      </c>
      <c r="T429" s="78"/>
      <c r="U429" s="78">
        <f>SUM(S429:T429)</f>
        <v>227851</v>
      </c>
      <c r="V429" s="78"/>
      <c r="W429" s="78">
        <f>SUM(U429:V429)</f>
        <v>227851</v>
      </c>
      <c r="X429" s="78"/>
      <c r="Y429" s="78">
        <f>SUM(W429:X429)</f>
        <v>227851</v>
      </c>
    </row>
    <row r="430" spans="1:25" s="9" customFormat="1" ht="24">
      <c r="A430" s="36" t="s">
        <v>131</v>
      </c>
      <c r="B430" s="37"/>
      <c r="C430" s="38"/>
      <c r="D430" s="39" t="s">
        <v>63</v>
      </c>
      <c r="E430" s="40">
        <f aca="true" t="shared" si="326" ref="E430:K430">SUM(E431,E438,E440,E444,E446,E452,E436)</f>
        <v>5872910</v>
      </c>
      <c r="F430" s="40">
        <f t="shared" si="326"/>
        <v>-2310000</v>
      </c>
      <c r="G430" s="40">
        <f t="shared" si="326"/>
        <v>3562910</v>
      </c>
      <c r="H430" s="40">
        <f t="shared" si="326"/>
        <v>0</v>
      </c>
      <c r="I430" s="40">
        <f t="shared" si="326"/>
        <v>3562910</v>
      </c>
      <c r="J430" s="40">
        <f t="shared" si="326"/>
        <v>-44881</v>
      </c>
      <c r="K430" s="40">
        <f t="shared" si="326"/>
        <v>3518029</v>
      </c>
      <c r="L430" s="40">
        <f aca="true" t="shared" si="327" ref="L430:Q430">SUM(L431,L438,L440,L444,L446,L452,L436)</f>
        <v>-50500</v>
      </c>
      <c r="M430" s="40">
        <f t="shared" si="327"/>
        <v>3467529</v>
      </c>
      <c r="N430" s="40">
        <f t="shared" si="327"/>
        <v>0</v>
      </c>
      <c r="O430" s="40">
        <f t="shared" si="327"/>
        <v>3467529</v>
      </c>
      <c r="P430" s="40">
        <f t="shared" si="327"/>
        <v>0</v>
      </c>
      <c r="Q430" s="40">
        <f t="shared" si="327"/>
        <v>3467529</v>
      </c>
      <c r="R430" s="40">
        <f aca="true" t="shared" si="328" ref="R430:W430">SUM(R431,R438,R440,R444,R446,R452,R436)</f>
        <v>-31500</v>
      </c>
      <c r="S430" s="40">
        <f t="shared" si="328"/>
        <v>3436029</v>
      </c>
      <c r="T430" s="40">
        <f t="shared" si="328"/>
        <v>0</v>
      </c>
      <c r="U430" s="40">
        <f t="shared" si="328"/>
        <v>3436029</v>
      </c>
      <c r="V430" s="40">
        <f t="shared" si="328"/>
        <v>300</v>
      </c>
      <c r="W430" s="40">
        <f t="shared" si="328"/>
        <v>3436329</v>
      </c>
      <c r="X430" s="40">
        <f>SUM(X431,X438,X440,X444,X446,X452,X436)</f>
        <v>0</v>
      </c>
      <c r="Y430" s="40">
        <f>SUM(Y431,Y438,Y440,Y444,Y446,Y452,Y436)</f>
        <v>3436329</v>
      </c>
    </row>
    <row r="431" spans="1:25" s="26" customFormat="1" ht="21" customHeight="1">
      <c r="A431" s="65"/>
      <c r="B431" s="79" t="s">
        <v>132</v>
      </c>
      <c r="C431" s="83"/>
      <c r="D431" s="41" t="s">
        <v>64</v>
      </c>
      <c r="E431" s="78">
        <f aca="true" t="shared" si="329" ref="E431:K431">SUM(E432:E435)</f>
        <v>2615000</v>
      </c>
      <c r="F431" s="78">
        <f t="shared" si="329"/>
        <v>-1320000</v>
      </c>
      <c r="G431" s="78">
        <f t="shared" si="329"/>
        <v>1295000</v>
      </c>
      <c r="H431" s="78">
        <f t="shared" si="329"/>
        <v>0</v>
      </c>
      <c r="I431" s="78">
        <f t="shared" si="329"/>
        <v>1295000</v>
      </c>
      <c r="J431" s="78">
        <f t="shared" si="329"/>
        <v>119</v>
      </c>
      <c r="K431" s="78">
        <f t="shared" si="329"/>
        <v>1295119</v>
      </c>
      <c r="L431" s="78">
        <f aca="true" t="shared" si="330" ref="L431:Q431">SUM(L432:L435)</f>
        <v>-71500</v>
      </c>
      <c r="M431" s="78">
        <f t="shared" si="330"/>
        <v>1223619</v>
      </c>
      <c r="N431" s="78">
        <f t="shared" si="330"/>
        <v>0</v>
      </c>
      <c r="O431" s="78">
        <f t="shared" si="330"/>
        <v>1223619</v>
      </c>
      <c r="P431" s="78">
        <f t="shared" si="330"/>
        <v>0</v>
      </c>
      <c r="Q431" s="78">
        <f t="shared" si="330"/>
        <v>1223619</v>
      </c>
      <c r="R431" s="78">
        <f aca="true" t="shared" si="331" ref="R431:W431">SUM(R432:R435)</f>
        <v>-32000</v>
      </c>
      <c r="S431" s="78">
        <f t="shared" si="331"/>
        <v>1191619</v>
      </c>
      <c r="T431" s="78">
        <f t="shared" si="331"/>
        <v>0</v>
      </c>
      <c r="U431" s="78">
        <f t="shared" si="331"/>
        <v>1191619</v>
      </c>
      <c r="V431" s="78">
        <f t="shared" si="331"/>
        <v>-11800</v>
      </c>
      <c r="W431" s="78">
        <f t="shared" si="331"/>
        <v>1179819</v>
      </c>
      <c r="X431" s="78">
        <f>SUM(X432:X435)</f>
        <v>0</v>
      </c>
      <c r="Y431" s="78">
        <f>SUM(Y432:Y435)</f>
        <v>1179819</v>
      </c>
    </row>
    <row r="432" spans="1:25" s="26" customFormat="1" ht="21" customHeight="1">
      <c r="A432" s="65"/>
      <c r="B432" s="79"/>
      <c r="C432" s="65">
        <v>4300</v>
      </c>
      <c r="D432" s="41" t="s">
        <v>82</v>
      </c>
      <c r="E432" s="78">
        <v>145000</v>
      </c>
      <c r="F432" s="78"/>
      <c r="G432" s="78">
        <f aca="true" t="shared" si="332" ref="G432:G490">SUM(E432:F432)</f>
        <v>145000</v>
      </c>
      <c r="H432" s="78">
        <v>-150</v>
      </c>
      <c r="I432" s="78">
        <f>SUM(G432:H432)</f>
        <v>144850</v>
      </c>
      <c r="J432" s="78"/>
      <c r="K432" s="78">
        <f>SUM(I432:J432)</f>
        <v>144850</v>
      </c>
      <c r="L432" s="78"/>
      <c r="M432" s="78">
        <f>SUM(K432:L432)</f>
        <v>144850</v>
      </c>
      <c r="N432" s="78"/>
      <c r="O432" s="78">
        <f>SUM(M432:N432)</f>
        <v>144850</v>
      </c>
      <c r="P432" s="78"/>
      <c r="Q432" s="78">
        <f>SUM(O432:P432)</f>
        <v>144850</v>
      </c>
      <c r="R432" s="78"/>
      <c r="S432" s="78">
        <f>SUM(Q432:R432)</f>
        <v>144850</v>
      </c>
      <c r="T432" s="78"/>
      <c r="U432" s="78">
        <f>SUM(S432:T432)</f>
        <v>144850</v>
      </c>
      <c r="V432" s="78"/>
      <c r="W432" s="78">
        <f>SUM(U432:V432)</f>
        <v>144850</v>
      </c>
      <c r="X432" s="78"/>
      <c r="Y432" s="78">
        <f>SUM(W432:X432)</f>
        <v>144850</v>
      </c>
    </row>
    <row r="433" spans="1:25" s="26" customFormat="1" ht="21" customHeight="1">
      <c r="A433" s="65"/>
      <c r="B433" s="79"/>
      <c r="C433" s="65">
        <v>4430</v>
      </c>
      <c r="D433" s="41" t="s">
        <v>385</v>
      </c>
      <c r="E433" s="78"/>
      <c r="F433" s="78"/>
      <c r="G433" s="78">
        <v>0</v>
      </c>
      <c r="H433" s="78">
        <v>150</v>
      </c>
      <c r="I433" s="78">
        <f>SUM(G433:H433)</f>
        <v>150</v>
      </c>
      <c r="J433" s="78"/>
      <c r="K433" s="78">
        <f>SUM(I433:J433)</f>
        <v>150</v>
      </c>
      <c r="L433" s="78"/>
      <c r="M433" s="78">
        <f>SUM(K433:L433)</f>
        <v>150</v>
      </c>
      <c r="N433" s="78"/>
      <c r="O433" s="78">
        <f>SUM(M433:N433)</f>
        <v>150</v>
      </c>
      <c r="P433" s="78"/>
      <c r="Q433" s="78">
        <f>SUM(O433:P433)</f>
        <v>150</v>
      </c>
      <c r="R433" s="78"/>
      <c r="S433" s="78">
        <f>SUM(Q433:R433)</f>
        <v>150</v>
      </c>
      <c r="T433" s="78"/>
      <c r="U433" s="78">
        <f>SUM(S433:T433)</f>
        <v>150</v>
      </c>
      <c r="V433" s="78"/>
      <c r="W433" s="78">
        <f>SUM(U433:V433)</f>
        <v>150</v>
      </c>
      <c r="X433" s="78"/>
      <c r="Y433" s="78">
        <f>SUM(W433:X433)</f>
        <v>150</v>
      </c>
    </row>
    <row r="434" spans="1:25" s="26" customFormat="1" ht="57" customHeight="1">
      <c r="A434" s="65"/>
      <c r="B434" s="79"/>
      <c r="C434" s="65">
        <v>6010</v>
      </c>
      <c r="D434" s="41" t="s">
        <v>327</v>
      </c>
      <c r="E434" s="78"/>
      <c r="F434" s="78"/>
      <c r="G434" s="78"/>
      <c r="H434" s="78"/>
      <c r="I434" s="78">
        <v>0</v>
      </c>
      <c r="J434" s="78">
        <v>119</v>
      </c>
      <c r="K434" s="78">
        <f>SUM(I434:J434)</f>
        <v>119</v>
      </c>
      <c r="L434" s="78"/>
      <c r="M434" s="78">
        <f>SUM(K434:L434)</f>
        <v>119</v>
      </c>
      <c r="N434" s="78"/>
      <c r="O434" s="78">
        <f>SUM(M434:N434)</f>
        <v>119</v>
      </c>
      <c r="P434" s="78"/>
      <c r="Q434" s="78">
        <f>SUM(O434:P434)</f>
        <v>119</v>
      </c>
      <c r="R434" s="78"/>
      <c r="S434" s="78">
        <f>SUM(Q434:R434)</f>
        <v>119</v>
      </c>
      <c r="T434" s="78"/>
      <c r="U434" s="78">
        <f>SUM(S434:T434)</f>
        <v>119</v>
      </c>
      <c r="V434" s="78"/>
      <c r="W434" s="78">
        <f>SUM(U434:V434)</f>
        <v>119</v>
      </c>
      <c r="X434" s="78"/>
      <c r="Y434" s="78">
        <f>SUM(W434:X434)</f>
        <v>119</v>
      </c>
    </row>
    <row r="435" spans="1:25" s="26" customFormat="1" ht="21" customHeight="1">
      <c r="A435" s="65"/>
      <c r="B435" s="79"/>
      <c r="C435" s="65">
        <v>6050</v>
      </c>
      <c r="D435" s="41" t="s">
        <v>76</v>
      </c>
      <c r="E435" s="78">
        <v>2470000</v>
      </c>
      <c r="F435" s="78">
        <f>-760000-290000-280000+10000</f>
        <v>-1320000</v>
      </c>
      <c r="G435" s="78">
        <f t="shared" si="332"/>
        <v>1150000</v>
      </c>
      <c r="H435" s="78"/>
      <c r="I435" s="78">
        <f>SUM(G435:H435)</f>
        <v>1150000</v>
      </c>
      <c r="J435" s="78"/>
      <c r="K435" s="78">
        <f>SUM(I435:J435)</f>
        <v>1150000</v>
      </c>
      <c r="L435" s="78">
        <f>-87000+15500</f>
        <v>-71500</v>
      </c>
      <c r="M435" s="78">
        <f>SUM(K435:L435)</f>
        <v>1078500</v>
      </c>
      <c r="N435" s="78"/>
      <c r="O435" s="78">
        <f>SUM(M435:N435)</f>
        <v>1078500</v>
      </c>
      <c r="P435" s="78"/>
      <c r="Q435" s="78">
        <f>SUM(O435:P435)</f>
        <v>1078500</v>
      </c>
      <c r="R435" s="78">
        <v>-32000</v>
      </c>
      <c r="S435" s="78">
        <f>SUM(Q435:R435)</f>
        <v>1046500</v>
      </c>
      <c r="T435" s="78"/>
      <c r="U435" s="78">
        <f>SUM(S435:T435)</f>
        <v>1046500</v>
      </c>
      <c r="V435" s="78">
        <v>-11800</v>
      </c>
      <c r="W435" s="78">
        <f>SUM(U435:V435)</f>
        <v>1034700</v>
      </c>
      <c r="X435" s="78"/>
      <c r="Y435" s="78">
        <f>SUM(W435:X435)</f>
        <v>1034700</v>
      </c>
    </row>
    <row r="436" spans="1:25" s="26" customFormat="1" ht="21" customHeight="1">
      <c r="A436" s="65"/>
      <c r="B436" s="79">
        <v>90002</v>
      </c>
      <c r="C436" s="65"/>
      <c r="D436" s="41" t="s">
        <v>322</v>
      </c>
      <c r="E436" s="78">
        <f aca="true" t="shared" si="333" ref="E436:Y436">SUM(E437)</f>
        <v>90000</v>
      </c>
      <c r="F436" s="78">
        <f t="shared" si="333"/>
        <v>0</v>
      </c>
      <c r="G436" s="78">
        <f t="shared" si="333"/>
        <v>90000</v>
      </c>
      <c r="H436" s="78">
        <f t="shared" si="333"/>
        <v>0</v>
      </c>
      <c r="I436" s="78">
        <f t="shared" si="333"/>
        <v>90000</v>
      </c>
      <c r="J436" s="78">
        <f t="shared" si="333"/>
        <v>0</v>
      </c>
      <c r="K436" s="78">
        <f t="shared" si="333"/>
        <v>90000</v>
      </c>
      <c r="L436" s="78">
        <f t="shared" si="333"/>
        <v>0</v>
      </c>
      <c r="M436" s="78">
        <f t="shared" si="333"/>
        <v>90000</v>
      </c>
      <c r="N436" s="78">
        <f t="shared" si="333"/>
        <v>0</v>
      </c>
      <c r="O436" s="78">
        <f t="shared" si="333"/>
        <v>90000</v>
      </c>
      <c r="P436" s="78">
        <f t="shared" si="333"/>
        <v>0</v>
      </c>
      <c r="Q436" s="78">
        <f t="shared" si="333"/>
        <v>90000</v>
      </c>
      <c r="R436" s="78">
        <f t="shared" si="333"/>
        <v>0</v>
      </c>
      <c r="S436" s="78">
        <f t="shared" si="333"/>
        <v>90000</v>
      </c>
      <c r="T436" s="78">
        <f t="shared" si="333"/>
        <v>0</v>
      </c>
      <c r="U436" s="78">
        <f t="shared" si="333"/>
        <v>90000</v>
      </c>
      <c r="V436" s="78">
        <f t="shared" si="333"/>
        <v>0</v>
      </c>
      <c r="W436" s="78">
        <f t="shared" si="333"/>
        <v>90000</v>
      </c>
      <c r="X436" s="78">
        <f t="shared" si="333"/>
        <v>0</v>
      </c>
      <c r="Y436" s="78">
        <f t="shared" si="333"/>
        <v>90000</v>
      </c>
    </row>
    <row r="437" spans="1:25" s="26" customFormat="1" ht="21" customHeight="1">
      <c r="A437" s="65"/>
      <c r="B437" s="79"/>
      <c r="C437" s="65">
        <v>6050</v>
      </c>
      <c r="D437" s="41" t="s">
        <v>76</v>
      </c>
      <c r="E437" s="78">
        <v>90000</v>
      </c>
      <c r="F437" s="78"/>
      <c r="G437" s="78">
        <f t="shared" si="332"/>
        <v>90000</v>
      </c>
      <c r="H437" s="78"/>
      <c r="I437" s="78">
        <f>SUM(G437:H437)</f>
        <v>90000</v>
      </c>
      <c r="J437" s="78"/>
      <c r="K437" s="78">
        <f>SUM(I437:J437)</f>
        <v>90000</v>
      </c>
      <c r="L437" s="78"/>
      <c r="M437" s="78">
        <f>SUM(K437:L437)</f>
        <v>90000</v>
      </c>
      <c r="N437" s="78"/>
      <c r="O437" s="78">
        <f>SUM(M437:N437)</f>
        <v>90000</v>
      </c>
      <c r="P437" s="78"/>
      <c r="Q437" s="78">
        <f>SUM(O437:P437)</f>
        <v>90000</v>
      </c>
      <c r="R437" s="78"/>
      <c r="S437" s="78">
        <f>SUM(Q437:R437)</f>
        <v>90000</v>
      </c>
      <c r="T437" s="78"/>
      <c r="U437" s="78">
        <f>SUM(S437:T437)</f>
        <v>90000</v>
      </c>
      <c r="V437" s="78"/>
      <c r="W437" s="78">
        <f>SUM(U437:V437)</f>
        <v>90000</v>
      </c>
      <c r="X437" s="78"/>
      <c r="Y437" s="78">
        <f>SUM(W437:X437)</f>
        <v>90000</v>
      </c>
    </row>
    <row r="438" spans="1:25" s="26" customFormat="1" ht="21" customHeight="1">
      <c r="A438" s="65"/>
      <c r="B438" s="79" t="s">
        <v>133</v>
      </c>
      <c r="C438" s="83"/>
      <c r="D438" s="41" t="s">
        <v>134</v>
      </c>
      <c r="E438" s="78">
        <f aca="true" t="shared" si="334" ref="E438:Y438">SUM(E439:E439)</f>
        <v>744670</v>
      </c>
      <c r="F438" s="78">
        <f t="shared" si="334"/>
        <v>0</v>
      </c>
      <c r="G438" s="78">
        <f t="shared" si="334"/>
        <v>744670</v>
      </c>
      <c r="H438" s="78">
        <f t="shared" si="334"/>
        <v>0</v>
      </c>
      <c r="I438" s="78">
        <f t="shared" si="334"/>
        <v>744670</v>
      </c>
      <c r="J438" s="78">
        <f t="shared" si="334"/>
        <v>0</v>
      </c>
      <c r="K438" s="78">
        <f t="shared" si="334"/>
        <v>744670</v>
      </c>
      <c r="L438" s="78">
        <f t="shared" si="334"/>
        <v>0</v>
      </c>
      <c r="M438" s="78">
        <f t="shared" si="334"/>
        <v>744670</v>
      </c>
      <c r="N438" s="78">
        <f t="shared" si="334"/>
        <v>250</v>
      </c>
      <c r="O438" s="78">
        <f t="shared" si="334"/>
        <v>744920</v>
      </c>
      <c r="P438" s="78">
        <f t="shared" si="334"/>
        <v>0</v>
      </c>
      <c r="Q438" s="78">
        <f t="shared" si="334"/>
        <v>744920</v>
      </c>
      <c r="R438" s="78">
        <f t="shared" si="334"/>
        <v>0</v>
      </c>
      <c r="S438" s="78">
        <f t="shared" si="334"/>
        <v>744920</v>
      </c>
      <c r="T438" s="78">
        <f t="shared" si="334"/>
        <v>0</v>
      </c>
      <c r="U438" s="78">
        <f t="shared" si="334"/>
        <v>744920</v>
      </c>
      <c r="V438" s="78">
        <f t="shared" si="334"/>
        <v>0</v>
      </c>
      <c r="W438" s="78">
        <f t="shared" si="334"/>
        <v>744920</v>
      </c>
      <c r="X438" s="78">
        <f t="shared" si="334"/>
        <v>0</v>
      </c>
      <c r="Y438" s="78">
        <f t="shared" si="334"/>
        <v>744920</v>
      </c>
    </row>
    <row r="439" spans="1:25" s="26" customFormat="1" ht="21" customHeight="1">
      <c r="A439" s="65"/>
      <c r="B439" s="79"/>
      <c r="C439" s="83">
        <v>4300</v>
      </c>
      <c r="D439" s="87" t="s">
        <v>82</v>
      </c>
      <c r="E439" s="78">
        <f>2240+742430</f>
        <v>744670</v>
      </c>
      <c r="F439" s="78"/>
      <c r="G439" s="78">
        <f t="shared" si="332"/>
        <v>744670</v>
      </c>
      <c r="H439" s="78"/>
      <c r="I439" s="78">
        <f>SUM(G439:H439)</f>
        <v>744670</v>
      </c>
      <c r="J439" s="78"/>
      <c r="K439" s="78">
        <f>SUM(I439:J439)</f>
        <v>744670</v>
      </c>
      <c r="L439" s="78"/>
      <c r="M439" s="78">
        <f>SUM(K439:L439)</f>
        <v>744670</v>
      </c>
      <c r="N439" s="78">
        <v>250</v>
      </c>
      <c r="O439" s="78">
        <f>SUM(M439:N439)</f>
        <v>744920</v>
      </c>
      <c r="P439" s="78"/>
      <c r="Q439" s="78">
        <f>SUM(O439:P439)</f>
        <v>744920</v>
      </c>
      <c r="R439" s="78"/>
      <c r="S439" s="78">
        <f>SUM(Q439:R439)</f>
        <v>744920</v>
      </c>
      <c r="T439" s="78"/>
      <c r="U439" s="78">
        <f>SUM(S439:T439)</f>
        <v>744920</v>
      </c>
      <c r="V439" s="78"/>
      <c r="W439" s="78">
        <f>SUM(U439:V439)</f>
        <v>744920</v>
      </c>
      <c r="X439" s="78"/>
      <c r="Y439" s="78">
        <f>SUM(W439:X439)</f>
        <v>744920</v>
      </c>
    </row>
    <row r="440" spans="1:25" s="26" customFormat="1" ht="21" customHeight="1">
      <c r="A440" s="65"/>
      <c r="B440" s="79" t="s">
        <v>135</v>
      </c>
      <c r="C440" s="83"/>
      <c r="D440" s="41" t="s">
        <v>157</v>
      </c>
      <c r="E440" s="78">
        <f aca="true" t="shared" si="335" ref="E440:K440">SUM(E441:E443)</f>
        <v>249240</v>
      </c>
      <c r="F440" s="78">
        <f t="shared" si="335"/>
        <v>0</v>
      </c>
      <c r="G440" s="78">
        <f t="shared" si="335"/>
        <v>249240</v>
      </c>
      <c r="H440" s="78">
        <f t="shared" si="335"/>
        <v>0</v>
      </c>
      <c r="I440" s="78">
        <f t="shared" si="335"/>
        <v>249240</v>
      </c>
      <c r="J440" s="78">
        <f t="shared" si="335"/>
        <v>0</v>
      </c>
      <c r="K440" s="78">
        <f t="shared" si="335"/>
        <v>249240</v>
      </c>
      <c r="L440" s="78">
        <f aca="true" t="shared" si="336" ref="L440:Q440">SUM(L441:L443)</f>
        <v>0</v>
      </c>
      <c r="M440" s="78">
        <f t="shared" si="336"/>
        <v>249240</v>
      </c>
      <c r="N440" s="78">
        <f t="shared" si="336"/>
        <v>-250</v>
      </c>
      <c r="O440" s="78">
        <f t="shared" si="336"/>
        <v>248990</v>
      </c>
      <c r="P440" s="78">
        <f t="shared" si="336"/>
        <v>0</v>
      </c>
      <c r="Q440" s="78">
        <f t="shared" si="336"/>
        <v>248990</v>
      </c>
      <c r="R440" s="78">
        <f aca="true" t="shared" si="337" ref="R440:W440">SUM(R441:R443)</f>
        <v>-500</v>
      </c>
      <c r="S440" s="78">
        <f t="shared" si="337"/>
        <v>248490</v>
      </c>
      <c r="T440" s="78">
        <f t="shared" si="337"/>
        <v>0</v>
      </c>
      <c r="U440" s="78">
        <f t="shared" si="337"/>
        <v>248490</v>
      </c>
      <c r="V440" s="78">
        <f t="shared" si="337"/>
        <v>300</v>
      </c>
      <c r="W440" s="78">
        <f t="shared" si="337"/>
        <v>248790</v>
      </c>
      <c r="X440" s="78">
        <f>SUM(X441:X443)</f>
        <v>0</v>
      </c>
      <c r="Y440" s="78">
        <f>SUM(Y441:Y443)</f>
        <v>248790</v>
      </c>
    </row>
    <row r="441" spans="1:25" s="26" customFormat="1" ht="21" customHeight="1">
      <c r="A441" s="65"/>
      <c r="B441" s="79"/>
      <c r="C441" s="65">
        <v>4210</v>
      </c>
      <c r="D441" s="41" t="s">
        <v>95</v>
      </c>
      <c r="E441" s="78">
        <f>26220+18000+6000+12000</f>
        <v>62220</v>
      </c>
      <c r="F441" s="78"/>
      <c r="G441" s="78">
        <f t="shared" si="332"/>
        <v>62220</v>
      </c>
      <c r="H441" s="78"/>
      <c r="I441" s="78">
        <f>SUM(G441:H441)</f>
        <v>62220</v>
      </c>
      <c r="J441" s="78"/>
      <c r="K441" s="78">
        <f>SUM(I441:J441)</f>
        <v>62220</v>
      </c>
      <c r="L441" s="78"/>
      <c r="M441" s="78">
        <f>SUM(K441:L441)</f>
        <v>62220</v>
      </c>
      <c r="N441" s="78">
        <v>-250</v>
      </c>
      <c r="O441" s="78">
        <f>SUM(M441:N441)</f>
        <v>61970</v>
      </c>
      <c r="P441" s="78"/>
      <c r="Q441" s="78">
        <f>SUM(O441:P441)</f>
        <v>61970</v>
      </c>
      <c r="R441" s="78">
        <v>-200</v>
      </c>
      <c r="S441" s="78">
        <f>SUM(Q441:R441)</f>
        <v>61770</v>
      </c>
      <c r="T441" s="78"/>
      <c r="U441" s="78">
        <f>SUM(S441:T441)</f>
        <v>61770</v>
      </c>
      <c r="V441" s="78">
        <v>300</v>
      </c>
      <c r="W441" s="78">
        <f>SUM(U441:V441)</f>
        <v>62070</v>
      </c>
      <c r="X441" s="78"/>
      <c r="Y441" s="78">
        <f>SUM(W441:X441)</f>
        <v>62070</v>
      </c>
    </row>
    <row r="442" spans="1:25" s="26" customFormat="1" ht="21" customHeight="1">
      <c r="A442" s="65"/>
      <c r="B442" s="79"/>
      <c r="C442" s="65">
        <v>4270</v>
      </c>
      <c r="D442" s="41" t="s">
        <v>81</v>
      </c>
      <c r="E442" s="78">
        <v>5000</v>
      </c>
      <c r="F442" s="78"/>
      <c r="G442" s="78">
        <f t="shared" si="332"/>
        <v>5000</v>
      </c>
      <c r="H442" s="78"/>
      <c r="I442" s="78">
        <f>SUM(G442:H442)</f>
        <v>5000</v>
      </c>
      <c r="J442" s="78"/>
      <c r="K442" s="78">
        <f>SUM(I442:J442)</f>
        <v>5000</v>
      </c>
      <c r="L442" s="78"/>
      <c r="M442" s="78">
        <f>SUM(K442:L442)</f>
        <v>5000</v>
      </c>
      <c r="N442" s="78"/>
      <c r="O442" s="78">
        <f>SUM(M442:N442)</f>
        <v>5000</v>
      </c>
      <c r="P442" s="78"/>
      <c r="Q442" s="78">
        <f>SUM(O442:P442)</f>
        <v>5000</v>
      </c>
      <c r="R442" s="78"/>
      <c r="S442" s="78">
        <f>SUM(Q442:R442)</f>
        <v>5000</v>
      </c>
      <c r="T442" s="78"/>
      <c r="U442" s="78">
        <f>SUM(S442:T442)</f>
        <v>5000</v>
      </c>
      <c r="V442" s="78"/>
      <c r="W442" s="78">
        <f>SUM(U442:V442)</f>
        <v>5000</v>
      </c>
      <c r="X442" s="78"/>
      <c r="Y442" s="78">
        <f>SUM(W442:X442)</f>
        <v>5000</v>
      </c>
    </row>
    <row r="443" spans="1:25" s="26" customFormat="1" ht="21" customHeight="1">
      <c r="A443" s="65"/>
      <c r="B443" s="79"/>
      <c r="C443" s="65">
        <v>4300</v>
      </c>
      <c r="D443" s="41" t="s">
        <v>82</v>
      </c>
      <c r="E443" s="78">
        <f>6200+92820+32000+11000+20000+20000</f>
        <v>182020</v>
      </c>
      <c r="F443" s="78"/>
      <c r="G443" s="78">
        <f t="shared" si="332"/>
        <v>182020</v>
      </c>
      <c r="H443" s="78"/>
      <c r="I443" s="78">
        <f>SUM(G443:H443)</f>
        <v>182020</v>
      </c>
      <c r="J443" s="78"/>
      <c r="K443" s="78">
        <f>SUM(I443:J443)</f>
        <v>182020</v>
      </c>
      <c r="L443" s="78"/>
      <c r="M443" s="78">
        <f>SUM(K443:L443)</f>
        <v>182020</v>
      </c>
      <c r="N443" s="78"/>
      <c r="O443" s="78">
        <f>SUM(M443:N443)</f>
        <v>182020</v>
      </c>
      <c r="P443" s="78"/>
      <c r="Q443" s="78">
        <f>SUM(O443:P443)</f>
        <v>182020</v>
      </c>
      <c r="R443" s="78">
        <v>-300</v>
      </c>
      <c r="S443" s="78">
        <f>SUM(Q443:R443)</f>
        <v>181720</v>
      </c>
      <c r="T443" s="78"/>
      <c r="U443" s="78">
        <f>SUM(S443:T443)</f>
        <v>181720</v>
      </c>
      <c r="V443" s="78"/>
      <c r="W443" s="78">
        <f>SUM(U443:V443)</f>
        <v>181720</v>
      </c>
      <c r="X443" s="78"/>
      <c r="Y443" s="78">
        <f>SUM(W443:X443)</f>
        <v>181720</v>
      </c>
    </row>
    <row r="444" spans="1:25" s="26" customFormat="1" ht="21" customHeight="1">
      <c r="A444" s="65"/>
      <c r="B444" s="79" t="s">
        <v>136</v>
      </c>
      <c r="C444" s="83"/>
      <c r="D444" s="41" t="s">
        <v>137</v>
      </c>
      <c r="E444" s="78">
        <f aca="true" t="shared" si="338" ref="E444:Y444">SUM(E445)</f>
        <v>100000</v>
      </c>
      <c r="F444" s="78">
        <f t="shared" si="338"/>
        <v>10000</v>
      </c>
      <c r="G444" s="78">
        <f t="shared" si="338"/>
        <v>110000</v>
      </c>
      <c r="H444" s="78">
        <f t="shared" si="338"/>
        <v>0</v>
      </c>
      <c r="I444" s="78">
        <f t="shared" si="338"/>
        <v>110000</v>
      </c>
      <c r="J444" s="78">
        <f t="shared" si="338"/>
        <v>0</v>
      </c>
      <c r="K444" s="78">
        <f t="shared" si="338"/>
        <v>110000</v>
      </c>
      <c r="L444" s="78">
        <f t="shared" si="338"/>
        <v>21000</v>
      </c>
      <c r="M444" s="78">
        <f t="shared" si="338"/>
        <v>131000</v>
      </c>
      <c r="N444" s="78">
        <f t="shared" si="338"/>
        <v>0</v>
      </c>
      <c r="O444" s="78">
        <f t="shared" si="338"/>
        <v>131000</v>
      </c>
      <c r="P444" s="78">
        <f t="shared" si="338"/>
        <v>0</v>
      </c>
      <c r="Q444" s="78">
        <f t="shared" si="338"/>
        <v>131000</v>
      </c>
      <c r="R444" s="78">
        <f t="shared" si="338"/>
        <v>0</v>
      </c>
      <c r="S444" s="78">
        <f t="shared" si="338"/>
        <v>131000</v>
      </c>
      <c r="T444" s="78">
        <f t="shared" si="338"/>
        <v>0</v>
      </c>
      <c r="U444" s="78">
        <f t="shared" si="338"/>
        <v>131000</v>
      </c>
      <c r="V444" s="78">
        <f t="shared" si="338"/>
        <v>0</v>
      </c>
      <c r="W444" s="78">
        <f t="shared" si="338"/>
        <v>131000</v>
      </c>
      <c r="X444" s="78">
        <f t="shared" si="338"/>
        <v>0</v>
      </c>
      <c r="Y444" s="78">
        <f t="shared" si="338"/>
        <v>131000</v>
      </c>
    </row>
    <row r="445" spans="1:25" s="26" customFormat="1" ht="21" customHeight="1">
      <c r="A445" s="65"/>
      <c r="B445" s="79"/>
      <c r="C445" s="83">
        <v>4300</v>
      </c>
      <c r="D445" s="87" t="s">
        <v>82</v>
      </c>
      <c r="E445" s="78">
        <v>100000</v>
      </c>
      <c r="F445" s="78">
        <v>10000</v>
      </c>
      <c r="G445" s="78">
        <f t="shared" si="332"/>
        <v>110000</v>
      </c>
      <c r="H445" s="78"/>
      <c r="I445" s="78">
        <f>SUM(G445:H445)</f>
        <v>110000</v>
      </c>
      <c r="J445" s="78"/>
      <c r="K445" s="78">
        <f>SUM(I445:J445)</f>
        <v>110000</v>
      </c>
      <c r="L445" s="78">
        <v>21000</v>
      </c>
      <c r="M445" s="78">
        <f>SUM(K445:L445)</f>
        <v>131000</v>
      </c>
      <c r="N445" s="78"/>
      <c r="O445" s="78">
        <f>SUM(M445:N445)</f>
        <v>131000</v>
      </c>
      <c r="P445" s="78"/>
      <c r="Q445" s="78">
        <f>SUM(O445:P445)</f>
        <v>131000</v>
      </c>
      <c r="R445" s="78"/>
      <c r="S445" s="78">
        <f>SUM(Q445:R445)</f>
        <v>131000</v>
      </c>
      <c r="T445" s="78"/>
      <c r="U445" s="78">
        <f>SUM(S445:T445)</f>
        <v>131000</v>
      </c>
      <c r="V445" s="78"/>
      <c r="W445" s="78">
        <f>SUM(U445:V445)</f>
        <v>131000</v>
      </c>
      <c r="X445" s="78"/>
      <c r="Y445" s="78">
        <f>SUM(W445:X445)</f>
        <v>131000</v>
      </c>
    </row>
    <row r="446" spans="1:25" s="26" customFormat="1" ht="21" customHeight="1">
      <c r="A446" s="65"/>
      <c r="B446" s="79" t="s">
        <v>138</v>
      </c>
      <c r="C446" s="83"/>
      <c r="D446" s="41" t="s">
        <v>139</v>
      </c>
      <c r="E446" s="78">
        <f aca="true" t="shared" si="339" ref="E446:J446">SUM(E448:E451)</f>
        <v>1986000</v>
      </c>
      <c r="F446" s="78">
        <f t="shared" si="339"/>
        <v>-1000000</v>
      </c>
      <c r="G446" s="78">
        <f t="shared" si="339"/>
        <v>986000</v>
      </c>
      <c r="H446" s="78">
        <f t="shared" si="339"/>
        <v>0</v>
      </c>
      <c r="I446" s="78">
        <f t="shared" si="339"/>
        <v>986000</v>
      </c>
      <c r="J446" s="78">
        <f t="shared" si="339"/>
        <v>0</v>
      </c>
      <c r="K446" s="78">
        <f aca="true" t="shared" si="340" ref="K446:Q446">SUM(K447:K451)</f>
        <v>986000</v>
      </c>
      <c r="L446" s="78">
        <f t="shared" si="340"/>
        <v>0</v>
      </c>
      <c r="M446" s="78">
        <f t="shared" si="340"/>
        <v>986000</v>
      </c>
      <c r="N446" s="78">
        <f t="shared" si="340"/>
        <v>0</v>
      </c>
      <c r="O446" s="78">
        <f t="shared" si="340"/>
        <v>986000</v>
      </c>
      <c r="P446" s="78">
        <f t="shared" si="340"/>
        <v>0</v>
      </c>
      <c r="Q446" s="78">
        <f t="shared" si="340"/>
        <v>986000</v>
      </c>
      <c r="R446" s="78">
        <f aca="true" t="shared" si="341" ref="R446:W446">SUM(R447:R451)</f>
        <v>1000</v>
      </c>
      <c r="S446" s="78">
        <f t="shared" si="341"/>
        <v>987000</v>
      </c>
      <c r="T446" s="78">
        <f t="shared" si="341"/>
        <v>0</v>
      </c>
      <c r="U446" s="78">
        <f t="shared" si="341"/>
        <v>987000</v>
      </c>
      <c r="V446" s="78">
        <f t="shared" si="341"/>
        <v>0</v>
      </c>
      <c r="W446" s="78">
        <f t="shared" si="341"/>
        <v>987000</v>
      </c>
      <c r="X446" s="78">
        <f>SUM(X447:X451)</f>
        <v>0</v>
      </c>
      <c r="Y446" s="78">
        <f>SUM(Y447:Y451)</f>
        <v>987000</v>
      </c>
    </row>
    <row r="447" spans="1:27" s="26" customFormat="1" ht="21" customHeight="1">
      <c r="A447" s="65"/>
      <c r="B447" s="79"/>
      <c r="C447" s="83">
        <v>4170</v>
      </c>
      <c r="D447" s="41" t="s">
        <v>202</v>
      </c>
      <c r="E447" s="78"/>
      <c r="F447" s="78"/>
      <c r="G447" s="78"/>
      <c r="H447" s="78"/>
      <c r="I447" s="78"/>
      <c r="J447" s="78"/>
      <c r="K447" s="78">
        <v>0</v>
      </c>
      <c r="L447" s="78">
        <v>1500</v>
      </c>
      <c r="M447" s="78">
        <f>SUM(K447:L447)</f>
        <v>1500</v>
      </c>
      <c r="N447" s="78"/>
      <c r="O447" s="78">
        <f>SUM(M447:N447)</f>
        <v>1500</v>
      </c>
      <c r="P447" s="78"/>
      <c r="Q447" s="78">
        <f>SUM(O447:P447)</f>
        <v>1500</v>
      </c>
      <c r="R447" s="78"/>
      <c r="S447" s="78">
        <f>SUM(Q447:R447)</f>
        <v>1500</v>
      </c>
      <c r="T447" s="78"/>
      <c r="U447" s="78">
        <f>SUM(S447:T447)</f>
        <v>1500</v>
      </c>
      <c r="V447" s="78"/>
      <c r="W447" s="78">
        <f>SUM(U447:V447)</f>
        <v>1500</v>
      </c>
      <c r="X447" s="78"/>
      <c r="Y447" s="78">
        <f>SUM(W447:X447)</f>
        <v>1500</v>
      </c>
      <c r="Z447" s="117"/>
      <c r="AA447" s="117"/>
    </row>
    <row r="448" spans="1:25" s="26" customFormat="1" ht="21" customHeight="1">
      <c r="A448" s="65"/>
      <c r="B448" s="84"/>
      <c r="C448" s="65">
        <v>4260</v>
      </c>
      <c r="D448" s="41" t="s">
        <v>98</v>
      </c>
      <c r="E448" s="78">
        <v>750000</v>
      </c>
      <c r="F448" s="78">
        <v>-200000</v>
      </c>
      <c r="G448" s="78">
        <f t="shared" si="332"/>
        <v>550000</v>
      </c>
      <c r="H448" s="78"/>
      <c r="I448" s="78">
        <f>SUM(G448:H448)</f>
        <v>550000</v>
      </c>
      <c r="J448" s="78"/>
      <c r="K448" s="78">
        <f>SUM(I448:J448)</f>
        <v>550000</v>
      </c>
      <c r="L448" s="78">
        <v>-110</v>
      </c>
      <c r="M448" s="78">
        <f>SUM(K448:L448)</f>
        <v>549890</v>
      </c>
      <c r="N448" s="78"/>
      <c r="O448" s="78">
        <f>SUM(M448:N448)</f>
        <v>549890</v>
      </c>
      <c r="P448" s="78"/>
      <c r="Q448" s="78">
        <f>SUM(O448:P448)</f>
        <v>549890</v>
      </c>
      <c r="R448" s="78"/>
      <c r="S448" s="78">
        <f>SUM(Q448:R448)</f>
        <v>549890</v>
      </c>
      <c r="T448" s="78"/>
      <c r="U448" s="78">
        <f>SUM(S448:T448)</f>
        <v>549890</v>
      </c>
      <c r="V448" s="78"/>
      <c r="W448" s="78">
        <f>SUM(U448:V448)</f>
        <v>549890</v>
      </c>
      <c r="X448" s="78"/>
      <c r="Y448" s="78">
        <f>SUM(W448:X448)</f>
        <v>549890</v>
      </c>
    </row>
    <row r="449" spans="1:25" s="26" customFormat="1" ht="21" customHeight="1">
      <c r="A449" s="65"/>
      <c r="B449" s="84"/>
      <c r="C449" s="65">
        <v>4270</v>
      </c>
      <c r="D449" s="41" t="s">
        <v>81</v>
      </c>
      <c r="E449" s="78">
        <v>210000</v>
      </c>
      <c r="F449" s="78">
        <v>-20000</v>
      </c>
      <c r="G449" s="78">
        <f t="shared" si="332"/>
        <v>190000</v>
      </c>
      <c r="H449" s="78"/>
      <c r="I449" s="78">
        <f>SUM(G449:H449)</f>
        <v>190000</v>
      </c>
      <c r="J449" s="78"/>
      <c r="K449" s="78">
        <f>SUM(I449:J449)</f>
        <v>190000</v>
      </c>
      <c r="L449" s="78">
        <v>-1500</v>
      </c>
      <c r="M449" s="78">
        <f>SUM(K449:L449)</f>
        <v>188500</v>
      </c>
      <c r="N449" s="78"/>
      <c r="O449" s="78">
        <f>SUM(M449:N449)</f>
        <v>188500</v>
      </c>
      <c r="P449" s="78"/>
      <c r="Q449" s="78">
        <f>SUM(O449:P449)</f>
        <v>188500</v>
      </c>
      <c r="R449" s="78"/>
      <c r="S449" s="78">
        <f>SUM(Q449:R449)</f>
        <v>188500</v>
      </c>
      <c r="T449" s="78"/>
      <c r="U449" s="78">
        <f>SUM(S449:T449)</f>
        <v>188500</v>
      </c>
      <c r="V449" s="78"/>
      <c r="W449" s="78">
        <f>SUM(U449:V449)</f>
        <v>188500</v>
      </c>
      <c r="X449" s="78"/>
      <c r="Y449" s="78">
        <f>SUM(W449:X449)</f>
        <v>188500</v>
      </c>
    </row>
    <row r="450" spans="1:25" s="26" customFormat="1" ht="21" customHeight="1">
      <c r="A450" s="65"/>
      <c r="B450" s="84"/>
      <c r="C450" s="65">
        <v>4300</v>
      </c>
      <c r="D450" s="41" t="s">
        <v>82</v>
      </c>
      <c r="E450" s="78">
        <f>3000+50000</f>
        <v>53000</v>
      </c>
      <c r="F450" s="78">
        <v>-20000</v>
      </c>
      <c r="G450" s="78">
        <f t="shared" si="332"/>
        <v>33000</v>
      </c>
      <c r="H450" s="78"/>
      <c r="I450" s="78">
        <f>SUM(G450:H450)</f>
        <v>33000</v>
      </c>
      <c r="J450" s="78"/>
      <c r="K450" s="78">
        <f>SUM(I450:J450)</f>
        <v>33000</v>
      </c>
      <c r="L450" s="78"/>
      <c r="M450" s="78">
        <f>SUM(K450:L450)</f>
        <v>33000</v>
      </c>
      <c r="N450" s="78"/>
      <c r="O450" s="78">
        <f>SUM(M450:N450)</f>
        <v>33000</v>
      </c>
      <c r="P450" s="78"/>
      <c r="Q450" s="78">
        <f>SUM(O450:P450)</f>
        <v>33000</v>
      </c>
      <c r="R450" s="78">
        <v>1000</v>
      </c>
      <c r="S450" s="78">
        <f>SUM(Q450:R450)</f>
        <v>34000</v>
      </c>
      <c r="T450" s="78"/>
      <c r="U450" s="78">
        <f>SUM(S450:T450)</f>
        <v>34000</v>
      </c>
      <c r="V450" s="78"/>
      <c r="W450" s="78">
        <f>SUM(U450:V450)</f>
        <v>34000</v>
      </c>
      <c r="X450" s="78"/>
      <c r="Y450" s="78">
        <f>SUM(W450:X450)</f>
        <v>34000</v>
      </c>
    </row>
    <row r="451" spans="1:25" s="26" customFormat="1" ht="21" customHeight="1">
      <c r="A451" s="65"/>
      <c r="B451" s="84"/>
      <c r="C451" s="65">
        <v>6050</v>
      </c>
      <c r="D451" s="41" t="s">
        <v>76</v>
      </c>
      <c r="E451" s="78">
        <v>973000</v>
      </c>
      <c r="F451" s="78">
        <f>-115000-520000-65000-50000-50000+20000+20000</f>
        <v>-760000</v>
      </c>
      <c r="G451" s="78">
        <f t="shared" si="332"/>
        <v>213000</v>
      </c>
      <c r="H451" s="78"/>
      <c r="I451" s="78">
        <f>SUM(G451:H451)</f>
        <v>213000</v>
      </c>
      <c r="J451" s="78"/>
      <c r="K451" s="78">
        <f>SUM(I451:J451)</f>
        <v>213000</v>
      </c>
      <c r="L451" s="78">
        <f>110-7900+7900</f>
        <v>110</v>
      </c>
      <c r="M451" s="78">
        <f>SUM(K451:L451)</f>
        <v>213110</v>
      </c>
      <c r="N451" s="78"/>
      <c r="O451" s="78">
        <f>SUM(M451:N451)</f>
        <v>213110</v>
      </c>
      <c r="P451" s="78"/>
      <c r="Q451" s="78">
        <f>SUM(O451:P451)</f>
        <v>213110</v>
      </c>
      <c r="R451" s="78"/>
      <c r="S451" s="78">
        <f>SUM(Q451:R451)</f>
        <v>213110</v>
      </c>
      <c r="T451" s="78"/>
      <c r="U451" s="78">
        <f>SUM(S451:T451)</f>
        <v>213110</v>
      </c>
      <c r="V451" s="78"/>
      <c r="W451" s="78">
        <f>SUM(U451:V451)</f>
        <v>213110</v>
      </c>
      <c r="X451" s="78"/>
      <c r="Y451" s="78">
        <f>SUM(W451:X451)</f>
        <v>213110</v>
      </c>
    </row>
    <row r="452" spans="1:25" s="26" customFormat="1" ht="21" customHeight="1">
      <c r="A452" s="65"/>
      <c r="B452" s="79" t="s">
        <v>140</v>
      </c>
      <c r="C452" s="83"/>
      <c r="D452" s="41" t="s">
        <v>6</v>
      </c>
      <c r="E452" s="78">
        <f aca="true" t="shared" si="342" ref="E452:K452">SUM(E454:E456)</f>
        <v>88000</v>
      </c>
      <c r="F452" s="78">
        <f t="shared" si="342"/>
        <v>0</v>
      </c>
      <c r="G452" s="78">
        <f t="shared" si="342"/>
        <v>88000</v>
      </c>
      <c r="H452" s="78">
        <f t="shared" si="342"/>
        <v>0</v>
      </c>
      <c r="I452" s="78">
        <f t="shared" si="342"/>
        <v>88000</v>
      </c>
      <c r="J452" s="78">
        <f t="shared" si="342"/>
        <v>-45000</v>
      </c>
      <c r="K452" s="78">
        <f t="shared" si="342"/>
        <v>43000</v>
      </c>
      <c r="L452" s="78">
        <f aca="true" t="shared" si="343" ref="L452:Q452">SUM(L454:L456)</f>
        <v>0</v>
      </c>
      <c r="M452" s="78">
        <f t="shared" si="343"/>
        <v>43000</v>
      </c>
      <c r="N452" s="78">
        <f t="shared" si="343"/>
        <v>0</v>
      </c>
      <c r="O452" s="78">
        <f t="shared" si="343"/>
        <v>43000</v>
      </c>
      <c r="P452" s="78">
        <f t="shared" si="343"/>
        <v>0</v>
      </c>
      <c r="Q452" s="78">
        <f t="shared" si="343"/>
        <v>43000</v>
      </c>
      <c r="R452" s="78">
        <f>SUM(R454:R456)</f>
        <v>0</v>
      </c>
      <c r="S452" s="78">
        <f>SUM(S454:S456)</f>
        <v>43000</v>
      </c>
      <c r="T452" s="78">
        <f>SUM(T454:T456)</f>
        <v>0</v>
      </c>
      <c r="U452" s="78">
        <f>SUM(U453:U456)</f>
        <v>43000</v>
      </c>
      <c r="V452" s="78">
        <f>SUM(V453:V456)</f>
        <v>11800</v>
      </c>
      <c r="W452" s="78">
        <f>SUM(W453:W456)</f>
        <v>54800</v>
      </c>
      <c r="X452" s="78">
        <f>SUM(X453:X456)</f>
        <v>0</v>
      </c>
      <c r="Y452" s="78">
        <f>SUM(Y453:Y456)</f>
        <v>54800</v>
      </c>
    </row>
    <row r="453" spans="1:25" s="26" customFormat="1" ht="21" customHeight="1">
      <c r="A453" s="65"/>
      <c r="B453" s="79"/>
      <c r="C453" s="83">
        <v>4210</v>
      </c>
      <c r="D453" s="41" t="s">
        <v>75</v>
      </c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>
        <v>0</v>
      </c>
      <c r="V453" s="78">
        <v>11800</v>
      </c>
      <c r="W453" s="78">
        <f>SUM(U453:V453)</f>
        <v>11800</v>
      </c>
      <c r="X453" s="78"/>
      <c r="Y453" s="78">
        <f>SUM(W453:X453)</f>
        <v>11800</v>
      </c>
    </row>
    <row r="454" spans="1:25" s="26" customFormat="1" ht="21" customHeight="1">
      <c r="A454" s="65"/>
      <c r="B454" s="84"/>
      <c r="C454" s="65">
        <v>4260</v>
      </c>
      <c r="D454" s="41" t="s">
        <v>98</v>
      </c>
      <c r="E454" s="78">
        <v>7000</v>
      </c>
      <c r="F454" s="78"/>
      <c r="G454" s="78">
        <f t="shared" si="332"/>
        <v>7000</v>
      </c>
      <c r="H454" s="78"/>
      <c r="I454" s="78">
        <f>SUM(G454:H454)</f>
        <v>7000</v>
      </c>
      <c r="J454" s="78"/>
      <c r="K454" s="78">
        <f>SUM(I454:J454)</f>
        <v>7000</v>
      </c>
      <c r="L454" s="78"/>
      <c r="M454" s="78">
        <f>SUM(K454:L454)</f>
        <v>7000</v>
      </c>
      <c r="N454" s="78"/>
      <c r="O454" s="78">
        <f>SUM(M454:N454)</f>
        <v>7000</v>
      </c>
      <c r="P454" s="78"/>
      <c r="Q454" s="78">
        <f>SUM(O454:P454)</f>
        <v>7000</v>
      </c>
      <c r="R454" s="78"/>
      <c r="S454" s="78">
        <f>SUM(Q454:R454)</f>
        <v>7000</v>
      </c>
      <c r="T454" s="78"/>
      <c r="U454" s="78">
        <f>SUM(S454:T454)</f>
        <v>7000</v>
      </c>
      <c r="V454" s="78"/>
      <c r="W454" s="78">
        <f>SUM(U454:V454)</f>
        <v>7000</v>
      </c>
      <c r="X454" s="78"/>
      <c r="Y454" s="78">
        <f>SUM(W454:X454)</f>
        <v>7000</v>
      </c>
    </row>
    <row r="455" spans="1:25" s="26" customFormat="1" ht="21" customHeight="1">
      <c r="A455" s="65"/>
      <c r="B455" s="84"/>
      <c r="C455" s="83">
        <v>4300</v>
      </c>
      <c r="D455" s="87" t="s">
        <v>82</v>
      </c>
      <c r="E455" s="78">
        <f>45000+8000+26000</f>
        <v>79000</v>
      </c>
      <c r="F455" s="78"/>
      <c r="G455" s="78">
        <f t="shared" si="332"/>
        <v>79000</v>
      </c>
      <c r="H455" s="78"/>
      <c r="I455" s="78">
        <f>SUM(G455:H455)</f>
        <v>79000</v>
      </c>
      <c r="J455" s="78">
        <v>-45000</v>
      </c>
      <c r="K455" s="78">
        <f>SUM(I455:J455)</f>
        <v>34000</v>
      </c>
      <c r="L455" s="78"/>
      <c r="M455" s="78">
        <f>SUM(K455:L455)</f>
        <v>34000</v>
      </c>
      <c r="N455" s="78"/>
      <c r="O455" s="78">
        <f>SUM(M455:N455)</f>
        <v>34000</v>
      </c>
      <c r="P455" s="78"/>
      <c r="Q455" s="78">
        <f>SUM(O455:P455)</f>
        <v>34000</v>
      </c>
      <c r="R455" s="78"/>
      <c r="S455" s="78">
        <f>SUM(Q455:R455)</f>
        <v>34000</v>
      </c>
      <c r="T455" s="78"/>
      <c r="U455" s="78">
        <f>SUM(S455:T455)</f>
        <v>34000</v>
      </c>
      <c r="V455" s="78"/>
      <c r="W455" s="78">
        <f>SUM(U455:V455)</f>
        <v>34000</v>
      </c>
      <c r="X455" s="78"/>
      <c r="Y455" s="78">
        <f>SUM(W455:X455)</f>
        <v>34000</v>
      </c>
    </row>
    <row r="456" spans="1:25" s="26" customFormat="1" ht="24">
      <c r="A456" s="65"/>
      <c r="B456" s="84"/>
      <c r="C456" s="83">
        <v>4390</v>
      </c>
      <c r="D456" s="41" t="s">
        <v>289</v>
      </c>
      <c r="E456" s="78">
        <v>2000</v>
      </c>
      <c r="F456" s="78"/>
      <c r="G456" s="78">
        <f t="shared" si="332"/>
        <v>2000</v>
      </c>
      <c r="H456" s="78"/>
      <c r="I456" s="78">
        <f>SUM(G456:H456)</f>
        <v>2000</v>
      </c>
      <c r="J456" s="78"/>
      <c r="K456" s="78">
        <f>SUM(I456:J456)</f>
        <v>2000</v>
      </c>
      <c r="L456" s="78"/>
      <c r="M456" s="78">
        <f>SUM(K456:L456)</f>
        <v>2000</v>
      </c>
      <c r="N456" s="78"/>
      <c r="O456" s="78">
        <f>SUM(M456:N456)</f>
        <v>2000</v>
      </c>
      <c r="P456" s="78"/>
      <c r="Q456" s="78">
        <f>SUM(O456:P456)</f>
        <v>2000</v>
      </c>
      <c r="R456" s="78"/>
      <c r="S456" s="78">
        <f>SUM(Q456:R456)</f>
        <v>2000</v>
      </c>
      <c r="T456" s="78"/>
      <c r="U456" s="78">
        <f>SUM(S456:T456)</f>
        <v>2000</v>
      </c>
      <c r="V456" s="78"/>
      <c r="W456" s="78">
        <f>SUM(U456:V456)</f>
        <v>2000</v>
      </c>
      <c r="X456" s="78"/>
      <c r="Y456" s="78">
        <f>SUM(W456:X456)</f>
        <v>2000</v>
      </c>
    </row>
    <row r="457" spans="1:25" s="8" customFormat="1" ht="25.5" customHeight="1">
      <c r="A457" s="36" t="s">
        <v>65</v>
      </c>
      <c r="B457" s="37"/>
      <c r="C457" s="38"/>
      <c r="D457" s="39" t="s">
        <v>141</v>
      </c>
      <c r="E457" s="40">
        <f aca="true" t="shared" si="344" ref="E457:K457">SUM(E458,E465,E467,E469,E471)</f>
        <v>2653147</v>
      </c>
      <c r="F457" s="40">
        <f t="shared" si="344"/>
        <v>128000</v>
      </c>
      <c r="G457" s="40">
        <f t="shared" si="344"/>
        <v>2781147</v>
      </c>
      <c r="H457" s="40">
        <f t="shared" si="344"/>
        <v>0</v>
      </c>
      <c r="I457" s="40">
        <f t="shared" si="344"/>
        <v>2781147</v>
      </c>
      <c r="J457" s="40">
        <f t="shared" si="344"/>
        <v>7400</v>
      </c>
      <c r="K457" s="40">
        <f t="shared" si="344"/>
        <v>2788547</v>
      </c>
      <c r="L457" s="40">
        <f aca="true" t="shared" si="345" ref="L457:Q457">SUM(L458,L465,L467,L469,L471)</f>
        <v>2500</v>
      </c>
      <c r="M457" s="40">
        <f t="shared" si="345"/>
        <v>2791047</v>
      </c>
      <c r="N457" s="40">
        <f t="shared" si="345"/>
        <v>0</v>
      </c>
      <c r="O457" s="40">
        <f t="shared" si="345"/>
        <v>2791047</v>
      </c>
      <c r="P457" s="40">
        <f t="shared" si="345"/>
        <v>0</v>
      </c>
      <c r="Q457" s="40">
        <f t="shared" si="345"/>
        <v>2791047</v>
      </c>
      <c r="R457" s="40">
        <f aca="true" t="shared" si="346" ref="R457:W457">SUM(R458,R465,R467,R469,R471)</f>
        <v>0</v>
      </c>
      <c r="S457" s="40">
        <f t="shared" si="346"/>
        <v>2791047</v>
      </c>
      <c r="T457" s="40">
        <f t="shared" si="346"/>
        <v>0</v>
      </c>
      <c r="U457" s="40">
        <f t="shared" si="346"/>
        <v>2791047</v>
      </c>
      <c r="V457" s="40">
        <f t="shared" si="346"/>
        <v>0</v>
      </c>
      <c r="W457" s="40">
        <f t="shared" si="346"/>
        <v>2791047</v>
      </c>
      <c r="X457" s="40">
        <f>SUM(X458,X465,X467,X469,X471)</f>
        <v>0</v>
      </c>
      <c r="Y457" s="40">
        <f>SUM(Y458,Y465,Y467,Y469,Y471)</f>
        <v>2791047</v>
      </c>
    </row>
    <row r="458" spans="1:25" s="26" customFormat="1" ht="21.75" customHeight="1">
      <c r="A458" s="65"/>
      <c r="B458" s="79" t="s">
        <v>142</v>
      </c>
      <c r="C458" s="83"/>
      <c r="D458" s="41" t="s">
        <v>156</v>
      </c>
      <c r="E458" s="78">
        <f aca="true" t="shared" si="347" ref="E458:K458">SUM(E459:E464)</f>
        <v>838410</v>
      </c>
      <c r="F458" s="78">
        <f t="shared" si="347"/>
        <v>128000</v>
      </c>
      <c r="G458" s="78">
        <f t="shared" si="347"/>
        <v>966410</v>
      </c>
      <c r="H458" s="78">
        <f t="shared" si="347"/>
        <v>0</v>
      </c>
      <c r="I458" s="78">
        <f t="shared" si="347"/>
        <v>966410</v>
      </c>
      <c r="J458" s="78">
        <f t="shared" si="347"/>
        <v>4000</v>
      </c>
      <c r="K458" s="78">
        <f t="shared" si="347"/>
        <v>970410</v>
      </c>
      <c r="L458" s="78">
        <f aca="true" t="shared" si="348" ref="L458:Q458">SUM(L459:L464)</f>
        <v>2500</v>
      </c>
      <c r="M458" s="78">
        <f t="shared" si="348"/>
        <v>972910</v>
      </c>
      <c r="N458" s="78">
        <f t="shared" si="348"/>
        <v>0</v>
      </c>
      <c r="O458" s="78">
        <f t="shared" si="348"/>
        <v>972910</v>
      </c>
      <c r="P458" s="78">
        <f t="shared" si="348"/>
        <v>0</v>
      </c>
      <c r="Q458" s="78">
        <f t="shared" si="348"/>
        <v>972910</v>
      </c>
      <c r="R458" s="78">
        <f aca="true" t="shared" si="349" ref="R458:W458">SUM(R459:R464)</f>
        <v>0</v>
      </c>
      <c r="S458" s="78">
        <f t="shared" si="349"/>
        <v>972910</v>
      </c>
      <c r="T458" s="78">
        <f t="shared" si="349"/>
        <v>0</v>
      </c>
      <c r="U458" s="78">
        <f t="shared" si="349"/>
        <v>972910</v>
      </c>
      <c r="V458" s="78">
        <f t="shared" si="349"/>
        <v>0</v>
      </c>
      <c r="W458" s="78">
        <f t="shared" si="349"/>
        <v>972910</v>
      </c>
      <c r="X458" s="78">
        <f>SUM(X459:X464)</f>
        <v>0</v>
      </c>
      <c r="Y458" s="78">
        <f>SUM(Y459:Y464)</f>
        <v>972910</v>
      </c>
    </row>
    <row r="459" spans="1:25" s="26" customFormat="1" ht="24">
      <c r="A459" s="65"/>
      <c r="B459" s="79"/>
      <c r="C459" s="83">
        <v>2480</v>
      </c>
      <c r="D459" s="41" t="s">
        <v>198</v>
      </c>
      <c r="E459" s="78">
        <v>725435</v>
      </c>
      <c r="F459" s="78">
        <f>-10000-5000-10000-10000-15000+83000-5000</f>
        <v>28000</v>
      </c>
      <c r="G459" s="78">
        <f t="shared" si="332"/>
        <v>753435</v>
      </c>
      <c r="H459" s="78"/>
      <c r="I459" s="78">
        <f aca="true" t="shared" si="350" ref="I459:I464">SUM(G459:H459)</f>
        <v>753435</v>
      </c>
      <c r="J459" s="78">
        <v>4000</v>
      </c>
      <c r="K459" s="78">
        <f aca="true" t="shared" si="351" ref="K459:K464">SUM(I459:J459)</f>
        <v>757435</v>
      </c>
      <c r="L459" s="78"/>
      <c r="M459" s="78">
        <f aca="true" t="shared" si="352" ref="M459:M464">SUM(K459:L459)</f>
        <v>757435</v>
      </c>
      <c r="N459" s="78"/>
      <c r="O459" s="78">
        <f aca="true" t="shared" si="353" ref="O459:O464">SUM(M459:N459)</f>
        <v>757435</v>
      </c>
      <c r="P459" s="78"/>
      <c r="Q459" s="78">
        <f aca="true" t="shared" si="354" ref="Q459:Q464">SUM(O459:P459)</f>
        <v>757435</v>
      </c>
      <c r="R459" s="78"/>
      <c r="S459" s="78">
        <f aca="true" t="shared" si="355" ref="S459:S464">SUM(Q459:R459)</f>
        <v>757435</v>
      </c>
      <c r="T459" s="78"/>
      <c r="U459" s="78">
        <f aca="true" t="shared" si="356" ref="U459:U464">SUM(S459:T459)</f>
        <v>757435</v>
      </c>
      <c r="V459" s="78"/>
      <c r="W459" s="78">
        <f aca="true" t="shared" si="357" ref="W459:W464">SUM(U459:V459)</f>
        <v>757435</v>
      </c>
      <c r="X459" s="78"/>
      <c r="Y459" s="78">
        <f aca="true" t="shared" si="358" ref="Y459:Y464">SUM(W459:X459)</f>
        <v>757435</v>
      </c>
    </row>
    <row r="460" spans="1:25" s="26" customFormat="1" ht="21" customHeight="1">
      <c r="A460" s="65"/>
      <c r="B460" s="79"/>
      <c r="C460" s="65">
        <v>4210</v>
      </c>
      <c r="D460" s="41" t="s">
        <v>95</v>
      </c>
      <c r="E460" s="78">
        <v>33580</v>
      </c>
      <c r="F460" s="78"/>
      <c r="G460" s="78">
        <f t="shared" si="332"/>
        <v>33580</v>
      </c>
      <c r="H460" s="78"/>
      <c r="I460" s="78">
        <f t="shared" si="350"/>
        <v>33580</v>
      </c>
      <c r="J460" s="78"/>
      <c r="K460" s="78">
        <f t="shared" si="351"/>
        <v>33580</v>
      </c>
      <c r="L460" s="78"/>
      <c r="M460" s="78">
        <f t="shared" si="352"/>
        <v>33580</v>
      </c>
      <c r="N460" s="78">
        <v>50</v>
      </c>
      <c r="O460" s="78">
        <f t="shared" si="353"/>
        <v>33630</v>
      </c>
      <c r="P460" s="78"/>
      <c r="Q460" s="78">
        <f t="shared" si="354"/>
        <v>33630</v>
      </c>
      <c r="R460" s="78"/>
      <c r="S460" s="78">
        <f t="shared" si="355"/>
        <v>33630</v>
      </c>
      <c r="T460" s="78"/>
      <c r="U460" s="78">
        <f t="shared" si="356"/>
        <v>33630</v>
      </c>
      <c r="V460" s="78"/>
      <c r="W460" s="78">
        <f t="shared" si="357"/>
        <v>33630</v>
      </c>
      <c r="X460" s="78"/>
      <c r="Y460" s="78">
        <f t="shared" si="358"/>
        <v>33630</v>
      </c>
    </row>
    <row r="461" spans="1:25" s="26" customFormat="1" ht="21" customHeight="1">
      <c r="A461" s="65"/>
      <c r="B461" s="79"/>
      <c r="C461" s="65">
        <v>4260</v>
      </c>
      <c r="D461" s="41" t="s">
        <v>98</v>
      </c>
      <c r="E461" s="78">
        <v>12650</v>
      </c>
      <c r="F461" s="78"/>
      <c r="G461" s="78">
        <f t="shared" si="332"/>
        <v>12650</v>
      </c>
      <c r="H461" s="78"/>
      <c r="I461" s="78">
        <f t="shared" si="350"/>
        <v>12650</v>
      </c>
      <c r="J461" s="78"/>
      <c r="K461" s="78">
        <f t="shared" si="351"/>
        <v>12650</v>
      </c>
      <c r="L461" s="78"/>
      <c r="M461" s="78">
        <f t="shared" si="352"/>
        <v>12650</v>
      </c>
      <c r="N461" s="78">
        <f>-50+1990</f>
        <v>1940</v>
      </c>
      <c r="O461" s="78">
        <f t="shared" si="353"/>
        <v>14590</v>
      </c>
      <c r="P461" s="78"/>
      <c r="Q461" s="78">
        <f t="shared" si="354"/>
        <v>14590</v>
      </c>
      <c r="R461" s="78">
        <v>500</v>
      </c>
      <c r="S461" s="78">
        <f t="shared" si="355"/>
        <v>15090</v>
      </c>
      <c r="T461" s="78"/>
      <c r="U461" s="78">
        <f t="shared" si="356"/>
        <v>15090</v>
      </c>
      <c r="V461" s="78"/>
      <c r="W461" s="78">
        <f t="shared" si="357"/>
        <v>15090</v>
      </c>
      <c r="X461" s="78"/>
      <c r="Y461" s="78">
        <f t="shared" si="358"/>
        <v>15090</v>
      </c>
    </row>
    <row r="462" spans="1:25" s="26" customFormat="1" ht="21" customHeight="1">
      <c r="A462" s="65"/>
      <c r="B462" s="79"/>
      <c r="C462" s="65">
        <v>4270</v>
      </c>
      <c r="D462" s="41" t="s">
        <v>81</v>
      </c>
      <c r="E462" s="78">
        <v>56770</v>
      </c>
      <c r="F462" s="78">
        <v>100000</v>
      </c>
      <c r="G462" s="78">
        <f t="shared" si="332"/>
        <v>156770</v>
      </c>
      <c r="H462" s="78"/>
      <c r="I462" s="78">
        <f t="shared" si="350"/>
        <v>156770</v>
      </c>
      <c r="J462" s="78"/>
      <c r="K462" s="78">
        <f t="shared" si="351"/>
        <v>156770</v>
      </c>
      <c r="L462" s="78">
        <v>2500</v>
      </c>
      <c r="M462" s="78">
        <f t="shared" si="352"/>
        <v>159270</v>
      </c>
      <c r="N462" s="78">
        <v>-1990</v>
      </c>
      <c r="O462" s="78">
        <f t="shared" si="353"/>
        <v>157280</v>
      </c>
      <c r="P462" s="78"/>
      <c r="Q462" s="78">
        <f t="shared" si="354"/>
        <v>157280</v>
      </c>
      <c r="R462" s="78">
        <v>-500</v>
      </c>
      <c r="S462" s="78">
        <f t="shared" si="355"/>
        <v>156780</v>
      </c>
      <c r="T462" s="78"/>
      <c r="U462" s="78">
        <f t="shared" si="356"/>
        <v>156780</v>
      </c>
      <c r="V462" s="78"/>
      <c r="W462" s="78">
        <f t="shared" si="357"/>
        <v>156780</v>
      </c>
      <c r="X462" s="78"/>
      <c r="Y462" s="78">
        <f t="shared" si="358"/>
        <v>156780</v>
      </c>
    </row>
    <row r="463" spans="1:25" s="26" customFormat="1" ht="21" customHeight="1">
      <c r="A463" s="65"/>
      <c r="B463" s="79"/>
      <c r="C463" s="83">
        <v>4300</v>
      </c>
      <c r="D463" s="87" t="s">
        <v>82</v>
      </c>
      <c r="E463" s="78">
        <v>8340</v>
      </c>
      <c r="F463" s="78"/>
      <c r="G463" s="78">
        <f t="shared" si="332"/>
        <v>8340</v>
      </c>
      <c r="H463" s="78"/>
      <c r="I463" s="78">
        <f t="shared" si="350"/>
        <v>8340</v>
      </c>
      <c r="J463" s="78"/>
      <c r="K463" s="78">
        <f t="shared" si="351"/>
        <v>8340</v>
      </c>
      <c r="L463" s="78"/>
      <c r="M463" s="78">
        <f t="shared" si="352"/>
        <v>8340</v>
      </c>
      <c r="N463" s="78"/>
      <c r="O463" s="78">
        <f t="shared" si="353"/>
        <v>8340</v>
      </c>
      <c r="P463" s="78"/>
      <c r="Q463" s="78">
        <f t="shared" si="354"/>
        <v>8340</v>
      </c>
      <c r="R463" s="78"/>
      <c r="S463" s="78">
        <f t="shared" si="355"/>
        <v>8340</v>
      </c>
      <c r="T463" s="78"/>
      <c r="U463" s="78">
        <f t="shared" si="356"/>
        <v>8340</v>
      </c>
      <c r="V463" s="78"/>
      <c r="W463" s="78">
        <f t="shared" si="357"/>
        <v>8340</v>
      </c>
      <c r="X463" s="78"/>
      <c r="Y463" s="78">
        <f t="shared" si="358"/>
        <v>8340</v>
      </c>
    </row>
    <row r="464" spans="1:25" s="26" customFormat="1" ht="21" customHeight="1">
      <c r="A464" s="65"/>
      <c r="B464" s="79"/>
      <c r="C464" s="83">
        <v>4430</v>
      </c>
      <c r="D464" s="87" t="s">
        <v>97</v>
      </c>
      <c r="E464" s="78">
        <v>1635</v>
      </c>
      <c r="F464" s="78"/>
      <c r="G464" s="78">
        <f t="shared" si="332"/>
        <v>1635</v>
      </c>
      <c r="H464" s="78"/>
      <c r="I464" s="78">
        <f t="shared" si="350"/>
        <v>1635</v>
      </c>
      <c r="J464" s="78"/>
      <c r="K464" s="78">
        <f t="shared" si="351"/>
        <v>1635</v>
      </c>
      <c r="L464" s="78"/>
      <c r="M464" s="78">
        <f t="shared" si="352"/>
        <v>1635</v>
      </c>
      <c r="N464" s="78"/>
      <c r="O464" s="78">
        <f t="shared" si="353"/>
        <v>1635</v>
      </c>
      <c r="P464" s="78"/>
      <c r="Q464" s="78">
        <f t="shared" si="354"/>
        <v>1635</v>
      </c>
      <c r="R464" s="78"/>
      <c r="S464" s="78">
        <f t="shared" si="355"/>
        <v>1635</v>
      </c>
      <c r="T464" s="78"/>
      <c r="U464" s="78">
        <f t="shared" si="356"/>
        <v>1635</v>
      </c>
      <c r="V464" s="78"/>
      <c r="W464" s="78">
        <f t="shared" si="357"/>
        <v>1635</v>
      </c>
      <c r="X464" s="78"/>
      <c r="Y464" s="78">
        <f t="shared" si="358"/>
        <v>1635</v>
      </c>
    </row>
    <row r="465" spans="1:25" s="26" customFormat="1" ht="21" customHeight="1">
      <c r="A465" s="65"/>
      <c r="B465" s="79" t="s">
        <v>66</v>
      </c>
      <c r="C465" s="83"/>
      <c r="D465" s="41" t="s">
        <v>67</v>
      </c>
      <c r="E465" s="78">
        <f aca="true" t="shared" si="359" ref="E465:Y465">E466</f>
        <v>1091087</v>
      </c>
      <c r="F465" s="78">
        <f t="shared" si="359"/>
        <v>0</v>
      </c>
      <c r="G465" s="78">
        <f t="shared" si="359"/>
        <v>1091087</v>
      </c>
      <c r="H465" s="78">
        <f t="shared" si="359"/>
        <v>0</v>
      </c>
      <c r="I465" s="78">
        <f t="shared" si="359"/>
        <v>1091087</v>
      </c>
      <c r="J465" s="78">
        <f t="shared" si="359"/>
        <v>0</v>
      </c>
      <c r="K465" s="78">
        <f t="shared" si="359"/>
        <v>1091087</v>
      </c>
      <c r="L465" s="78">
        <f t="shared" si="359"/>
        <v>0</v>
      </c>
      <c r="M465" s="78">
        <f t="shared" si="359"/>
        <v>1091087</v>
      </c>
      <c r="N465" s="78">
        <f t="shared" si="359"/>
        <v>0</v>
      </c>
      <c r="O465" s="78">
        <f t="shared" si="359"/>
        <v>1091087</v>
      </c>
      <c r="P465" s="78">
        <f t="shared" si="359"/>
        <v>0</v>
      </c>
      <c r="Q465" s="78">
        <f t="shared" si="359"/>
        <v>1091087</v>
      </c>
      <c r="R465" s="78">
        <f t="shared" si="359"/>
        <v>0</v>
      </c>
      <c r="S465" s="78">
        <f t="shared" si="359"/>
        <v>1091087</v>
      </c>
      <c r="T465" s="78">
        <f t="shared" si="359"/>
        <v>0</v>
      </c>
      <c r="U465" s="78">
        <f t="shared" si="359"/>
        <v>1091087</v>
      </c>
      <c r="V465" s="78">
        <f t="shared" si="359"/>
        <v>0</v>
      </c>
      <c r="W465" s="78">
        <f t="shared" si="359"/>
        <v>1091087</v>
      </c>
      <c r="X465" s="78">
        <f t="shared" si="359"/>
        <v>0</v>
      </c>
      <c r="Y465" s="78">
        <f t="shared" si="359"/>
        <v>1091087</v>
      </c>
    </row>
    <row r="466" spans="1:25" s="26" customFormat="1" ht="30.75" customHeight="1">
      <c r="A466" s="65"/>
      <c r="B466" s="79"/>
      <c r="C466" s="83">
        <v>2480</v>
      </c>
      <c r="D466" s="41" t="s">
        <v>198</v>
      </c>
      <c r="E466" s="78">
        <f>60000+1031087</f>
        <v>1091087</v>
      </c>
      <c r="F466" s="78"/>
      <c r="G466" s="78">
        <f t="shared" si="332"/>
        <v>1091087</v>
      </c>
      <c r="H466" s="78"/>
      <c r="I466" s="78">
        <f>SUM(G466:H466)</f>
        <v>1091087</v>
      </c>
      <c r="J466" s="78"/>
      <c r="K466" s="78">
        <f>SUM(I466:J466)</f>
        <v>1091087</v>
      </c>
      <c r="L466" s="78"/>
      <c r="M466" s="78">
        <f>SUM(K466:L466)</f>
        <v>1091087</v>
      </c>
      <c r="N466" s="78"/>
      <c r="O466" s="78">
        <f>SUM(M466:N466)</f>
        <v>1091087</v>
      </c>
      <c r="P466" s="78"/>
      <c r="Q466" s="78">
        <f>SUM(O466:P466)</f>
        <v>1091087</v>
      </c>
      <c r="R466" s="78"/>
      <c r="S466" s="78">
        <f>SUM(Q466:R466)</f>
        <v>1091087</v>
      </c>
      <c r="T466" s="78"/>
      <c r="U466" s="78">
        <f>SUM(S466:T466)</f>
        <v>1091087</v>
      </c>
      <c r="V466" s="78"/>
      <c r="W466" s="78">
        <f>SUM(U466:V466)</f>
        <v>1091087</v>
      </c>
      <c r="X466" s="78"/>
      <c r="Y466" s="78">
        <f>SUM(W466:X466)</f>
        <v>1091087</v>
      </c>
    </row>
    <row r="467" spans="1:25" s="26" customFormat="1" ht="21" customHeight="1">
      <c r="A467" s="65"/>
      <c r="B467" s="79" t="s">
        <v>143</v>
      </c>
      <c r="C467" s="83"/>
      <c r="D467" s="41" t="s">
        <v>144</v>
      </c>
      <c r="E467" s="78">
        <f aca="true" t="shared" si="360" ref="E467:Y467">E468</f>
        <v>686000</v>
      </c>
      <c r="F467" s="78">
        <f t="shared" si="360"/>
        <v>0</v>
      </c>
      <c r="G467" s="78">
        <f t="shared" si="360"/>
        <v>686000</v>
      </c>
      <c r="H467" s="78">
        <f t="shared" si="360"/>
        <v>0</v>
      </c>
      <c r="I467" s="78">
        <f t="shared" si="360"/>
        <v>686000</v>
      </c>
      <c r="J467" s="78">
        <f t="shared" si="360"/>
        <v>3400</v>
      </c>
      <c r="K467" s="78">
        <f t="shared" si="360"/>
        <v>689400</v>
      </c>
      <c r="L467" s="78">
        <f t="shared" si="360"/>
        <v>0</v>
      </c>
      <c r="M467" s="78">
        <f t="shared" si="360"/>
        <v>689400</v>
      </c>
      <c r="N467" s="78">
        <f t="shared" si="360"/>
        <v>0</v>
      </c>
      <c r="O467" s="78">
        <f t="shared" si="360"/>
        <v>689400</v>
      </c>
      <c r="P467" s="78">
        <f t="shared" si="360"/>
        <v>0</v>
      </c>
      <c r="Q467" s="78">
        <f t="shared" si="360"/>
        <v>689400</v>
      </c>
      <c r="R467" s="78">
        <f t="shared" si="360"/>
        <v>0</v>
      </c>
      <c r="S467" s="78">
        <f t="shared" si="360"/>
        <v>689400</v>
      </c>
      <c r="T467" s="78">
        <f t="shared" si="360"/>
        <v>0</v>
      </c>
      <c r="U467" s="78">
        <f t="shared" si="360"/>
        <v>689400</v>
      </c>
      <c r="V467" s="78">
        <f t="shared" si="360"/>
        <v>0</v>
      </c>
      <c r="W467" s="78">
        <f t="shared" si="360"/>
        <v>689400</v>
      </c>
      <c r="X467" s="78">
        <f t="shared" si="360"/>
        <v>0</v>
      </c>
      <c r="Y467" s="78">
        <f t="shared" si="360"/>
        <v>689400</v>
      </c>
    </row>
    <row r="468" spans="1:25" s="26" customFormat="1" ht="33.75" customHeight="1">
      <c r="A468" s="65"/>
      <c r="B468" s="79"/>
      <c r="C468" s="83">
        <v>2480</v>
      </c>
      <c r="D468" s="41" t="s">
        <v>198</v>
      </c>
      <c r="E468" s="78">
        <v>686000</v>
      </c>
      <c r="F468" s="78"/>
      <c r="G468" s="78">
        <f t="shared" si="332"/>
        <v>686000</v>
      </c>
      <c r="H468" s="78"/>
      <c r="I468" s="78">
        <f>SUM(G468:H468)</f>
        <v>686000</v>
      </c>
      <c r="J468" s="78">
        <v>3400</v>
      </c>
      <c r="K468" s="78">
        <f>SUM(I468:J468)</f>
        <v>689400</v>
      </c>
      <c r="L468" s="78"/>
      <c r="M468" s="78">
        <f>SUM(K468:L468)</f>
        <v>689400</v>
      </c>
      <c r="N468" s="78"/>
      <c r="O468" s="78">
        <f>SUM(M468:N468)</f>
        <v>689400</v>
      </c>
      <c r="P468" s="78"/>
      <c r="Q468" s="78">
        <f>SUM(O468:P468)</f>
        <v>689400</v>
      </c>
      <c r="R468" s="78"/>
      <c r="S468" s="78">
        <f>SUM(Q468:R468)</f>
        <v>689400</v>
      </c>
      <c r="T468" s="78"/>
      <c r="U468" s="78">
        <f>SUM(S468:T468)</f>
        <v>689400</v>
      </c>
      <c r="V468" s="78"/>
      <c r="W468" s="78">
        <f>SUM(U468:V468)</f>
        <v>689400</v>
      </c>
      <c r="X468" s="78"/>
      <c r="Y468" s="78">
        <f>SUM(W468:X468)</f>
        <v>689400</v>
      </c>
    </row>
    <row r="469" spans="1:25" s="26" customFormat="1" ht="21" customHeight="1">
      <c r="A469" s="65"/>
      <c r="B469" s="79">
        <v>92120</v>
      </c>
      <c r="C469" s="83"/>
      <c r="D469" s="41" t="s">
        <v>325</v>
      </c>
      <c r="E469" s="78">
        <f aca="true" t="shared" si="361" ref="E469:Y469">SUM(E470)</f>
        <v>22650</v>
      </c>
      <c r="F469" s="78">
        <f t="shared" si="361"/>
        <v>0</v>
      </c>
      <c r="G469" s="78">
        <f t="shared" si="361"/>
        <v>22650</v>
      </c>
      <c r="H469" s="78">
        <f t="shared" si="361"/>
        <v>0</v>
      </c>
      <c r="I469" s="78">
        <f t="shared" si="361"/>
        <v>22650</v>
      </c>
      <c r="J469" s="78">
        <f t="shared" si="361"/>
        <v>0</v>
      </c>
      <c r="K469" s="78">
        <f t="shared" si="361"/>
        <v>22650</v>
      </c>
      <c r="L469" s="78">
        <f t="shared" si="361"/>
        <v>0</v>
      </c>
      <c r="M469" s="78">
        <f t="shared" si="361"/>
        <v>22650</v>
      </c>
      <c r="N469" s="78">
        <f t="shared" si="361"/>
        <v>0</v>
      </c>
      <c r="O469" s="78">
        <f t="shared" si="361"/>
        <v>22650</v>
      </c>
      <c r="P469" s="78">
        <f t="shared" si="361"/>
        <v>0</v>
      </c>
      <c r="Q469" s="78">
        <f t="shared" si="361"/>
        <v>22650</v>
      </c>
      <c r="R469" s="78">
        <f t="shared" si="361"/>
        <v>0</v>
      </c>
      <c r="S469" s="78">
        <f t="shared" si="361"/>
        <v>22650</v>
      </c>
      <c r="T469" s="78">
        <f t="shared" si="361"/>
        <v>0</v>
      </c>
      <c r="U469" s="78">
        <f t="shared" si="361"/>
        <v>22650</v>
      </c>
      <c r="V469" s="78">
        <f t="shared" si="361"/>
        <v>0</v>
      </c>
      <c r="W469" s="78">
        <f t="shared" si="361"/>
        <v>22650</v>
      </c>
      <c r="X469" s="78">
        <f t="shared" si="361"/>
        <v>0</v>
      </c>
      <c r="Y469" s="78">
        <f t="shared" si="361"/>
        <v>22650</v>
      </c>
    </row>
    <row r="470" spans="1:25" s="26" customFormat="1" ht="69" customHeight="1">
      <c r="A470" s="65"/>
      <c r="B470" s="79"/>
      <c r="C470" s="83">
        <v>2720</v>
      </c>
      <c r="D470" s="41" t="s">
        <v>326</v>
      </c>
      <c r="E470" s="78">
        <v>22650</v>
      </c>
      <c r="F470" s="78"/>
      <c r="G470" s="78">
        <f t="shared" si="332"/>
        <v>22650</v>
      </c>
      <c r="H470" s="78"/>
      <c r="I470" s="78">
        <f>SUM(G470:H470)</f>
        <v>22650</v>
      </c>
      <c r="J470" s="78"/>
      <c r="K470" s="78">
        <f>SUM(I470:J470)</f>
        <v>22650</v>
      </c>
      <c r="L470" s="78"/>
      <c r="M470" s="78">
        <f>SUM(K470:L470)</f>
        <v>22650</v>
      </c>
      <c r="N470" s="78"/>
      <c r="O470" s="78">
        <f>SUM(M470:N470)</f>
        <v>22650</v>
      </c>
      <c r="P470" s="78"/>
      <c r="Q470" s="78">
        <f>SUM(O470:P470)</f>
        <v>22650</v>
      </c>
      <c r="R470" s="78"/>
      <c r="S470" s="78">
        <f>SUM(Q470:R470)</f>
        <v>22650</v>
      </c>
      <c r="T470" s="78"/>
      <c r="U470" s="78">
        <f>SUM(S470:T470)</f>
        <v>22650</v>
      </c>
      <c r="V470" s="78"/>
      <c r="W470" s="78">
        <f>SUM(U470:V470)</f>
        <v>22650</v>
      </c>
      <c r="X470" s="78"/>
      <c r="Y470" s="78">
        <f>SUM(W470:X470)</f>
        <v>22650</v>
      </c>
    </row>
    <row r="471" spans="1:25" s="26" customFormat="1" ht="21" customHeight="1">
      <c r="A471" s="65"/>
      <c r="B471" s="79">
        <v>92195</v>
      </c>
      <c r="C471" s="83"/>
      <c r="D471" s="41" t="s">
        <v>6</v>
      </c>
      <c r="E471" s="78">
        <f aca="true" t="shared" si="362" ref="E471:Y471">SUM(E472)</f>
        <v>15000</v>
      </c>
      <c r="F471" s="78">
        <f t="shared" si="362"/>
        <v>0</v>
      </c>
      <c r="G471" s="78">
        <f t="shared" si="362"/>
        <v>15000</v>
      </c>
      <c r="H471" s="78">
        <f t="shared" si="362"/>
        <v>0</v>
      </c>
      <c r="I471" s="78">
        <f t="shared" si="362"/>
        <v>15000</v>
      </c>
      <c r="J471" s="78">
        <f t="shared" si="362"/>
        <v>0</v>
      </c>
      <c r="K471" s="78">
        <f t="shared" si="362"/>
        <v>15000</v>
      </c>
      <c r="L471" s="78">
        <f t="shared" si="362"/>
        <v>0</v>
      </c>
      <c r="M471" s="78">
        <f t="shared" si="362"/>
        <v>15000</v>
      </c>
      <c r="N471" s="78">
        <f t="shared" si="362"/>
        <v>0</v>
      </c>
      <c r="O471" s="78">
        <f t="shared" si="362"/>
        <v>15000</v>
      </c>
      <c r="P471" s="78">
        <f t="shared" si="362"/>
        <v>0</v>
      </c>
      <c r="Q471" s="78">
        <f t="shared" si="362"/>
        <v>15000</v>
      </c>
      <c r="R471" s="78">
        <f t="shared" si="362"/>
        <v>0</v>
      </c>
      <c r="S471" s="78">
        <f t="shared" si="362"/>
        <v>15000</v>
      </c>
      <c r="T471" s="78">
        <f t="shared" si="362"/>
        <v>0</v>
      </c>
      <c r="U471" s="78">
        <f t="shared" si="362"/>
        <v>15000</v>
      </c>
      <c r="V471" s="78">
        <f t="shared" si="362"/>
        <v>0</v>
      </c>
      <c r="W471" s="78">
        <f t="shared" si="362"/>
        <v>15000</v>
      </c>
      <c r="X471" s="78">
        <f t="shared" si="362"/>
        <v>0</v>
      </c>
      <c r="Y471" s="78">
        <f t="shared" si="362"/>
        <v>15000</v>
      </c>
    </row>
    <row r="472" spans="1:25" s="26" customFormat="1" ht="21" customHeight="1">
      <c r="A472" s="65"/>
      <c r="B472" s="79"/>
      <c r="C472" s="83">
        <v>4300</v>
      </c>
      <c r="D472" s="87" t="s">
        <v>82</v>
      </c>
      <c r="E472" s="78">
        <v>15000</v>
      </c>
      <c r="F472" s="78"/>
      <c r="G472" s="78">
        <f t="shared" si="332"/>
        <v>15000</v>
      </c>
      <c r="H472" s="78"/>
      <c r="I472" s="78">
        <f>SUM(G472:H472)</f>
        <v>15000</v>
      </c>
      <c r="J472" s="78"/>
      <c r="K472" s="78">
        <f>SUM(I472:J472)</f>
        <v>15000</v>
      </c>
      <c r="L472" s="78"/>
      <c r="M472" s="78">
        <f>SUM(K472:L472)</f>
        <v>15000</v>
      </c>
      <c r="N472" s="78"/>
      <c r="O472" s="78">
        <f>SUM(M472:N472)</f>
        <v>15000</v>
      </c>
      <c r="P472" s="78"/>
      <c r="Q472" s="78">
        <f>SUM(O472:P472)</f>
        <v>15000</v>
      </c>
      <c r="R472" s="78"/>
      <c r="S472" s="78">
        <f>SUM(Q472:R472)</f>
        <v>15000</v>
      </c>
      <c r="T472" s="78"/>
      <c r="U472" s="78">
        <f>SUM(S472:T472)</f>
        <v>15000</v>
      </c>
      <c r="V472" s="78"/>
      <c r="W472" s="78">
        <f>SUM(U472:V472)</f>
        <v>15000</v>
      </c>
      <c r="X472" s="78"/>
      <c r="Y472" s="78">
        <f>SUM(W472:X472)</f>
        <v>15000</v>
      </c>
    </row>
    <row r="473" spans="1:25" s="8" customFormat="1" ht="21" customHeight="1">
      <c r="A473" s="36" t="s">
        <v>145</v>
      </c>
      <c r="B473" s="37"/>
      <c r="C473" s="38"/>
      <c r="D473" s="39" t="s">
        <v>68</v>
      </c>
      <c r="E473" s="40">
        <f aca="true" t="shared" si="363" ref="E473:K473">SUM(E481,E477,E474)</f>
        <v>1388290</v>
      </c>
      <c r="F473" s="40">
        <f t="shared" si="363"/>
        <v>170000</v>
      </c>
      <c r="G473" s="40">
        <f t="shared" si="363"/>
        <v>1558290</v>
      </c>
      <c r="H473" s="40">
        <f t="shared" si="363"/>
        <v>447000</v>
      </c>
      <c r="I473" s="40">
        <f t="shared" si="363"/>
        <v>2005290</v>
      </c>
      <c r="J473" s="40">
        <f t="shared" si="363"/>
        <v>302800</v>
      </c>
      <c r="K473" s="40">
        <f t="shared" si="363"/>
        <v>2308090</v>
      </c>
      <c r="L473" s="40">
        <f aca="true" t="shared" si="364" ref="L473:Q473">SUM(L481,L477,L474)</f>
        <v>0</v>
      </c>
      <c r="M473" s="40">
        <f t="shared" si="364"/>
        <v>2308090</v>
      </c>
      <c r="N473" s="40">
        <f t="shared" si="364"/>
        <v>0</v>
      </c>
      <c r="O473" s="40">
        <f t="shared" si="364"/>
        <v>2308090</v>
      </c>
      <c r="P473" s="40">
        <f t="shared" si="364"/>
        <v>0</v>
      </c>
      <c r="Q473" s="40">
        <f t="shared" si="364"/>
        <v>2308090</v>
      </c>
      <c r="R473" s="40">
        <f aca="true" t="shared" si="365" ref="R473:W473">SUM(R481,R477,R474)</f>
        <v>25000</v>
      </c>
      <c r="S473" s="40">
        <f t="shared" si="365"/>
        <v>2333090</v>
      </c>
      <c r="T473" s="40">
        <f t="shared" si="365"/>
        <v>0</v>
      </c>
      <c r="U473" s="40">
        <f t="shared" si="365"/>
        <v>2333090</v>
      </c>
      <c r="V473" s="40">
        <f t="shared" si="365"/>
        <v>0</v>
      </c>
      <c r="W473" s="40">
        <f t="shared" si="365"/>
        <v>2333090</v>
      </c>
      <c r="X473" s="40">
        <f>SUM(X481,X477,X474)</f>
        <v>0</v>
      </c>
      <c r="Y473" s="40">
        <f>SUM(Y481,Y477,Y474)</f>
        <v>2333090</v>
      </c>
    </row>
    <row r="474" spans="1:25" s="26" customFormat="1" ht="21" customHeight="1">
      <c r="A474" s="65"/>
      <c r="B474" s="84">
        <v>92601</v>
      </c>
      <c r="C474" s="83"/>
      <c r="D474" s="41" t="s">
        <v>271</v>
      </c>
      <c r="E474" s="78">
        <f aca="true" t="shared" si="366" ref="E474:K474">SUM(E475,E476)</f>
        <v>50000</v>
      </c>
      <c r="F474" s="78">
        <f t="shared" si="366"/>
        <v>820000</v>
      </c>
      <c r="G474" s="78">
        <f t="shared" si="366"/>
        <v>870000</v>
      </c>
      <c r="H474" s="78">
        <f t="shared" si="366"/>
        <v>0</v>
      </c>
      <c r="I474" s="78">
        <f t="shared" si="366"/>
        <v>870000</v>
      </c>
      <c r="J474" s="78">
        <f t="shared" si="366"/>
        <v>0</v>
      </c>
      <c r="K474" s="78">
        <f t="shared" si="366"/>
        <v>870000</v>
      </c>
      <c r="L474" s="78">
        <f aca="true" t="shared" si="367" ref="L474:Q474">SUM(L475,L476)</f>
        <v>0</v>
      </c>
      <c r="M474" s="78">
        <f t="shared" si="367"/>
        <v>870000</v>
      </c>
      <c r="N474" s="78">
        <f t="shared" si="367"/>
        <v>0</v>
      </c>
      <c r="O474" s="78">
        <f t="shared" si="367"/>
        <v>870000</v>
      </c>
      <c r="P474" s="78">
        <f t="shared" si="367"/>
        <v>0</v>
      </c>
      <c r="Q474" s="78">
        <f t="shared" si="367"/>
        <v>870000</v>
      </c>
      <c r="R474" s="78">
        <f aca="true" t="shared" si="368" ref="R474:W474">SUM(R475,R476)</f>
        <v>25000</v>
      </c>
      <c r="S474" s="78">
        <f t="shared" si="368"/>
        <v>895000</v>
      </c>
      <c r="T474" s="78">
        <f t="shared" si="368"/>
        <v>0</v>
      </c>
      <c r="U474" s="78">
        <f t="shared" si="368"/>
        <v>895000</v>
      </c>
      <c r="V474" s="78">
        <f t="shared" si="368"/>
        <v>0</v>
      </c>
      <c r="W474" s="78">
        <f t="shared" si="368"/>
        <v>895000</v>
      </c>
      <c r="X474" s="78">
        <f>SUM(X475,X476)</f>
        <v>0</v>
      </c>
      <c r="Y474" s="78">
        <f>SUM(Y475,Y476)</f>
        <v>895000</v>
      </c>
    </row>
    <row r="475" spans="1:25" s="26" customFormat="1" ht="21" customHeight="1">
      <c r="A475" s="65"/>
      <c r="B475" s="84"/>
      <c r="C475" s="83">
        <v>4270</v>
      </c>
      <c r="D475" s="41" t="s">
        <v>81</v>
      </c>
      <c r="E475" s="78">
        <v>50000</v>
      </c>
      <c r="F475" s="78">
        <v>20000</v>
      </c>
      <c r="G475" s="78">
        <f t="shared" si="332"/>
        <v>70000</v>
      </c>
      <c r="H475" s="78"/>
      <c r="I475" s="78">
        <f>SUM(G475:H475)</f>
        <v>70000</v>
      </c>
      <c r="J475" s="78"/>
      <c r="K475" s="78">
        <f>SUM(I475:J475)</f>
        <v>70000</v>
      </c>
      <c r="L475" s="78"/>
      <c r="M475" s="78">
        <f>SUM(K475:L475)</f>
        <v>70000</v>
      </c>
      <c r="N475" s="78"/>
      <c r="O475" s="78">
        <f>SUM(M475:N475)</f>
        <v>70000</v>
      </c>
      <c r="P475" s="78"/>
      <c r="Q475" s="78">
        <f>SUM(O475:P475)</f>
        <v>70000</v>
      </c>
      <c r="R475" s="78"/>
      <c r="S475" s="78">
        <f>SUM(Q475:R475)</f>
        <v>70000</v>
      </c>
      <c r="T475" s="78"/>
      <c r="U475" s="78">
        <f>SUM(S475:T475)</f>
        <v>70000</v>
      </c>
      <c r="V475" s="78"/>
      <c r="W475" s="78">
        <f>SUM(U475:V475)</f>
        <v>70000</v>
      </c>
      <c r="X475" s="78"/>
      <c r="Y475" s="78">
        <f>SUM(W475:X475)</f>
        <v>70000</v>
      </c>
    </row>
    <row r="476" spans="1:25" s="26" customFormat="1" ht="24">
      <c r="A476" s="65"/>
      <c r="B476" s="84"/>
      <c r="C476" s="83">
        <v>6050</v>
      </c>
      <c r="D476" s="41" t="s">
        <v>76</v>
      </c>
      <c r="E476" s="78">
        <v>0</v>
      </c>
      <c r="F476" s="78">
        <f>450000+350000</f>
        <v>800000</v>
      </c>
      <c r="G476" s="78">
        <f>SUM(E476:F476)</f>
        <v>800000</v>
      </c>
      <c r="H476" s="78"/>
      <c r="I476" s="78">
        <f>SUM(G476:H476)</f>
        <v>800000</v>
      </c>
      <c r="J476" s="78"/>
      <c r="K476" s="78">
        <f>SUM(I476:J476)</f>
        <v>800000</v>
      </c>
      <c r="L476" s="78"/>
      <c r="M476" s="78">
        <f>SUM(K476:L476)</f>
        <v>800000</v>
      </c>
      <c r="N476" s="78"/>
      <c r="O476" s="78">
        <f>SUM(M476:N476)</f>
        <v>800000</v>
      </c>
      <c r="P476" s="78"/>
      <c r="Q476" s="78">
        <f>SUM(O476:P476)</f>
        <v>800000</v>
      </c>
      <c r="R476" s="78">
        <v>25000</v>
      </c>
      <c r="S476" s="78">
        <f>SUM(Q476:R476)</f>
        <v>825000</v>
      </c>
      <c r="T476" s="78"/>
      <c r="U476" s="78">
        <f>SUM(S476:T476)</f>
        <v>825000</v>
      </c>
      <c r="V476" s="78"/>
      <c r="W476" s="78">
        <f>SUM(U476:V476)</f>
        <v>825000</v>
      </c>
      <c r="X476" s="78"/>
      <c r="Y476" s="78">
        <f>SUM(W476:X476)</f>
        <v>825000</v>
      </c>
    </row>
    <row r="477" spans="1:25" s="26" customFormat="1" ht="21.75" customHeight="1">
      <c r="A477" s="65"/>
      <c r="B477" s="84">
        <v>92604</v>
      </c>
      <c r="C477" s="83"/>
      <c r="D477" s="41" t="s">
        <v>206</v>
      </c>
      <c r="E477" s="78">
        <f aca="true" t="shared" si="369" ref="E477:K477">SUM(E478:E480)</f>
        <v>910000</v>
      </c>
      <c r="F477" s="78">
        <f t="shared" si="369"/>
        <v>-350000</v>
      </c>
      <c r="G477" s="78">
        <f t="shared" si="369"/>
        <v>560000</v>
      </c>
      <c r="H477" s="78">
        <f t="shared" si="369"/>
        <v>0</v>
      </c>
      <c r="I477" s="78">
        <f t="shared" si="369"/>
        <v>560000</v>
      </c>
      <c r="J477" s="78">
        <f t="shared" si="369"/>
        <v>300000</v>
      </c>
      <c r="K477" s="78">
        <f t="shared" si="369"/>
        <v>860000</v>
      </c>
      <c r="L477" s="78">
        <f aca="true" t="shared" si="370" ref="L477:Q477">SUM(L478:L480)</f>
        <v>0</v>
      </c>
      <c r="M477" s="78">
        <f t="shared" si="370"/>
        <v>860000</v>
      </c>
      <c r="N477" s="78">
        <f t="shared" si="370"/>
        <v>0</v>
      </c>
      <c r="O477" s="78">
        <f t="shared" si="370"/>
        <v>860000</v>
      </c>
      <c r="P477" s="78">
        <f t="shared" si="370"/>
        <v>0</v>
      </c>
      <c r="Q477" s="78">
        <f t="shared" si="370"/>
        <v>860000</v>
      </c>
      <c r="R477" s="78">
        <f aca="true" t="shared" si="371" ref="R477:W477">SUM(R478:R480)</f>
        <v>0</v>
      </c>
      <c r="S477" s="78">
        <f t="shared" si="371"/>
        <v>860000</v>
      </c>
      <c r="T477" s="78">
        <f t="shared" si="371"/>
        <v>0</v>
      </c>
      <c r="U477" s="78">
        <f t="shared" si="371"/>
        <v>860000</v>
      </c>
      <c r="V477" s="78">
        <f t="shared" si="371"/>
        <v>0</v>
      </c>
      <c r="W477" s="78">
        <f t="shared" si="371"/>
        <v>860000</v>
      </c>
      <c r="X477" s="78">
        <f>SUM(X478:X480)</f>
        <v>0</v>
      </c>
      <c r="Y477" s="78">
        <f>SUM(Y478:Y480)</f>
        <v>860000</v>
      </c>
    </row>
    <row r="478" spans="1:25" s="26" customFormat="1" ht="21" customHeight="1">
      <c r="A478" s="65"/>
      <c r="B478" s="84"/>
      <c r="C478" s="83">
        <v>4270</v>
      </c>
      <c r="D478" s="41" t="s">
        <v>81</v>
      </c>
      <c r="E478" s="78">
        <v>10000</v>
      </c>
      <c r="F478" s="78"/>
      <c r="G478" s="78">
        <f t="shared" si="332"/>
        <v>10000</v>
      </c>
      <c r="H478" s="78"/>
      <c r="I478" s="78">
        <f>SUM(G478:H478)</f>
        <v>10000</v>
      </c>
      <c r="J478" s="78"/>
      <c r="K478" s="78">
        <f>SUM(I478:J478)</f>
        <v>10000</v>
      </c>
      <c r="L478" s="78"/>
      <c r="M478" s="78">
        <f>SUM(K478:L478)</f>
        <v>10000</v>
      </c>
      <c r="N478" s="78"/>
      <c r="O478" s="78">
        <f>SUM(M478:N478)</f>
        <v>10000</v>
      </c>
      <c r="P478" s="78"/>
      <c r="Q478" s="78">
        <f>SUM(O478:P478)</f>
        <v>10000</v>
      </c>
      <c r="R478" s="78"/>
      <c r="S478" s="78">
        <f>SUM(Q478:R478)</f>
        <v>10000</v>
      </c>
      <c r="T478" s="78"/>
      <c r="U478" s="78">
        <f>SUM(S478:T478)</f>
        <v>10000</v>
      </c>
      <c r="V478" s="78"/>
      <c r="W478" s="78">
        <f>SUM(U478:V478)</f>
        <v>10000</v>
      </c>
      <c r="X478" s="78"/>
      <c r="Y478" s="78">
        <f>SUM(W478:X478)</f>
        <v>10000</v>
      </c>
    </row>
    <row r="479" spans="1:25" s="26" customFormat="1" ht="21" customHeight="1">
      <c r="A479" s="65"/>
      <c r="B479" s="84"/>
      <c r="C479" s="83">
        <v>4300</v>
      </c>
      <c r="D479" s="87" t="s">
        <v>82</v>
      </c>
      <c r="E479" s="78">
        <f>20000+80000</f>
        <v>100000</v>
      </c>
      <c r="F479" s="78"/>
      <c r="G479" s="78">
        <f t="shared" si="332"/>
        <v>100000</v>
      </c>
      <c r="H479" s="78"/>
      <c r="I479" s="78">
        <f>SUM(G479:H479)</f>
        <v>100000</v>
      </c>
      <c r="J479" s="78"/>
      <c r="K479" s="78">
        <f>SUM(I479:J479)</f>
        <v>100000</v>
      </c>
      <c r="L479" s="78"/>
      <c r="M479" s="78">
        <f>SUM(K479:L479)</f>
        <v>100000</v>
      </c>
      <c r="N479" s="78"/>
      <c r="O479" s="78">
        <f>SUM(M479:N479)</f>
        <v>100000</v>
      </c>
      <c r="P479" s="78"/>
      <c r="Q479" s="78">
        <f>SUM(O479:P479)</f>
        <v>100000</v>
      </c>
      <c r="R479" s="78"/>
      <c r="S479" s="78">
        <f>SUM(Q479:R479)</f>
        <v>100000</v>
      </c>
      <c r="T479" s="78"/>
      <c r="U479" s="78">
        <f>SUM(S479:T479)</f>
        <v>100000</v>
      </c>
      <c r="V479" s="78"/>
      <c r="W479" s="78">
        <f>SUM(U479:V479)</f>
        <v>100000</v>
      </c>
      <c r="X479" s="78"/>
      <c r="Y479" s="78">
        <f>SUM(W479:X479)</f>
        <v>100000</v>
      </c>
    </row>
    <row r="480" spans="1:25" s="26" customFormat="1" ht="69.75" customHeight="1">
      <c r="A480" s="65"/>
      <c r="B480" s="84"/>
      <c r="C480" s="83">
        <v>6010</v>
      </c>
      <c r="D480" s="41" t="s">
        <v>327</v>
      </c>
      <c r="E480" s="78">
        <v>800000</v>
      </c>
      <c r="F480" s="78">
        <v>-350000</v>
      </c>
      <c r="G480" s="78">
        <f t="shared" si="332"/>
        <v>450000</v>
      </c>
      <c r="H480" s="78"/>
      <c r="I480" s="78">
        <f>SUM(G480:H480)</f>
        <v>450000</v>
      </c>
      <c r="J480" s="78">
        <v>300000</v>
      </c>
      <c r="K480" s="78">
        <f>SUM(I480:J480)</f>
        <v>750000</v>
      </c>
      <c r="L480" s="78"/>
      <c r="M480" s="78">
        <f>SUM(K480:L480)</f>
        <v>750000</v>
      </c>
      <c r="N480" s="78"/>
      <c r="O480" s="78">
        <f>SUM(M480:N480)</f>
        <v>750000</v>
      </c>
      <c r="P480" s="78"/>
      <c r="Q480" s="78">
        <f>SUM(O480:P480)</f>
        <v>750000</v>
      </c>
      <c r="R480" s="78"/>
      <c r="S480" s="78">
        <f>SUM(Q480:R480)</f>
        <v>750000</v>
      </c>
      <c r="T480" s="78"/>
      <c r="U480" s="78">
        <f>SUM(S480:T480)</f>
        <v>750000</v>
      </c>
      <c r="V480" s="78"/>
      <c r="W480" s="78">
        <f>SUM(U480:V480)</f>
        <v>750000</v>
      </c>
      <c r="X480" s="78"/>
      <c r="Y480" s="78">
        <f>SUM(W480:X480)</f>
        <v>750000</v>
      </c>
    </row>
    <row r="481" spans="1:25" s="26" customFormat="1" ht="24">
      <c r="A481" s="83"/>
      <c r="B481" s="86">
        <v>92605</v>
      </c>
      <c r="C481" s="83"/>
      <c r="D481" s="41" t="s">
        <v>69</v>
      </c>
      <c r="E481" s="78">
        <f aca="true" t="shared" si="372" ref="E481:K481">SUM(E482:E490)</f>
        <v>428290</v>
      </c>
      <c r="F481" s="78">
        <f t="shared" si="372"/>
        <v>-300000</v>
      </c>
      <c r="G481" s="78">
        <f t="shared" si="372"/>
        <v>128290</v>
      </c>
      <c r="H481" s="78">
        <f t="shared" si="372"/>
        <v>447000</v>
      </c>
      <c r="I481" s="78">
        <f t="shared" si="372"/>
        <v>575290</v>
      </c>
      <c r="J481" s="78">
        <f t="shared" si="372"/>
        <v>2800</v>
      </c>
      <c r="K481" s="78">
        <f t="shared" si="372"/>
        <v>578090</v>
      </c>
      <c r="L481" s="78">
        <f aca="true" t="shared" si="373" ref="L481:Q481">SUM(L482:L490)</f>
        <v>0</v>
      </c>
      <c r="M481" s="78">
        <f t="shared" si="373"/>
        <v>578090</v>
      </c>
      <c r="N481" s="78">
        <f t="shared" si="373"/>
        <v>0</v>
      </c>
      <c r="O481" s="78">
        <f t="shared" si="373"/>
        <v>578090</v>
      </c>
      <c r="P481" s="78">
        <f t="shared" si="373"/>
        <v>0</v>
      </c>
      <c r="Q481" s="78">
        <f t="shared" si="373"/>
        <v>578090</v>
      </c>
      <c r="R481" s="78">
        <f aca="true" t="shared" si="374" ref="R481:W481">SUM(R482:R490)</f>
        <v>0</v>
      </c>
      <c r="S481" s="78">
        <f t="shared" si="374"/>
        <v>578090</v>
      </c>
      <c r="T481" s="78">
        <f t="shared" si="374"/>
        <v>0</v>
      </c>
      <c r="U481" s="78">
        <f t="shared" si="374"/>
        <v>578090</v>
      </c>
      <c r="V481" s="78">
        <f t="shared" si="374"/>
        <v>0</v>
      </c>
      <c r="W481" s="78">
        <f t="shared" si="374"/>
        <v>578090</v>
      </c>
      <c r="X481" s="78">
        <f>SUM(X482:X490)</f>
        <v>0</v>
      </c>
      <c r="Y481" s="78">
        <f>SUM(Y482:Y490)</f>
        <v>578090</v>
      </c>
    </row>
    <row r="482" spans="1:25" s="26" customFormat="1" ht="46.5" customHeight="1">
      <c r="A482" s="83"/>
      <c r="B482" s="86"/>
      <c r="C482" s="83">
        <v>2820</v>
      </c>
      <c r="D482" s="41" t="s">
        <v>286</v>
      </c>
      <c r="E482" s="78">
        <v>300000</v>
      </c>
      <c r="F482" s="78">
        <v>-300000</v>
      </c>
      <c r="G482" s="78">
        <f t="shared" si="332"/>
        <v>0</v>
      </c>
      <c r="H482" s="78">
        <v>447000</v>
      </c>
      <c r="I482" s="78">
        <f aca="true" t="shared" si="375" ref="I482:I490">SUM(G482:H482)</f>
        <v>447000</v>
      </c>
      <c r="J482" s="78"/>
      <c r="K482" s="78">
        <f aca="true" t="shared" si="376" ref="K482:K490">SUM(I482:J482)</f>
        <v>447000</v>
      </c>
      <c r="L482" s="78"/>
      <c r="M482" s="78">
        <f aca="true" t="shared" si="377" ref="M482:M490">SUM(K482:L482)</f>
        <v>447000</v>
      </c>
      <c r="N482" s="78"/>
      <c r="O482" s="78">
        <f aca="true" t="shared" si="378" ref="O482:O490">SUM(M482:N482)</f>
        <v>447000</v>
      </c>
      <c r="P482" s="78"/>
      <c r="Q482" s="78">
        <f aca="true" t="shared" si="379" ref="Q482:Q490">SUM(O482:P482)</f>
        <v>447000</v>
      </c>
      <c r="R482" s="78"/>
      <c r="S482" s="78">
        <f aca="true" t="shared" si="380" ref="S482:S490">SUM(Q482:R482)</f>
        <v>447000</v>
      </c>
      <c r="T482" s="78"/>
      <c r="U482" s="78">
        <f aca="true" t="shared" si="381" ref="U482:U490">SUM(S482:T482)</f>
        <v>447000</v>
      </c>
      <c r="V482" s="78"/>
      <c r="W482" s="78">
        <f aca="true" t="shared" si="382" ref="W482:W490">SUM(U482:V482)</f>
        <v>447000</v>
      </c>
      <c r="X482" s="78"/>
      <c r="Y482" s="78">
        <f aca="true" t="shared" si="383" ref="Y482:Y490">SUM(W482:X482)</f>
        <v>447000</v>
      </c>
    </row>
    <row r="483" spans="1:25" s="26" customFormat="1" ht="24">
      <c r="A483" s="83"/>
      <c r="B483" s="86"/>
      <c r="C483" s="83">
        <v>3020</v>
      </c>
      <c r="D483" s="41" t="s">
        <v>218</v>
      </c>
      <c r="E483" s="78"/>
      <c r="F483" s="78"/>
      <c r="G483" s="78"/>
      <c r="H483" s="78"/>
      <c r="I483" s="78"/>
      <c r="J483" s="78"/>
      <c r="K483" s="78"/>
      <c r="L483" s="78"/>
      <c r="M483" s="78">
        <v>0</v>
      </c>
      <c r="N483" s="78">
        <v>1500</v>
      </c>
      <c r="O483" s="78">
        <f t="shared" si="378"/>
        <v>1500</v>
      </c>
      <c r="P483" s="78"/>
      <c r="Q483" s="78">
        <f t="shared" si="379"/>
        <v>1500</v>
      </c>
      <c r="R483" s="78"/>
      <c r="S483" s="78">
        <f t="shared" si="380"/>
        <v>1500</v>
      </c>
      <c r="T483" s="78"/>
      <c r="U483" s="78">
        <f t="shared" si="381"/>
        <v>1500</v>
      </c>
      <c r="V483" s="78">
        <v>600</v>
      </c>
      <c r="W483" s="78">
        <f t="shared" si="382"/>
        <v>2100</v>
      </c>
      <c r="X483" s="78"/>
      <c r="Y483" s="78">
        <f t="shared" si="383"/>
        <v>2100</v>
      </c>
    </row>
    <row r="484" spans="1:25" s="26" customFormat="1" ht="24.75" customHeight="1">
      <c r="A484" s="83"/>
      <c r="B484" s="86"/>
      <c r="C484" s="83">
        <v>3250</v>
      </c>
      <c r="D484" s="41" t="s">
        <v>328</v>
      </c>
      <c r="E484" s="78">
        <v>50000</v>
      </c>
      <c r="F484" s="78"/>
      <c r="G484" s="78">
        <f t="shared" si="332"/>
        <v>50000</v>
      </c>
      <c r="H484" s="78"/>
      <c r="I484" s="78">
        <f t="shared" si="375"/>
        <v>50000</v>
      </c>
      <c r="J484" s="78"/>
      <c r="K484" s="78">
        <f t="shared" si="376"/>
        <v>50000</v>
      </c>
      <c r="L484" s="78"/>
      <c r="M484" s="78">
        <f t="shared" si="377"/>
        <v>50000</v>
      </c>
      <c r="N484" s="78"/>
      <c r="O484" s="78">
        <f t="shared" si="378"/>
        <v>50000</v>
      </c>
      <c r="P484" s="78"/>
      <c r="Q484" s="78">
        <f t="shared" si="379"/>
        <v>50000</v>
      </c>
      <c r="R484" s="78"/>
      <c r="S484" s="78">
        <f t="shared" si="380"/>
        <v>50000</v>
      </c>
      <c r="T484" s="78"/>
      <c r="U484" s="78">
        <f t="shared" si="381"/>
        <v>50000</v>
      </c>
      <c r="V484" s="78"/>
      <c r="W484" s="78">
        <f t="shared" si="382"/>
        <v>50000</v>
      </c>
      <c r="X484" s="78"/>
      <c r="Y484" s="78">
        <f t="shared" si="383"/>
        <v>50000</v>
      </c>
    </row>
    <row r="485" spans="1:27" s="26" customFormat="1" ht="21" customHeight="1">
      <c r="A485" s="83"/>
      <c r="B485" s="86"/>
      <c r="C485" s="83">
        <v>4110</v>
      </c>
      <c r="D485" s="41" t="s">
        <v>89</v>
      </c>
      <c r="E485" s="78">
        <v>1000</v>
      </c>
      <c r="F485" s="78"/>
      <c r="G485" s="78">
        <f t="shared" si="332"/>
        <v>1000</v>
      </c>
      <c r="H485" s="78"/>
      <c r="I485" s="78">
        <f t="shared" si="375"/>
        <v>1000</v>
      </c>
      <c r="J485" s="78"/>
      <c r="K485" s="78">
        <f t="shared" si="376"/>
        <v>1000</v>
      </c>
      <c r="L485" s="78"/>
      <c r="M485" s="78">
        <f t="shared" si="377"/>
        <v>1000</v>
      </c>
      <c r="N485" s="78"/>
      <c r="O485" s="78">
        <f t="shared" si="378"/>
        <v>1000</v>
      </c>
      <c r="P485" s="78"/>
      <c r="Q485" s="78">
        <f t="shared" si="379"/>
        <v>1000</v>
      </c>
      <c r="R485" s="78"/>
      <c r="S485" s="78">
        <f t="shared" si="380"/>
        <v>1000</v>
      </c>
      <c r="T485" s="78"/>
      <c r="U485" s="78">
        <f t="shared" si="381"/>
        <v>1000</v>
      </c>
      <c r="V485" s="78"/>
      <c r="W485" s="78">
        <f t="shared" si="382"/>
        <v>1000</v>
      </c>
      <c r="X485" s="78"/>
      <c r="Y485" s="78">
        <f t="shared" si="383"/>
        <v>1000</v>
      </c>
      <c r="Z485" s="117"/>
      <c r="AA485" s="117"/>
    </row>
    <row r="486" spans="1:27" s="26" customFormat="1" ht="21" customHeight="1">
      <c r="A486" s="83"/>
      <c r="B486" s="86"/>
      <c r="C486" s="83">
        <v>4120</v>
      </c>
      <c r="D486" s="41" t="s">
        <v>90</v>
      </c>
      <c r="E486" s="78">
        <v>100</v>
      </c>
      <c r="F486" s="78"/>
      <c r="G486" s="78">
        <f t="shared" si="332"/>
        <v>100</v>
      </c>
      <c r="H486" s="78"/>
      <c r="I486" s="78">
        <f t="shared" si="375"/>
        <v>100</v>
      </c>
      <c r="J486" s="78"/>
      <c r="K486" s="78">
        <f t="shared" si="376"/>
        <v>100</v>
      </c>
      <c r="L486" s="78"/>
      <c r="M486" s="78">
        <f t="shared" si="377"/>
        <v>100</v>
      </c>
      <c r="N486" s="78"/>
      <c r="O486" s="78">
        <f t="shared" si="378"/>
        <v>100</v>
      </c>
      <c r="P486" s="78"/>
      <c r="Q486" s="78">
        <f t="shared" si="379"/>
        <v>100</v>
      </c>
      <c r="R486" s="78"/>
      <c r="S486" s="78">
        <f t="shared" si="380"/>
        <v>100</v>
      </c>
      <c r="T486" s="78"/>
      <c r="U486" s="78">
        <f t="shared" si="381"/>
        <v>100</v>
      </c>
      <c r="V486" s="78"/>
      <c r="W486" s="78">
        <f t="shared" si="382"/>
        <v>100</v>
      </c>
      <c r="X486" s="78"/>
      <c r="Y486" s="78">
        <f t="shared" si="383"/>
        <v>100</v>
      </c>
      <c r="Z486" s="117"/>
      <c r="AA486" s="117"/>
    </row>
    <row r="487" spans="1:27" s="26" customFormat="1" ht="21" customHeight="1">
      <c r="A487" s="83"/>
      <c r="B487" s="86"/>
      <c r="C487" s="83">
        <v>4170</v>
      </c>
      <c r="D487" s="41" t="s">
        <v>205</v>
      </c>
      <c r="E487" s="78">
        <f>35000+5000-1000-100</f>
        <v>38900</v>
      </c>
      <c r="F487" s="78"/>
      <c r="G487" s="78">
        <f t="shared" si="332"/>
        <v>38900</v>
      </c>
      <c r="H487" s="78"/>
      <c r="I487" s="78">
        <f t="shared" si="375"/>
        <v>38900</v>
      </c>
      <c r="J487" s="78"/>
      <c r="K487" s="78">
        <f t="shared" si="376"/>
        <v>38900</v>
      </c>
      <c r="L487" s="78"/>
      <c r="M487" s="78">
        <f t="shared" si="377"/>
        <v>38900</v>
      </c>
      <c r="N487" s="78"/>
      <c r="O487" s="78">
        <f t="shared" si="378"/>
        <v>38900</v>
      </c>
      <c r="P487" s="78"/>
      <c r="Q487" s="78">
        <f t="shared" si="379"/>
        <v>38900</v>
      </c>
      <c r="R487" s="78"/>
      <c r="S487" s="78">
        <f t="shared" si="380"/>
        <v>38900</v>
      </c>
      <c r="T487" s="78"/>
      <c r="U487" s="78">
        <f t="shared" si="381"/>
        <v>38900</v>
      </c>
      <c r="V487" s="78"/>
      <c r="W487" s="78">
        <f t="shared" si="382"/>
        <v>38900</v>
      </c>
      <c r="X487" s="78"/>
      <c r="Y487" s="78">
        <f t="shared" si="383"/>
        <v>38900</v>
      </c>
      <c r="Z487" s="117"/>
      <c r="AA487" s="117"/>
    </row>
    <row r="488" spans="1:25" s="26" customFormat="1" ht="21" customHeight="1">
      <c r="A488" s="83"/>
      <c r="B488" s="79"/>
      <c r="C488" s="65">
        <v>4210</v>
      </c>
      <c r="D488" s="41" t="s">
        <v>95</v>
      </c>
      <c r="E488" s="78">
        <f>9590+11500</f>
        <v>21090</v>
      </c>
      <c r="F488" s="78"/>
      <c r="G488" s="78">
        <f t="shared" si="332"/>
        <v>21090</v>
      </c>
      <c r="H488" s="78"/>
      <c r="I488" s="78">
        <f t="shared" si="375"/>
        <v>21090</v>
      </c>
      <c r="J488" s="78">
        <v>2800</v>
      </c>
      <c r="K488" s="78">
        <f t="shared" si="376"/>
        <v>23890</v>
      </c>
      <c r="L488" s="78"/>
      <c r="M488" s="78">
        <f t="shared" si="377"/>
        <v>23890</v>
      </c>
      <c r="N488" s="78">
        <v>-1500</v>
      </c>
      <c r="O488" s="78">
        <f t="shared" si="378"/>
        <v>22390</v>
      </c>
      <c r="P488" s="78"/>
      <c r="Q488" s="78">
        <f t="shared" si="379"/>
        <v>22390</v>
      </c>
      <c r="R488" s="78"/>
      <c r="S488" s="78">
        <f t="shared" si="380"/>
        <v>22390</v>
      </c>
      <c r="T488" s="78"/>
      <c r="U488" s="78">
        <f t="shared" si="381"/>
        <v>22390</v>
      </c>
      <c r="V488" s="78">
        <v>-600</v>
      </c>
      <c r="W488" s="78">
        <f t="shared" si="382"/>
        <v>21790</v>
      </c>
      <c r="X488" s="78"/>
      <c r="Y488" s="78">
        <f t="shared" si="383"/>
        <v>21790</v>
      </c>
    </row>
    <row r="489" spans="1:25" s="26" customFormat="1" ht="21" customHeight="1">
      <c r="A489" s="83"/>
      <c r="B489" s="79"/>
      <c r="C489" s="65">
        <v>4260</v>
      </c>
      <c r="D489" s="41" t="s">
        <v>98</v>
      </c>
      <c r="E489" s="78">
        <v>1100</v>
      </c>
      <c r="F489" s="78"/>
      <c r="G489" s="78">
        <f t="shared" si="332"/>
        <v>1100</v>
      </c>
      <c r="H489" s="78"/>
      <c r="I489" s="78">
        <f t="shared" si="375"/>
        <v>1100</v>
      </c>
      <c r="J489" s="78"/>
      <c r="K489" s="78">
        <f t="shared" si="376"/>
        <v>1100</v>
      </c>
      <c r="L489" s="78"/>
      <c r="M489" s="78">
        <f t="shared" si="377"/>
        <v>1100</v>
      </c>
      <c r="N489" s="78"/>
      <c r="O489" s="78">
        <f t="shared" si="378"/>
        <v>1100</v>
      </c>
      <c r="P489" s="78"/>
      <c r="Q489" s="78">
        <f t="shared" si="379"/>
        <v>1100</v>
      </c>
      <c r="R489" s="78"/>
      <c r="S489" s="78">
        <f t="shared" si="380"/>
        <v>1100</v>
      </c>
      <c r="T489" s="78"/>
      <c r="U489" s="78">
        <f t="shared" si="381"/>
        <v>1100</v>
      </c>
      <c r="V489" s="78"/>
      <c r="W489" s="78">
        <f t="shared" si="382"/>
        <v>1100</v>
      </c>
      <c r="X489" s="78"/>
      <c r="Y489" s="78">
        <f t="shared" si="383"/>
        <v>1100</v>
      </c>
    </row>
    <row r="490" spans="1:25" s="26" customFormat="1" ht="21" customHeight="1">
      <c r="A490" s="83"/>
      <c r="B490" s="79"/>
      <c r="C490" s="83">
        <v>4300</v>
      </c>
      <c r="D490" s="87" t="s">
        <v>82</v>
      </c>
      <c r="E490" s="78">
        <f>4600+11500</f>
        <v>16100</v>
      </c>
      <c r="F490" s="78"/>
      <c r="G490" s="78">
        <f t="shared" si="332"/>
        <v>16100</v>
      </c>
      <c r="H490" s="78"/>
      <c r="I490" s="78">
        <f t="shared" si="375"/>
        <v>16100</v>
      </c>
      <c r="J490" s="78"/>
      <c r="K490" s="78">
        <f t="shared" si="376"/>
        <v>16100</v>
      </c>
      <c r="L490" s="78"/>
      <c r="M490" s="78">
        <f t="shared" si="377"/>
        <v>16100</v>
      </c>
      <c r="N490" s="78"/>
      <c r="O490" s="78">
        <f t="shared" si="378"/>
        <v>16100</v>
      </c>
      <c r="P490" s="78"/>
      <c r="Q490" s="78">
        <f t="shared" si="379"/>
        <v>16100</v>
      </c>
      <c r="R490" s="78"/>
      <c r="S490" s="78">
        <f t="shared" si="380"/>
        <v>16100</v>
      </c>
      <c r="T490" s="78"/>
      <c r="U490" s="78">
        <f t="shared" si="381"/>
        <v>16100</v>
      </c>
      <c r="V490" s="78"/>
      <c r="W490" s="78">
        <f t="shared" si="382"/>
        <v>16100</v>
      </c>
      <c r="X490" s="78"/>
      <c r="Y490" s="78">
        <f t="shared" si="383"/>
        <v>16100</v>
      </c>
    </row>
    <row r="491" spans="1:25" s="9" customFormat="1" ht="24.75" customHeight="1">
      <c r="A491" s="12"/>
      <c r="B491" s="12"/>
      <c r="C491" s="12"/>
      <c r="D491" s="38" t="s">
        <v>70</v>
      </c>
      <c r="E491" s="40">
        <f aca="true" t="shared" si="384" ref="E491:S491">SUM(E473,E457,E430,E405,E330,E314,E210,E206,E203,E193,E154,E135,E60,E52,E32,E23,E7,E391)</f>
        <v>67967776</v>
      </c>
      <c r="F491" s="40">
        <f t="shared" si="384"/>
        <v>-888500</v>
      </c>
      <c r="G491" s="40">
        <f t="shared" si="384"/>
        <v>67149276</v>
      </c>
      <c r="H491" s="40">
        <f t="shared" si="384"/>
        <v>252163</v>
      </c>
      <c r="I491" s="40">
        <f t="shared" si="384"/>
        <v>67401439</v>
      </c>
      <c r="J491" s="40">
        <f t="shared" si="384"/>
        <v>173624</v>
      </c>
      <c r="K491" s="40">
        <f t="shared" si="384"/>
        <v>67575063</v>
      </c>
      <c r="L491" s="40">
        <f t="shared" si="384"/>
        <v>46982</v>
      </c>
      <c r="M491" s="40">
        <f t="shared" si="384"/>
        <v>67622045</v>
      </c>
      <c r="N491" s="40">
        <f t="shared" si="384"/>
        <v>75000</v>
      </c>
      <c r="O491" s="40">
        <f t="shared" si="384"/>
        <v>67697045</v>
      </c>
      <c r="P491" s="40">
        <f t="shared" si="384"/>
        <v>286502</v>
      </c>
      <c r="Q491" s="40">
        <f t="shared" si="384"/>
        <v>67983547</v>
      </c>
      <c r="R491" s="40">
        <f t="shared" si="384"/>
        <v>6100</v>
      </c>
      <c r="S491" s="40">
        <f t="shared" si="384"/>
        <v>67989647</v>
      </c>
      <c r="T491" s="40">
        <f aca="true" t="shared" si="385" ref="T491:Y491">SUM(T473,T457,T430,T405,T330,T314,T210,T206,T203,T193,T154,T135,T60,T52,T32,T23,T7,T391)</f>
        <v>21240</v>
      </c>
      <c r="U491" s="40">
        <f t="shared" si="385"/>
        <v>68010887</v>
      </c>
      <c r="V491" s="40">
        <f t="shared" si="385"/>
        <v>179586</v>
      </c>
      <c r="W491" s="40">
        <f t="shared" si="385"/>
        <v>68190473</v>
      </c>
      <c r="X491" s="40">
        <f t="shared" si="385"/>
        <v>51940</v>
      </c>
      <c r="Y491" s="40">
        <f t="shared" si="385"/>
        <v>68242413</v>
      </c>
    </row>
    <row r="492" spans="1:25" ht="12.75">
      <c r="A492" s="54"/>
      <c r="B492" s="54"/>
      <c r="C492" s="54"/>
      <c r="D492" s="54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</row>
    <row r="493" spans="4:25" ht="12">
      <c r="D493" s="54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52"/>
      <c r="W493" s="116"/>
      <c r="X493" s="152"/>
      <c r="Y493" s="116"/>
    </row>
    <row r="494" spans="4:25" ht="12">
      <c r="D494" s="54"/>
      <c r="E494" s="116"/>
      <c r="F494" s="116"/>
      <c r="G494" s="116"/>
      <c r="H494" s="116"/>
      <c r="I494" s="116"/>
      <c r="J494" s="116"/>
      <c r="K494" s="116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</row>
    <row r="495" spans="4:25" ht="12">
      <c r="D495" s="54"/>
      <c r="E495" s="116"/>
      <c r="F495" s="116"/>
      <c r="G495" s="116"/>
      <c r="H495" s="116"/>
      <c r="I495" s="116"/>
      <c r="J495" s="116"/>
      <c r="K495" s="116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</row>
    <row r="496" spans="4:27" ht="12.75">
      <c r="D496" s="54"/>
      <c r="E496" s="15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3"/>
      <c r="AA496" s="23"/>
    </row>
    <row r="497" spans="4:27" ht="12.75">
      <c r="D497" s="54"/>
      <c r="E497" s="152"/>
      <c r="F497" s="222"/>
      <c r="G497" s="222"/>
      <c r="H497" s="222"/>
      <c r="I497" s="222"/>
      <c r="J497" s="222"/>
      <c r="K497" s="222"/>
      <c r="L497" s="270"/>
      <c r="M497" s="222"/>
      <c r="N497" s="270"/>
      <c r="O497" s="222"/>
      <c r="P497" s="270"/>
      <c r="Q497" s="222"/>
      <c r="R497" s="270"/>
      <c r="S497" s="222"/>
      <c r="T497" s="270"/>
      <c r="U497" s="222"/>
      <c r="V497" s="270"/>
      <c r="W497" s="222"/>
      <c r="X497" s="270"/>
      <c r="Y497" s="222"/>
      <c r="Z497" s="128"/>
      <c r="AA497" s="128"/>
    </row>
    <row r="498" spans="4:27" ht="12.75">
      <c r="D498" s="54"/>
      <c r="E498" s="187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3"/>
      <c r="Z498" s="23"/>
      <c r="AA498" s="23"/>
    </row>
    <row r="499" spans="4:27" ht="12.75">
      <c r="D499" s="54"/>
      <c r="E499" s="187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3"/>
      <c r="Z499" s="23"/>
      <c r="AA499" s="23"/>
    </row>
    <row r="500" spans="4:27" ht="12.75">
      <c r="D500" s="54"/>
      <c r="E500" s="15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70"/>
      <c r="W500" s="222"/>
      <c r="X500" s="270"/>
      <c r="Y500" s="222"/>
      <c r="Z500" s="23"/>
      <c r="AA500" s="23"/>
    </row>
    <row r="501" spans="4:27" ht="12.75">
      <c r="D501" s="54"/>
      <c r="E501" s="15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3"/>
      <c r="AA501" s="23"/>
    </row>
    <row r="502" spans="4:27" ht="12.75">
      <c r="D502" s="54"/>
      <c r="E502" s="15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3"/>
      <c r="AA502" s="23"/>
    </row>
    <row r="503" spans="4:27" ht="12.75">
      <c r="D503" s="54"/>
      <c r="E503" s="15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3"/>
      <c r="AA503" s="23"/>
    </row>
    <row r="504" spans="4:27" ht="12.75">
      <c r="D504" s="54"/>
      <c r="E504" s="152">
        <v>372000</v>
      </c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4"/>
      <c r="AA504" s="224"/>
    </row>
    <row r="505" spans="4:27" ht="12.75">
      <c r="D505" s="54"/>
      <c r="E505" s="152">
        <v>400000</v>
      </c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3"/>
      <c r="AA505" s="23"/>
    </row>
    <row r="506" spans="4:27" ht="12.75">
      <c r="D506" s="54"/>
      <c r="E506" s="187">
        <v>13687</v>
      </c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3"/>
      <c r="AA506" s="23"/>
    </row>
    <row r="507" spans="4:27" ht="12.75">
      <c r="D507" s="54"/>
      <c r="E507" s="187">
        <v>3355048</v>
      </c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3"/>
      <c r="AA507" s="128"/>
    </row>
    <row r="508" spans="4:27" ht="12.75">
      <c r="D508" s="54"/>
      <c r="E508" s="187">
        <v>17118273</v>
      </c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3"/>
      <c r="AA508" s="23"/>
    </row>
    <row r="509" spans="4:27" ht="12.75">
      <c r="D509" s="54"/>
      <c r="E509" s="152">
        <v>526290</v>
      </c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3"/>
      <c r="AA509" s="23"/>
    </row>
    <row r="510" spans="4:27" ht="12.75">
      <c r="D510" s="54"/>
      <c r="E510" s="187">
        <v>447149</v>
      </c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3"/>
      <c r="AA510" s="23"/>
    </row>
    <row r="511" spans="4:27" ht="12.75">
      <c r="D511" s="54"/>
      <c r="E511" s="187">
        <v>61433</v>
      </c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3"/>
      <c r="Z511" s="23"/>
      <c r="AA511" s="23"/>
    </row>
    <row r="512" spans="4:27" ht="12.75">
      <c r="D512" s="54"/>
      <c r="E512" s="187">
        <v>101210</v>
      </c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23"/>
      <c r="Z512" s="23"/>
      <c r="AA512" s="23"/>
    </row>
    <row r="513" spans="4:27" ht="12.75">
      <c r="D513" s="54"/>
      <c r="E513" s="152">
        <v>60000</v>
      </c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3"/>
      <c r="AA513" s="23"/>
    </row>
    <row r="514" spans="4:27" ht="12.75">
      <c r="D514" s="54"/>
      <c r="E514" s="152">
        <v>6479100</v>
      </c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3"/>
      <c r="AA514" s="23"/>
    </row>
    <row r="515" spans="4:27" ht="12.75">
      <c r="D515" s="54"/>
      <c r="E515" s="152">
        <v>156600</v>
      </c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3"/>
      <c r="AA515" s="23"/>
    </row>
    <row r="516" spans="4:27" ht="12.75">
      <c r="D516" s="54"/>
      <c r="E516" s="152">
        <v>5000</v>
      </c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3"/>
      <c r="AA516" s="23"/>
    </row>
    <row r="517" spans="4:27" ht="12.75">
      <c r="D517" s="54"/>
      <c r="E517" s="15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3"/>
      <c r="AA517" s="23"/>
    </row>
    <row r="518" spans="4:27" ht="12.75">
      <c r="D518" s="54"/>
      <c r="E518" s="152">
        <v>16413000</v>
      </c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3"/>
      <c r="AA518" s="23"/>
    </row>
    <row r="519" spans="4:27" ht="12.75">
      <c r="D519" s="54"/>
      <c r="E519" s="116">
        <f>SUM(E496:E518)</f>
        <v>45508790</v>
      </c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23"/>
      <c r="AA519" s="23"/>
    </row>
    <row r="520" spans="4:27" ht="12.75">
      <c r="D520" s="54"/>
      <c r="E520" s="116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23"/>
      <c r="AA520" s="23"/>
    </row>
    <row r="521" spans="1:25" s="23" customFormat="1" ht="19.5" customHeight="1">
      <c r="A521" s="25"/>
      <c r="B521" s="25"/>
      <c r="C521" s="25"/>
      <c r="D521" s="25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s="23" customFormat="1" ht="12.75">
      <c r="A522" s="25"/>
      <c r="B522" s="25"/>
      <c r="C522" s="25"/>
      <c r="D522" s="25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s="23" customFormat="1" ht="12.75">
      <c r="A523" s="25"/>
      <c r="B523" s="25"/>
      <c r="C523" s="25"/>
      <c r="D523" s="25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s="23" customFormat="1" ht="12.75">
      <c r="A524" s="25"/>
      <c r="B524" s="25"/>
      <c r="C524" s="25"/>
      <c r="D524" s="25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s="23" customFormat="1" ht="12.75">
      <c r="A525" s="25"/>
      <c r="B525" s="25"/>
      <c r="C525" s="25"/>
      <c r="D525" s="25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s="23" customFormat="1" ht="12.75">
      <c r="A526" s="25"/>
      <c r="B526" s="25"/>
      <c r="C526" s="25"/>
      <c r="D526" s="25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s="23" customFormat="1" ht="12.75">
      <c r="A527" s="25"/>
      <c r="B527" s="25"/>
      <c r="C527" s="25"/>
      <c r="D527" s="25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s="23" customFormat="1" ht="12.75">
      <c r="A528" s="25"/>
      <c r="B528" s="25"/>
      <c r="C528" s="25"/>
      <c r="D528" s="25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s="23" customFormat="1" ht="12.75">
      <c r="A529" s="25"/>
      <c r="B529" s="25"/>
      <c r="C529" s="25"/>
      <c r="D529" s="25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s="23" customFormat="1" ht="12.75">
      <c r="A530" s="25"/>
      <c r="B530" s="25"/>
      <c r="C530" s="25"/>
      <c r="D530" s="25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s="23" customFormat="1" ht="12.75">
      <c r="A531" s="25"/>
      <c r="B531" s="25"/>
      <c r="C531" s="25"/>
      <c r="D531" s="25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s="23" customFormat="1" ht="12.75">
      <c r="A532" s="25"/>
      <c r="B532" s="25"/>
      <c r="C532" s="25"/>
      <c r="D532" s="25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s="23" customFormat="1" ht="12.75">
      <c r="A533" s="25"/>
      <c r="B533" s="25"/>
      <c r="C533" s="25"/>
      <c r="D533" s="25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s="23" customFormat="1" ht="12.75">
      <c r="A534" s="25"/>
      <c r="B534" s="25"/>
      <c r="C534" s="25"/>
      <c r="D534" s="25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s="23" customFormat="1" ht="12.75">
      <c r="A535" s="25"/>
      <c r="B535" s="25"/>
      <c r="C535" s="25"/>
      <c r="D535" s="25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s="23" customFormat="1" ht="12.75">
      <c r="A536" s="25"/>
      <c r="B536" s="25"/>
      <c r="C536" s="25"/>
      <c r="D536" s="25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s="23" customFormat="1" ht="12.75">
      <c r="A537" s="25"/>
      <c r="B537" s="25"/>
      <c r="C537" s="25"/>
      <c r="D537" s="25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s="23" customFormat="1" ht="12.75">
      <c r="A538" s="25"/>
      <c r="B538" s="25"/>
      <c r="C538" s="25"/>
      <c r="D538" s="25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s="23" customFormat="1" ht="12.75">
      <c r="A539" s="25"/>
      <c r="B539" s="25"/>
      <c r="C539" s="25"/>
      <c r="D539" s="25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s="23" customFormat="1" ht="12.75">
      <c r="A540" s="25"/>
      <c r="B540" s="25"/>
      <c r="C540" s="25"/>
      <c r="D540" s="25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s="23" customFormat="1" ht="12.75">
      <c r="A541" s="25"/>
      <c r="B541" s="25"/>
      <c r="C541" s="25"/>
      <c r="D541" s="25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s="23" customFormat="1" ht="12.75">
      <c r="A542" s="25"/>
      <c r="B542" s="25"/>
      <c r="C542" s="25"/>
      <c r="D542" s="25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s="23" customFormat="1" ht="12.75">
      <c r="A543" s="25"/>
      <c r="B543" s="25"/>
      <c r="C543" s="25"/>
      <c r="D543" s="25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s="23" customFormat="1" ht="12.75">
      <c r="A544" s="25"/>
      <c r="B544" s="25"/>
      <c r="C544" s="25"/>
      <c r="D544" s="25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s="23" customFormat="1" ht="12.75">
      <c r="A545" s="25"/>
      <c r="B545" s="25"/>
      <c r="C545" s="25"/>
      <c r="D545" s="25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s="23" customFormat="1" ht="12.75">
      <c r="A546" s="25"/>
      <c r="B546" s="25"/>
      <c r="C546" s="25"/>
      <c r="D546" s="25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s="23" customFormat="1" ht="12.75">
      <c r="A547" s="25"/>
      <c r="B547" s="25"/>
      <c r="C547" s="25"/>
      <c r="D547" s="25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s="23" customFormat="1" ht="12.75">
      <c r="A548" s="25"/>
      <c r="B548" s="25"/>
      <c r="C548" s="25"/>
      <c r="D548" s="25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s="23" customFormat="1" ht="12.75">
      <c r="A549" s="25"/>
      <c r="B549" s="25"/>
      <c r="C549" s="25"/>
      <c r="D549" s="25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s="23" customFormat="1" ht="12.75">
      <c r="A550" s="25"/>
      <c r="B550" s="25"/>
      <c r="C550" s="25"/>
      <c r="D550" s="25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s="23" customFormat="1" ht="12.75">
      <c r="A551" s="25"/>
      <c r="B551" s="25"/>
      <c r="C551" s="25"/>
      <c r="D551" s="25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s="23" customFormat="1" ht="12.75">
      <c r="A552" s="25"/>
      <c r="B552" s="25"/>
      <c r="C552" s="25"/>
      <c r="D552" s="25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s="23" customFormat="1" ht="12.75">
      <c r="A553" s="25"/>
      <c r="B553" s="25"/>
      <c r="C553" s="25"/>
      <c r="D553" s="25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s="23" customFormat="1" ht="12.75">
      <c r="A554" s="25"/>
      <c r="B554" s="25"/>
      <c r="C554" s="25"/>
      <c r="D554" s="25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s="23" customFormat="1" ht="12.75">
      <c r="A555" s="25"/>
      <c r="B555" s="25"/>
      <c r="C555" s="25"/>
      <c r="D555" s="25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s="23" customFormat="1" ht="12.75">
      <c r="A556" s="25"/>
      <c r="B556" s="25"/>
      <c r="C556" s="25"/>
      <c r="D556" s="25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s="23" customFormat="1" ht="12.75">
      <c r="A557" s="25"/>
      <c r="B557" s="25"/>
      <c r="C557" s="25"/>
      <c r="D557" s="25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s="23" customFormat="1" ht="12.75">
      <c r="A558" s="25"/>
      <c r="B558" s="25"/>
      <c r="C558" s="25"/>
      <c r="D558" s="25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s="23" customFormat="1" ht="12.75">
      <c r="A559" s="25"/>
      <c r="B559" s="25"/>
      <c r="C559" s="25"/>
      <c r="D559" s="25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s="23" customFormat="1" ht="12.75">
      <c r="A560" s="25"/>
      <c r="B560" s="25"/>
      <c r="C560" s="25"/>
      <c r="D560" s="25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s="23" customFormat="1" ht="12.75">
      <c r="A561" s="271"/>
      <c r="B561" s="271"/>
      <c r="C561" s="25"/>
      <c r="D561" s="25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s="23" customFormat="1" ht="12.75">
      <c r="A562" s="272"/>
      <c r="B562" s="272"/>
      <c r="C562" s="25"/>
      <c r="D562" s="25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s="23" customFormat="1" ht="12.75">
      <c r="A563" s="272"/>
      <c r="B563" s="272"/>
      <c r="C563" s="25"/>
      <c r="D563" s="25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s="23" customFormat="1" ht="12.75">
      <c r="A564" s="272"/>
      <c r="B564" s="272"/>
      <c r="C564" s="25"/>
      <c r="D564" s="25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s="23" customFormat="1" ht="12.75">
      <c r="A565" s="272"/>
      <c r="B565" s="272"/>
      <c r="C565" s="25"/>
      <c r="D565" s="273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s="23" customFormat="1" ht="12.75">
      <c r="A566" s="272"/>
      <c r="B566" s="272"/>
      <c r="C566" s="25"/>
      <c r="D566" s="273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s="23" customFormat="1" ht="12.75">
      <c r="A567" s="272"/>
      <c r="B567" s="272"/>
      <c r="C567" s="25"/>
      <c r="D567" s="25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s="23" customFormat="1" ht="12.75">
      <c r="A568" s="272"/>
      <c r="B568" s="272"/>
      <c r="C568" s="25"/>
      <c r="D568" s="273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s="23" customFormat="1" ht="12.75">
      <c r="A569" s="272"/>
      <c r="B569" s="272"/>
      <c r="C569" s="25"/>
      <c r="D569" s="273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s="23" customFormat="1" ht="12.75">
      <c r="A570" s="272"/>
      <c r="B570" s="272"/>
      <c r="C570" s="25"/>
      <c r="D570" s="25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s="23" customFormat="1" ht="12.75">
      <c r="A571" s="272"/>
      <c r="B571" s="272"/>
      <c r="C571" s="25"/>
      <c r="D571" s="273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s="23" customFormat="1" ht="12.75">
      <c r="A572" s="272"/>
      <c r="B572" s="272"/>
      <c r="C572" s="25"/>
      <c r="D572" s="273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s="23" customFormat="1" ht="12.75">
      <c r="A573" s="272"/>
      <c r="B573" s="272"/>
      <c r="C573" s="25"/>
      <c r="D573" s="25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s="23" customFormat="1" ht="12.75">
      <c r="A574" s="25"/>
      <c r="B574" s="25"/>
      <c r="C574" s="25"/>
      <c r="D574" s="25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s="23" customFormat="1" ht="12.75">
      <c r="A575" s="25"/>
      <c r="B575" s="25"/>
      <c r="C575" s="25"/>
      <c r="D575" s="25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s="23" customFormat="1" ht="12.75">
      <c r="A576" s="25"/>
      <c r="B576" s="25"/>
      <c r="C576" s="25"/>
      <c r="D576" s="25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s="23" customFormat="1" ht="12.75">
      <c r="A577" s="25"/>
      <c r="B577" s="25"/>
      <c r="C577" s="25"/>
      <c r="D577" s="273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s="23" customFormat="1" ht="12.75">
      <c r="A578" s="25"/>
      <c r="B578" s="25"/>
      <c r="C578" s="25"/>
      <c r="D578" s="25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s="23" customFormat="1" ht="12.75">
      <c r="A579" s="25"/>
      <c r="B579" s="25"/>
      <c r="C579" s="25"/>
      <c r="D579" s="273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s="23" customFormat="1" ht="12.75">
      <c r="A580" s="25"/>
      <c r="B580" s="25"/>
      <c r="C580" s="25"/>
      <c r="D580" s="273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s="23" customFormat="1" ht="12.75">
      <c r="A581" s="25"/>
      <c r="B581" s="25"/>
      <c r="C581" s="25"/>
      <c r="D581" s="273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s="23" customFormat="1" ht="12.75">
      <c r="A582" s="25"/>
      <c r="B582" s="25"/>
      <c r="C582" s="25"/>
      <c r="D582" s="25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s="23" customFormat="1" ht="12.75">
      <c r="A583" s="25"/>
      <c r="B583" s="25"/>
      <c r="C583" s="25"/>
      <c r="D583" s="25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s="23" customFormat="1" ht="12.75">
      <c r="A584" s="25"/>
      <c r="B584" s="25"/>
      <c r="C584" s="25"/>
      <c r="D584" s="25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s="23" customFormat="1" ht="12.75">
      <c r="A585" s="25"/>
      <c r="B585" s="25"/>
      <c r="C585" s="25"/>
      <c r="D585" s="25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s="23" customFormat="1" ht="12.75">
      <c r="A586" s="25"/>
      <c r="B586" s="25"/>
      <c r="C586" s="25"/>
      <c r="D586" s="25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s="23" customFormat="1" ht="12.75">
      <c r="A587" s="25"/>
      <c r="B587" s="25"/>
      <c r="C587" s="25"/>
      <c r="D587" s="25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s="23" customFormat="1" ht="12.75">
      <c r="A588" s="25"/>
      <c r="B588" s="25"/>
      <c r="C588" s="25"/>
      <c r="D588" s="25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s="23" customFormat="1" ht="12.75">
      <c r="A589" s="25"/>
      <c r="B589" s="25"/>
      <c r="C589" s="25"/>
      <c r="D589" s="25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s="23" customFormat="1" ht="12.75">
      <c r="A590" s="25"/>
      <c r="B590" s="25"/>
      <c r="C590" s="25"/>
      <c r="D590" s="25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s="23" customFormat="1" ht="12.75">
      <c r="A591" s="25"/>
      <c r="B591" s="25"/>
      <c r="C591" s="25"/>
      <c r="D591" s="25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s="23" customFormat="1" ht="12.75">
      <c r="A592" s="25"/>
      <c r="B592" s="25"/>
      <c r="C592" s="25"/>
      <c r="D592" s="25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s="23" customFormat="1" ht="12.75">
      <c r="A593" s="25"/>
      <c r="B593" s="25"/>
      <c r="C593" s="25"/>
      <c r="D593" s="25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s="23" customFormat="1" ht="12.75">
      <c r="A594" s="25"/>
      <c r="B594" s="25"/>
      <c r="C594" s="25"/>
      <c r="D594" s="25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s="23" customFormat="1" ht="12.75">
      <c r="A595" s="25"/>
      <c r="B595" s="25"/>
      <c r="C595" s="25"/>
      <c r="D595" s="25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s="23" customFormat="1" ht="12.75">
      <c r="A596" s="25"/>
      <c r="B596" s="25"/>
      <c r="C596" s="25"/>
      <c r="D596" s="25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s="23" customFormat="1" ht="12.75">
      <c r="A597" s="25"/>
      <c r="B597" s="25"/>
      <c r="C597" s="25"/>
      <c r="D597" s="25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s="23" customFormat="1" ht="12.75">
      <c r="A598" s="272"/>
      <c r="B598" s="272"/>
      <c r="C598" s="25"/>
      <c r="D598" s="25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s="23" customFormat="1" ht="12.75">
      <c r="A599" s="25"/>
      <c r="B599" s="25"/>
      <c r="C599" s="25"/>
      <c r="D599" s="25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s="23" customFormat="1" ht="12.75">
      <c r="A600" s="25"/>
      <c r="B600" s="25"/>
      <c r="C600" s="25"/>
      <c r="D600" s="25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s="23" customFormat="1" ht="12.75">
      <c r="A601" s="25"/>
      <c r="B601" s="25"/>
      <c r="C601" s="25"/>
      <c r="D601" s="25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s="23" customFormat="1" ht="12.75">
      <c r="A602" s="25"/>
      <c r="B602" s="25"/>
      <c r="C602" s="25"/>
      <c r="D602" s="25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s="23" customFormat="1" ht="12.75">
      <c r="A603" s="25"/>
      <c r="B603" s="25"/>
      <c r="C603" s="25"/>
      <c r="D603" s="25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s="23" customFormat="1" ht="12.75">
      <c r="A604" s="25"/>
      <c r="B604" s="25"/>
      <c r="C604" s="25"/>
      <c r="D604" s="25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s="23" customFormat="1" ht="12.75">
      <c r="A605" s="272"/>
      <c r="B605" s="272"/>
      <c r="C605" s="25"/>
      <c r="D605" s="25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s="23" customFormat="1" ht="12.75">
      <c r="A606" s="272"/>
      <c r="B606" s="272"/>
      <c r="C606" s="25"/>
      <c r="D606" s="25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s="23" customFormat="1" ht="12.75">
      <c r="A607" s="272"/>
      <c r="B607" s="272"/>
      <c r="C607" s="25"/>
      <c r="D607" s="273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s="23" customFormat="1" ht="12.75">
      <c r="A608" s="272"/>
      <c r="B608" s="272"/>
      <c r="C608" s="25"/>
      <c r="D608" s="273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s="23" customFormat="1" ht="12.75">
      <c r="A609" s="272"/>
      <c r="B609" s="272"/>
      <c r="C609" s="25"/>
      <c r="D609" s="25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s="23" customFormat="1" ht="12.75">
      <c r="A610" s="272"/>
      <c r="B610" s="272"/>
      <c r="C610" s="25"/>
      <c r="D610" s="273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s="23" customFormat="1" ht="12.75">
      <c r="A611" s="272"/>
      <c r="B611" s="272"/>
      <c r="C611" s="25"/>
      <c r="D611" s="273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s="23" customFormat="1" ht="12.75">
      <c r="A612" s="272"/>
      <c r="B612" s="272"/>
      <c r="C612" s="25"/>
      <c r="D612" s="25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s="23" customFormat="1" ht="12.75">
      <c r="A613" s="272"/>
      <c r="B613" s="272"/>
      <c r="C613" s="25"/>
      <c r="D613" s="273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s="23" customFormat="1" ht="12.75">
      <c r="A614" s="272"/>
      <c r="B614" s="272"/>
      <c r="C614" s="25"/>
      <c r="D614" s="273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s="23" customFormat="1" ht="12.75">
      <c r="A615" s="272"/>
      <c r="B615" s="272"/>
      <c r="C615" s="25"/>
      <c r="D615" s="25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s="23" customFormat="1" ht="12.75">
      <c r="A616" s="25"/>
      <c r="B616" s="25"/>
      <c r="C616" s="25"/>
      <c r="D616" s="25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s="23" customFormat="1" ht="12.75">
      <c r="A617" s="25"/>
      <c r="B617" s="25"/>
      <c r="C617" s="25"/>
      <c r="D617" s="25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s="23" customFormat="1" ht="12.75">
      <c r="A618" s="25"/>
      <c r="B618" s="25"/>
      <c r="C618" s="25"/>
      <c r="D618" s="25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s="23" customFormat="1" ht="12.75">
      <c r="A619" s="25"/>
      <c r="B619" s="25"/>
      <c r="C619" s="25"/>
      <c r="D619" s="25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s="23" customFormat="1" ht="12.75">
      <c r="A620" s="25"/>
      <c r="B620" s="25"/>
      <c r="C620" s="25"/>
      <c r="D620" s="25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s="23" customFormat="1" ht="12.75">
      <c r="A621" s="25"/>
      <c r="B621" s="25"/>
      <c r="C621" s="25"/>
      <c r="D621" s="25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s="23" customFormat="1" ht="12.75">
      <c r="A622" s="25"/>
      <c r="B622" s="25"/>
      <c r="C622" s="25"/>
      <c r="D622" s="25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s="23" customFormat="1" ht="12.75">
      <c r="A623" s="25"/>
      <c r="B623" s="25"/>
      <c r="C623" s="25"/>
      <c r="D623" s="25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s="23" customFormat="1" ht="12.75">
      <c r="A624" s="25"/>
      <c r="B624" s="25"/>
      <c r="C624" s="25"/>
      <c r="D624" s="25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s="23" customFormat="1" ht="12.75">
      <c r="A625" s="25"/>
      <c r="B625" s="25"/>
      <c r="C625" s="25"/>
      <c r="D625" s="25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s="23" customFormat="1" ht="12.75">
      <c r="A626" s="25"/>
      <c r="B626" s="25"/>
      <c r="C626" s="25"/>
      <c r="D626" s="25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s="23" customFormat="1" ht="12.75">
      <c r="A627" s="25"/>
      <c r="B627" s="25"/>
      <c r="C627" s="25"/>
      <c r="D627" s="25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s="23" customFormat="1" ht="12.75">
      <c r="A628" s="25"/>
      <c r="B628" s="25"/>
      <c r="C628" s="25"/>
      <c r="D628" s="25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s="23" customFormat="1" ht="12.75">
      <c r="A629" s="25"/>
      <c r="B629" s="25"/>
      <c r="C629" s="25"/>
      <c r="D629" s="25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s="23" customFormat="1" ht="12.75">
      <c r="A630" s="25"/>
      <c r="B630" s="25"/>
      <c r="C630" s="25"/>
      <c r="D630" s="25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s="23" customFormat="1" ht="12.75">
      <c r="A631" s="25"/>
      <c r="B631" s="25"/>
      <c r="C631" s="25"/>
      <c r="D631" s="273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s="23" customFormat="1" ht="12.75">
      <c r="A632" s="25"/>
      <c r="B632" s="25"/>
      <c r="C632" s="25"/>
      <c r="D632" s="25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s="23" customFormat="1" ht="12.75">
      <c r="A633" s="25"/>
      <c r="B633" s="25"/>
      <c r="C633" s="25"/>
      <c r="D633" s="25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s="23" customFormat="1" ht="12.75">
      <c r="A634" s="25"/>
      <c r="B634" s="25"/>
      <c r="C634" s="25"/>
      <c r="D634" s="273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s="23" customFormat="1" ht="12.75">
      <c r="A635" s="25"/>
      <c r="B635" s="25"/>
      <c r="C635" s="25"/>
      <c r="D635" s="25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s="23" customFormat="1" ht="12.75">
      <c r="A636" s="25"/>
      <c r="B636" s="25"/>
      <c r="C636" s="25"/>
      <c r="D636" s="25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s="23" customFormat="1" ht="12.75">
      <c r="A637" s="25"/>
      <c r="B637" s="25"/>
      <c r="C637" s="25"/>
      <c r="D637" s="25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s="23" customFormat="1" ht="12.75">
      <c r="A638" s="25"/>
      <c r="B638" s="25"/>
      <c r="C638" s="25"/>
      <c r="D638" s="25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s="23" customFormat="1" ht="12.75">
      <c r="A639" s="25"/>
      <c r="B639" s="25"/>
      <c r="C639" s="25"/>
      <c r="D639" s="25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s="23" customFormat="1" ht="12.75">
      <c r="A640" s="25"/>
      <c r="B640" s="25"/>
      <c r="C640" s="25"/>
      <c r="D640" s="25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s="23" customFormat="1" ht="12.75">
      <c r="A641" s="25"/>
      <c r="B641" s="25"/>
      <c r="C641" s="25"/>
      <c r="D641" s="25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s="23" customFormat="1" ht="12.75">
      <c r="A642" s="25"/>
      <c r="B642" s="25"/>
      <c r="C642" s="25"/>
      <c r="D642" s="273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s="23" customFormat="1" ht="12.75">
      <c r="A643" s="25"/>
      <c r="B643" s="25"/>
      <c r="C643" s="25"/>
      <c r="D643" s="25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s="23" customFormat="1" ht="12.75">
      <c r="A644" s="25"/>
      <c r="B644" s="25"/>
      <c r="C644" s="25"/>
      <c r="D644" s="25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s="23" customFormat="1" ht="12.75">
      <c r="A645" s="25"/>
      <c r="B645" s="25"/>
      <c r="C645" s="25"/>
      <c r="D645" s="25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s="23" customFormat="1" ht="12.75">
      <c r="A646" s="25"/>
      <c r="B646" s="25"/>
      <c r="C646" s="25"/>
      <c r="D646" s="25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s="23" customFormat="1" ht="12.75">
      <c r="A647" s="25"/>
      <c r="B647" s="25"/>
      <c r="C647" s="25"/>
      <c r="D647" s="25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s="23" customFormat="1" ht="12.75">
      <c r="A648" s="25"/>
      <c r="B648" s="25"/>
      <c r="C648" s="25"/>
      <c r="D648" s="25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s="23" customFormat="1" ht="12.75">
      <c r="A649" s="25"/>
      <c r="B649" s="25"/>
      <c r="C649" s="25"/>
      <c r="D649" s="25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s="23" customFormat="1" ht="12.75">
      <c r="A650" s="25"/>
      <c r="B650" s="25"/>
      <c r="C650" s="25"/>
      <c r="D650" s="25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s="23" customFormat="1" ht="12.75">
      <c r="A651" s="25"/>
      <c r="B651" s="25"/>
      <c r="C651" s="25"/>
      <c r="D651" s="25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s="23" customFormat="1" ht="12.75">
      <c r="A652" s="25"/>
      <c r="B652" s="25"/>
      <c r="C652" s="25"/>
      <c r="D652" s="273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s="23" customFormat="1" ht="12.75">
      <c r="A653" s="25"/>
      <c r="B653" s="25"/>
      <c r="C653" s="25"/>
      <c r="D653" s="25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s="23" customFormat="1" ht="12.75">
      <c r="A654" s="25"/>
      <c r="B654" s="25"/>
      <c r="C654" s="25"/>
      <c r="D654" s="25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s="23" customFormat="1" ht="12.75">
      <c r="A655" s="25"/>
      <c r="B655" s="25"/>
      <c r="C655" s="25"/>
      <c r="D655" s="25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s="23" customFormat="1" ht="12.75">
      <c r="A656" s="25"/>
      <c r="B656" s="25"/>
      <c r="C656" s="25"/>
      <c r="D656" s="25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s="23" customFormat="1" ht="12.75">
      <c r="A657" s="25"/>
      <c r="B657" s="25"/>
      <c r="C657" s="25"/>
      <c r="D657" s="25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s="23" customFormat="1" ht="12.75">
      <c r="A658" s="25"/>
      <c r="B658" s="25"/>
      <c r="C658" s="25"/>
      <c r="D658" s="25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s="23" customFormat="1" ht="12.75">
      <c r="A659" s="25"/>
      <c r="B659" s="25"/>
      <c r="C659" s="25"/>
      <c r="D659" s="25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s="23" customFormat="1" ht="12.75">
      <c r="A660" s="25"/>
      <c r="B660" s="25"/>
      <c r="C660" s="25"/>
      <c r="D660" s="25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s="23" customFormat="1" ht="12.75">
      <c r="A661" s="25"/>
      <c r="B661" s="25"/>
      <c r="C661" s="25"/>
      <c r="D661" s="25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s="23" customFormat="1" ht="12.75">
      <c r="A662" s="25"/>
      <c r="B662" s="25"/>
      <c r="C662" s="25"/>
      <c r="D662" s="25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s="23" customFormat="1" ht="12.75">
      <c r="A663" s="25"/>
      <c r="B663" s="25"/>
      <c r="C663" s="25"/>
      <c r="D663" s="25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s="23" customFormat="1" ht="12.75">
      <c r="A664" s="25"/>
      <c r="B664" s="25"/>
      <c r="C664" s="25"/>
      <c r="D664" s="25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s="23" customFormat="1" ht="12.75">
      <c r="A665" s="25"/>
      <c r="B665" s="25"/>
      <c r="C665" s="25"/>
      <c r="D665" s="25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s="23" customFormat="1" ht="12.75">
      <c r="A666" s="271"/>
      <c r="B666" s="271"/>
      <c r="C666" s="25"/>
      <c r="D666" s="25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s="23" customFormat="1" ht="12.75">
      <c r="A667" s="25"/>
      <c r="B667" s="25"/>
      <c r="C667" s="25"/>
      <c r="D667" s="25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s="23" customFormat="1" ht="12.75">
      <c r="A668" s="25"/>
      <c r="B668" s="25"/>
      <c r="C668" s="25"/>
      <c r="D668" s="25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s="23" customFormat="1" ht="12.75">
      <c r="A669" s="25"/>
      <c r="B669" s="25"/>
      <c r="C669" s="25"/>
      <c r="D669" s="25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s="23" customFormat="1" ht="12.75">
      <c r="A670" s="25"/>
      <c r="B670" s="25"/>
      <c r="C670" s="25"/>
      <c r="D670" s="25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s="23" customFormat="1" ht="12.75">
      <c r="A671" s="25"/>
      <c r="B671" s="25"/>
      <c r="C671" s="25"/>
      <c r="D671" s="25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s="23" customFormat="1" ht="12.75">
      <c r="A672" s="25"/>
      <c r="B672" s="25"/>
      <c r="C672" s="25"/>
      <c r="D672" s="25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s="23" customFormat="1" ht="12.75">
      <c r="A673" s="25"/>
      <c r="B673" s="25"/>
      <c r="C673" s="25"/>
      <c r="D673" s="25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s="23" customFormat="1" ht="12.75">
      <c r="A674" s="25"/>
      <c r="B674" s="25"/>
      <c r="C674" s="25"/>
      <c r="D674" s="25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s="23" customFormat="1" ht="12.75">
      <c r="A675" s="25"/>
      <c r="B675" s="25"/>
      <c r="C675" s="25"/>
      <c r="D675" s="25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s="23" customFormat="1" ht="12.75">
      <c r="A676" s="25"/>
      <c r="B676" s="25"/>
      <c r="C676" s="25"/>
      <c r="D676" s="25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s="23" customFormat="1" ht="12.75">
      <c r="A677" s="25"/>
      <c r="B677" s="25"/>
      <c r="C677" s="25"/>
      <c r="D677" s="25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s="23" customFormat="1" ht="12.75">
      <c r="A678" s="25"/>
      <c r="B678" s="25"/>
      <c r="C678" s="25"/>
      <c r="D678" s="25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s="23" customFormat="1" ht="12.75">
      <c r="A679" s="25"/>
      <c r="B679" s="25"/>
      <c r="C679" s="25"/>
      <c r="D679" s="25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s="23" customFormat="1" ht="12.75">
      <c r="A680" s="25"/>
      <c r="B680" s="25"/>
      <c r="C680" s="25"/>
      <c r="D680" s="25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s="23" customFormat="1" ht="12.75">
      <c r="A681" s="25"/>
      <c r="B681" s="25"/>
      <c r="C681" s="25"/>
      <c r="D681" s="25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s="23" customFormat="1" ht="12.75">
      <c r="A682" s="25"/>
      <c r="B682" s="25"/>
      <c r="C682" s="25"/>
      <c r="D682" s="25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s="23" customFormat="1" ht="12.75">
      <c r="A683" s="25"/>
      <c r="B683" s="25"/>
      <c r="C683" s="25"/>
      <c r="D683" s="25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s="23" customFormat="1" ht="12.75">
      <c r="A684" s="25"/>
      <c r="B684" s="25"/>
      <c r="C684" s="25"/>
      <c r="D684" s="25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s="23" customFormat="1" ht="12.75">
      <c r="A685" s="25"/>
      <c r="B685" s="25"/>
      <c r="C685" s="25"/>
      <c r="D685" s="25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s="23" customFormat="1" ht="12.75">
      <c r="A686" s="25"/>
      <c r="B686" s="25"/>
      <c r="C686" s="25"/>
      <c r="D686" s="25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s="23" customFormat="1" ht="12.75">
      <c r="A687" s="25"/>
      <c r="B687" s="25"/>
      <c r="C687" s="25"/>
      <c r="D687" s="25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s="23" customFormat="1" ht="12.75">
      <c r="A688" s="25"/>
      <c r="B688" s="25"/>
      <c r="C688" s="25"/>
      <c r="D688" s="25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s="23" customFormat="1" ht="12.75">
      <c r="A689" s="25"/>
      <c r="B689" s="25"/>
      <c r="C689" s="25"/>
      <c r="D689" s="25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s="23" customFormat="1" ht="12.75">
      <c r="A690" s="25"/>
      <c r="B690" s="25"/>
      <c r="C690" s="25"/>
      <c r="D690" s="25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s="23" customFormat="1" ht="12.75">
      <c r="A691" s="25"/>
      <c r="B691" s="25"/>
      <c r="C691" s="25"/>
      <c r="D691" s="25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s="23" customFormat="1" ht="12.75">
      <c r="A692" s="25"/>
      <c r="B692" s="25"/>
      <c r="C692" s="25"/>
      <c r="D692" s="25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s="23" customFormat="1" ht="12.75">
      <c r="A693" s="25"/>
      <c r="B693" s="25"/>
      <c r="C693" s="25"/>
      <c r="D693" s="25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s="23" customFormat="1" ht="12.75">
      <c r="A694" s="25"/>
      <c r="B694" s="25"/>
      <c r="C694" s="25"/>
      <c r="D694" s="25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s="23" customFormat="1" ht="12.75">
      <c r="A695" s="25"/>
      <c r="B695" s="25"/>
      <c r="C695" s="25"/>
      <c r="D695" s="25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s="23" customFormat="1" ht="12.75">
      <c r="A696" s="25"/>
      <c r="B696" s="25"/>
      <c r="C696" s="25"/>
      <c r="D696" s="25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s="23" customFormat="1" ht="12.75">
      <c r="A697" s="25"/>
      <c r="B697" s="25"/>
      <c r="C697" s="25"/>
      <c r="D697" s="25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s="23" customFormat="1" ht="12.75">
      <c r="A698" s="25"/>
      <c r="B698" s="25"/>
      <c r="C698" s="25"/>
      <c r="D698" s="25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s="23" customFormat="1" ht="12.75">
      <c r="A699" s="25"/>
      <c r="B699" s="25"/>
      <c r="C699" s="25"/>
      <c r="D699" s="25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s="23" customFormat="1" ht="12.75">
      <c r="A700" s="25"/>
      <c r="B700" s="25"/>
      <c r="C700" s="25"/>
      <c r="D700" s="25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s="23" customFormat="1" ht="12.75">
      <c r="A701" s="25"/>
      <c r="B701" s="25"/>
      <c r="C701" s="25"/>
      <c r="D701" s="25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s="23" customFormat="1" ht="12.75">
      <c r="A702" s="25"/>
      <c r="B702" s="25"/>
      <c r="C702" s="25"/>
      <c r="D702" s="25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s="23" customFormat="1" ht="12.75">
      <c r="A703" s="25"/>
      <c r="B703" s="25"/>
      <c r="C703" s="25"/>
      <c r="D703" s="25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s="23" customFormat="1" ht="12.75">
      <c r="A704" s="25"/>
      <c r="B704" s="25"/>
      <c r="C704" s="25"/>
      <c r="D704" s="25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s="23" customFormat="1" ht="12.75">
      <c r="A705" s="25"/>
      <c r="B705" s="25"/>
      <c r="C705" s="25"/>
      <c r="D705" s="25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s="23" customFormat="1" ht="12.75">
      <c r="A706" s="25"/>
      <c r="B706" s="25"/>
      <c r="C706" s="25"/>
      <c r="D706" s="25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s="23" customFormat="1" ht="12.75">
      <c r="A707" s="25"/>
      <c r="B707" s="25"/>
      <c r="C707" s="25"/>
      <c r="D707" s="25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s="23" customFormat="1" ht="12.75">
      <c r="A708" s="25"/>
      <c r="B708" s="25"/>
      <c r="C708" s="25"/>
      <c r="D708" s="25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s="23" customFormat="1" ht="12.75">
      <c r="A709" s="25"/>
      <c r="B709" s="25"/>
      <c r="C709" s="25"/>
      <c r="D709" s="25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s="23" customFormat="1" ht="12.75">
      <c r="A710" s="25"/>
      <c r="B710" s="25"/>
      <c r="C710" s="25"/>
      <c r="D710" s="25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s="23" customFormat="1" ht="12.75">
      <c r="A711" s="25"/>
      <c r="B711" s="25"/>
      <c r="C711" s="25"/>
      <c r="D711" s="25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s="23" customFormat="1" ht="12.75">
      <c r="A712" s="25"/>
      <c r="B712" s="25"/>
      <c r="C712" s="25"/>
      <c r="D712" s="25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s="23" customFormat="1" ht="12.75">
      <c r="A713" s="25"/>
      <c r="B713" s="25"/>
      <c r="C713" s="25"/>
      <c r="D713" s="25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s="23" customFormat="1" ht="12.75">
      <c r="A714" s="25"/>
      <c r="B714" s="25"/>
      <c r="C714" s="25"/>
      <c r="D714" s="25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s="23" customFormat="1" ht="12.75">
      <c r="A715" s="25"/>
      <c r="B715" s="25"/>
      <c r="C715" s="25"/>
      <c r="D715" s="25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s="23" customFormat="1" ht="12.75">
      <c r="A716" s="25"/>
      <c r="B716" s="25"/>
      <c r="C716" s="25"/>
      <c r="D716" s="25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s="23" customFormat="1" ht="12.75">
      <c r="A717" s="25"/>
      <c r="B717" s="25"/>
      <c r="C717" s="25"/>
      <c r="D717" s="25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s="23" customFormat="1" ht="12.75">
      <c r="A718" s="25"/>
      <c r="B718" s="25"/>
      <c r="C718" s="25"/>
      <c r="D718" s="25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s="23" customFormat="1" ht="12.75">
      <c r="A719" s="25"/>
      <c r="B719" s="25"/>
      <c r="C719" s="25"/>
      <c r="D719" s="25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s="23" customFormat="1" ht="12.75">
      <c r="A720" s="25"/>
      <c r="B720" s="25"/>
      <c r="C720" s="25"/>
      <c r="D720" s="25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s="23" customFormat="1" ht="12.75">
      <c r="A721" s="25"/>
      <c r="B721" s="25"/>
      <c r="C721" s="25"/>
      <c r="D721" s="25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s="23" customFormat="1" ht="12.75">
      <c r="A722" s="25"/>
      <c r="B722" s="25"/>
      <c r="C722" s="25"/>
      <c r="D722" s="25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</sheetData>
  <sheetProtection/>
  <mergeCells count="1">
    <mergeCell ref="A5:Y5"/>
  </mergeCells>
  <printOptions horizontalCentered="1"/>
  <pageMargins left="0.35433070866141736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:S46"/>
    </sheetView>
  </sheetViews>
  <sheetFormatPr defaultColWidth="9.00390625" defaultRowHeight="12.75"/>
  <cols>
    <col min="1" max="1" width="5.625" style="9" customWidth="1"/>
    <col min="2" max="2" width="7.25390625" style="9" bestFit="1" customWidth="1"/>
    <col min="3" max="3" width="5.75390625" style="9" customWidth="1"/>
    <col min="4" max="4" width="32.75390625" style="9" customWidth="1"/>
    <col min="5" max="5" width="13.75390625" style="9" hidden="1" customWidth="1"/>
    <col min="6" max="6" width="14.875" style="9" hidden="1" customWidth="1"/>
    <col min="7" max="7" width="13.75390625" style="9" hidden="1" customWidth="1"/>
    <col min="8" max="8" width="13.00390625" style="9" hidden="1" customWidth="1"/>
    <col min="9" max="9" width="13.75390625" style="9" hidden="1" customWidth="1"/>
    <col min="10" max="10" width="13.00390625" style="9" hidden="1" customWidth="1"/>
    <col min="11" max="11" width="13.75390625" style="9" hidden="1" customWidth="1"/>
    <col min="12" max="12" width="13.00390625" style="9" hidden="1" customWidth="1"/>
    <col min="13" max="13" width="13.75390625" style="9" hidden="1" customWidth="1"/>
    <col min="14" max="14" width="13.00390625" style="9" hidden="1" customWidth="1"/>
    <col min="15" max="15" width="13.75390625" style="9" hidden="1" customWidth="1"/>
    <col min="16" max="16" width="13.00390625" style="9" hidden="1" customWidth="1"/>
    <col min="17" max="17" width="13.75390625" style="9" customWidth="1"/>
    <col min="18" max="18" width="13.00390625" style="9" customWidth="1"/>
    <col min="19" max="19" width="13.75390625" style="9" customWidth="1"/>
  </cols>
  <sheetData>
    <row r="1" spans="1:19" ht="12.75">
      <c r="A1" s="54"/>
      <c r="B1" s="54"/>
      <c r="C1" s="54"/>
      <c r="D1" s="54"/>
      <c r="E1" s="55" t="s">
        <v>355</v>
      </c>
      <c r="F1" s="55"/>
      <c r="G1" s="55" t="s">
        <v>409</v>
      </c>
      <c r="H1" s="55"/>
      <c r="I1" s="55" t="s">
        <v>416</v>
      </c>
      <c r="J1" s="55"/>
      <c r="K1" s="55" t="s">
        <v>420</v>
      </c>
      <c r="L1" s="55"/>
      <c r="M1" s="55" t="s">
        <v>429</v>
      </c>
      <c r="N1" s="55"/>
      <c r="O1" s="55" t="s">
        <v>444</v>
      </c>
      <c r="P1" s="55"/>
      <c r="Q1" s="55" t="s">
        <v>469</v>
      </c>
      <c r="R1" s="55"/>
      <c r="S1" s="55"/>
    </row>
    <row r="2" spans="1:19" ht="12.75">
      <c r="A2" s="54"/>
      <c r="B2" s="54"/>
      <c r="C2" s="54"/>
      <c r="D2" s="54"/>
      <c r="E2" s="55" t="s">
        <v>352</v>
      </c>
      <c r="F2" s="55"/>
      <c r="G2" s="55" t="s">
        <v>407</v>
      </c>
      <c r="H2" s="55"/>
      <c r="I2" s="55" t="s">
        <v>415</v>
      </c>
      <c r="J2" s="55"/>
      <c r="K2" s="55" t="s">
        <v>424</v>
      </c>
      <c r="L2" s="55"/>
      <c r="M2" s="55" t="s">
        <v>426</v>
      </c>
      <c r="N2" s="55"/>
      <c r="O2" s="55" t="s">
        <v>445</v>
      </c>
      <c r="P2" s="55"/>
      <c r="Q2" s="55" t="s">
        <v>468</v>
      </c>
      <c r="R2" s="55"/>
      <c r="S2" s="55"/>
    </row>
    <row r="3" spans="1:19" ht="12.75">
      <c r="A3" s="54"/>
      <c r="B3" s="54"/>
      <c r="C3" s="54"/>
      <c r="D3" s="54"/>
      <c r="E3" s="55" t="s">
        <v>356</v>
      </c>
      <c r="F3" s="55"/>
      <c r="G3" s="55" t="s">
        <v>355</v>
      </c>
      <c r="H3" s="55"/>
      <c r="I3" s="55" t="s">
        <v>409</v>
      </c>
      <c r="J3" s="55"/>
      <c r="K3" s="55" t="s">
        <v>416</v>
      </c>
      <c r="L3" s="55"/>
      <c r="M3" s="55" t="s">
        <v>420</v>
      </c>
      <c r="N3" s="55"/>
      <c r="O3" s="55" t="s">
        <v>429</v>
      </c>
      <c r="P3" s="55"/>
      <c r="Q3" s="55" t="s">
        <v>444</v>
      </c>
      <c r="R3" s="55"/>
      <c r="S3" s="55"/>
    </row>
    <row r="4" spans="1:19" ht="12.75">
      <c r="A4" s="54"/>
      <c r="B4" s="54"/>
      <c r="C4" s="54"/>
      <c r="D4" s="54"/>
      <c r="E4" s="55" t="s">
        <v>350</v>
      </c>
      <c r="F4" s="55"/>
      <c r="G4" s="55" t="s">
        <v>387</v>
      </c>
      <c r="H4" s="55"/>
      <c r="I4" s="55" t="s">
        <v>412</v>
      </c>
      <c r="J4" s="55"/>
      <c r="K4" s="55" t="s">
        <v>419</v>
      </c>
      <c r="L4" s="55"/>
      <c r="M4" s="55" t="s">
        <v>425</v>
      </c>
      <c r="N4" s="55"/>
      <c r="O4" s="55" t="s">
        <v>430</v>
      </c>
      <c r="P4" s="55"/>
      <c r="Q4" s="55" t="s">
        <v>450</v>
      </c>
      <c r="R4" s="55"/>
      <c r="S4" s="55"/>
    </row>
    <row r="5" spans="1:19" ht="27.75" customHeight="1">
      <c r="A5" s="294" t="s">
        <v>360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s="9" customFormat="1" ht="28.5" customHeight="1">
      <c r="A6" s="59" t="s">
        <v>0</v>
      </c>
      <c r="B6" s="59" t="s">
        <v>1</v>
      </c>
      <c r="C6" s="92" t="s">
        <v>2</v>
      </c>
      <c r="D6" s="59" t="s">
        <v>3</v>
      </c>
      <c r="E6" s="101" t="s">
        <v>146</v>
      </c>
      <c r="F6" s="101" t="s">
        <v>342</v>
      </c>
      <c r="G6" s="101" t="s">
        <v>147</v>
      </c>
      <c r="H6" s="101" t="s">
        <v>340</v>
      </c>
      <c r="I6" s="101" t="s">
        <v>147</v>
      </c>
      <c r="J6" s="101" t="s">
        <v>340</v>
      </c>
      <c r="K6" s="101" t="s">
        <v>147</v>
      </c>
      <c r="L6" s="101" t="s">
        <v>340</v>
      </c>
      <c r="M6" s="101" t="s">
        <v>147</v>
      </c>
      <c r="N6" s="101" t="s">
        <v>340</v>
      </c>
      <c r="O6" s="101" t="s">
        <v>147</v>
      </c>
      <c r="P6" s="101" t="s">
        <v>340</v>
      </c>
      <c r="Q6" s="101" t="s">
        <v>147</v>
      </c>
      <c r="R6" s="101" t="s">
        <v>340</v>
      </c>
      <c r="S6" s="101" t="s">
        <v>341</v>
      </c>
    </row>
    <row r="7" spans="1:19" s="9" customFormat="1" ht="28.5" customHeight="1">
      <c r="A7" s="36" t="s">
        <v>4</v>
      </c>
      <c r="B7" s="59"/>
      <c r="C7" s="92"/>
      <c r="D7" s="39" t="s">
        <v>5</v>
      </c>
      <c r="E7" s="101"/>
      <c r="F7" s="101"/>
      <c r="G7" s="101"/>
      <c r="H7" s="101"/>
      <c r="I7" s="101"/>
      <c r="J7" s="101"/>
      <c r="K7" s="101"/>
      <c r="L7" s="101"/>
      <c r="M7" s="61">
        <f aca="true" t="shared" si="0" ref="M7:S8">SUM(M8)</f>
        <v>0</v>
      </c>
      <c r="N7" s="61">
        <f t="shared" si="0"/>
        <v>285502</v>
      </c>
      <c r="O7" s="61">
        <f t="shared" si="0"/>
        <v>285502</v>
      </c>
      <c r="P7" s="61">
        <f t="shared" si="0"/>
        <v>0</v>
      </c>
      <c r="Q7" s="61">
        <f t="shared" si="0"/>
        <v>285502</v>
      </c>
      <c r="R7" s="61">
        <f t="shared" si="0"/>
        <v>0</v>
      </c>
      <c r="S7" s="61">
        <f t="shared" si="0"/>
        <v>285502</v>
      </c>
    </row>
    <row r="8" spans="1:19" s="185" customFormat="1" ht="28.5" customHeight="1">
      <c r="A8" s="274"/>
      <c r="B8" s="275" t="s">
        <v>264</v>
      </c>
      <c r="C8" s="276"/>
      <c r="D8" s="278" t="s">
        <v>6</v>
      </c>
      <c r="E8" s="277"/>
      <c r="F8" s="277"/>
      <c r="G8" s="277"/>
      <c r="H8" s="277"/>
      <c r="I8" s="277"/>
      <c r="J8" s="277"/>
      <c r="K8" s="277"/>
      <c r="L8" s="277"/>
      <c r="M8" s="254">
        <f t="shared" si="0"/>
        <v>0</v>
      </c>
      <c r="N8" s="254">
        <f t="shared" si="0"/>
        <v>285502</v>
      </c>
      <c r="O8" s="254">
        <f t="shared" si="0"/>
        <v>285502</v>
      </c>
      <c r="P8" s="254">
        <f t="shared" si="0"/>
        <v>0</v>
      </c>
      <c r="Q8" s="254">
        <f t="shared" si="0"/>
        <v>285502</v>
      </c>
      <c r="R8" s="254">
        <f t="shared" si="0"/>
        <v>0</v>
      </c>
      <c r="S8" s="254">
        <f t="shared" si="0"/>
        <v>285502</v>
      </c>
    </row>
    <row r="9" spans="1:19" s="185" customFormat="1" ht="56.25">
      <c r="A9" s="274"/>
      <c r="B9" s="274"/>
      <c r="C9" s="276">
        <v>2010</v>
      </c>
      <c r="D9" s="41" t="s">
        <v>345</v>
      </c>
      <c r="E9" s="277"/>
      <c r="F9" s="277"/>
      <c r="G9" s="277"/>
      <c r="H9" s="277"/>
      <c r="I9" s="277"/>
      <c r="J9" s="277"/>
      <c r="K9" s="277"/>
      <c r="L9" s="277"/>
      <c r="M9" s="254">
        <v>0</v>
      </c>
      <c r="N9" s="254">
        <v>285502</v>
      </c>
      <c r="O9" s="254">
        <f>SUM(M9:N9)</f>
        <v>285502</v>
      </c>
      <c r="P9" s="254"/>
      <c r="Q9" s="254">
        <f>SUM(O9:P9)</f>
        <v>285502</v>
      </c>
      <c r="R9" s="254"/>
      <c r="S9" s="254">
        <f>SUM(Q9:R9)</f>
        <v>285502</v>
      </c>
    </row>
    <row r="10" spans="1:19" s="9" customFormat="1" ht="24" customHeight="1">
      <c r="A10" s="36" t="s">
        <v>15</v>
      </c>
      <c r="B10" s="29"/>
      <c r="C10" s="53"/>
      <c r="D10" s="39" t="s">
        <v>16</v>
      </c>
      <c r="E10" s="61">
        <f aca="true" t="shared" si="1" ref="E10:S10">SUM(E11)</f>
        <v>156600</v>
      </c>
      <c r="F10" s="61">
        <f t="shared" si="1"/>
        <v>0</v>
      </c>
      <c r="G10" s="61">
        <f t="shared" si="1"/>
        <v>156600</v>
      </c>
      <c r="H10" s="61">
        <f t="shared" si="1"/>
        <v>0</v>
      </c>
      <c r="I10" s="61">
        <f t="shared" si="1"/>
        <v>156600</v>
      </c>
      <c r="J10" s="61">
        <f t="shared" si="1"/>
        <v>0</v>
      </c>
      <c r="K10" s="61">
        <f t="shared" si="1"/>
        <v>156600</v>
      </c>
      <c r="L10" s="61">
        <f t="shared" si="1"/>
        <v>0</v>
      </c>
      <c r="M10" s="61">
        <f t="shared" si="1"/>
        <v>156600</v>
      </c>
      <c r="N10" s="61">
        <f t="shared" si="1"/>
        <v>0</v>
      </c>
      <c r="O10" s="61">
        <f t="shared" si="1"/>
        <v>156600</v>
      </c>
      <c r="P10" s="61">
        <f t="shared" si="1"/>
        <v>0</v>
      </c>
      <c r="Q10" s="61">
        <f t="shared" si="1"/>
        <v>156600</v>
      </c>
      <c r="R10" s="61">
        <f t="shared" si="1"/>
        <v>0</v>
      </c>
      <c r="S10" s="61">
        <f t="shared" si="1"/>
        <v>156600</v>
      </c>
    </row>
    <row r="11" spans="1:19" s="26" customFormat="1" ht="21.75" customHeight="1">
      <c r="A11" s="65"/>
      <c r="B11" s="65">
        <v>75011</v>
      </c>
      <c r="C11" s="66"/>
      <c r="D11" s="41" t="s">
        <v>17</v>
      </c>
      <c r="E11" s="90">
        <f aca="true" t="shared" si="2" ref="E11:S11">E12</f>
        <v>156600</v>
      </c>
      <c r="F11" s="90">
        <f t="shared" si="2"/>
        <v>0</v>
      </c>
      <c r="G11" s="90">
        <f t="shared" si="2"/>
        <v>156600</v>
      </c>
      <c r="H11" s="90">
        <f t="shared" si="2"/>
        <v>0</v>
      </c>
      <c r="I11" s="90">
        <f t="shared" si="2"/>
        <v>156600</v>
      </c>
      <c r="J11" s="90">
        <f t="shared" si="2"/>
        <v>0</v>
      </c>
      <c r="K11" s="90">
        <f t="shared" si="2"/>
        <v>156600</v>
      </c>
      <c r="L11" s="90">
        <f t="shared" si="2"/>
        <v>0</v>
      </c>
      <c r="M11" s="90">
        <f t="shared" si="2"/>
        <v>156600</v>
      </c>
      <c r="N11" s="90">
        <f t="shared" si="2"/>
        <v>0</v>
      </c>
      <c r="O11" s="90">
        <f t="shared" si="2"/>
        <v>156600</v>
      </c>
      <c r="P11" s="90">
        <f t="shared" si="2"/>
        <v>0</v>
      </c>
      <c r="Q11" s="90">
        <f t="shared" si="2"/>
        <v>156600</v>
      </c>
      <c r="R11" s="90">
        <f t="shared" si="2"/>
        <v>0</v>
      </c>
      <c r="S11" s="90">
        <f t="shared" si="2"/>
        <v>156600</v>
      </c>
    </row>
    <row r="12" spans="1:19" s="26" customFormat="1" ht="56.25">
      <c r="A12" s="65"/>
      <c r="B12" s="83"/>
      <c r="C12" s="67" t="s">
        <v>184</v>
      </c>
      <c r="D12" s="41" t="s">
        <v>345</v>
      </c>
      <c r="E12" s="90">
        <v>156600</v>
      </c>
      <c r="F12" s="90"/>
      <c r="G12" s="90">
        <f>SUM(E12:F12)</f>
        <v>156600</v>
      </c>
      <c r="H12" s="90"/>
      <c r="I12" s="90">
        <f>SUM(G12:H12)</f>
        <v>156600</v>
      </c>
      <c r="J12" s="90"/>
      <c r="K12" s="90">
        <f>SUM(I12:J12)</f>
        <v>156600</v>
      </c>
      <c r="L12" s="90"/>
      <c r="M12" s="90">
        <f>SUM(K12:L12)</f>
        <v>156600</v>
      </c>
      <c r="N12" s="90"/>
      <c r="O12" s="90">
        <f>SUM(M12:N12)</f>
        <v>156600</v>
      </c>
      <c r="P12" s="90"/>
      <c r="Q12" s="90">
        <f>SUM(O12:P12)</f>
        <v>156600</v>
      </c>
      <c r="R12" s="90"/>
      <c r="S12" s="90">
        <f>SUM(Q12:R12)</f>
        <v>156600</v>
      </c>
    </row>
    <row r="13" spans="1:19" s="9" customFormat="1" ht="40.5" customHeight="1">
      <c r="A13" s="36">
        <v>751</v>
      </c>
      <c r="B13" s="38"/>
      <c r="C13" s="62"/>
      <c r="D13" s="39" t="s">
        <v>20</v>
      </c>
      <c r="E13" s="63">
        <f>SUM(E14)</f>
        <v>3910</v>
      </c>
      <c r="F13" s="63">
        <f>SUM(F14)</f>
        <v>0</v>
      </c>
      <c r="G13" s="63">
        <f>SUM(G14)</f>
        <v>3910</v>
      </c>
      <c r="H13" s="63">
        <f>SUM(H14)</f>
        <v>0</v>
      </c>
      <c r="I13" s="63">
        <f aca="true" t="shared" si="3" ref="I13:O13">SUM(I14,I16)</f>
        <v>3910</v>
      </c>
      <c r="J13" s="63">
        <f t="shared" si="3"/>
        <v>19932</v>
      </c>
      <c r="K13" s="63">
        <f t="shared" si="3"/>
        <v>23842</v>
      </c>
      <c r="L13" s="63">
        <f t="shared" si="3"/>
        <v>0</v>
      </c>
      <c r="M13" s="63">
        <f t="shared" si="3"/>
        <v>23842</v>
      </c>
      <c r="N13" s="63">
        <f t="shared" si="3"/>
        <v>1000</v>
      </c>
      <c r="O13" s="63">
        <f t="shared" si="3"/>
        <v>24842</v>
      </c>
      <c r="P13" s="63">
        <f>SUM(P14,P16)</f>
        <v>21240</v>
      </c>
      <c r="Q13" s="63">
        <f>SUM(Q14,Q16)</f>
        <v>46082</v>
      </c>
      <c r="R13" s="63">
        <f>SUM(R14,R16)</f>
        <v>0</v>
      </c>
      <c r="S13" s="63">
        <f>SUM(S14,S16)</f>
        <v>46082</v>
      </c>
    </row>
    <row r="14" spans="1:19" s="26" customFormat="1" ht="22.5">
      <c r="A14" s="83"/>
      <c r="B14" s="65">
        <v>75101</v>
      </c>
      <c r="C14" s="66"/>
      <c r="D14" s="41" t="s">
        <v>21</v>
      </c>
      <c r="E14" s="91">
        <f aca="true" t="shared" si="4" ref="E14:S14">E15</f>
        <v>3910</v>
      </c>
      <c r="F14" s="91">
        <f t="shared" si="4"/>
        <v>0</v>
      </c>
      <c r="G14" s="91">
        <f t="shared" si="4"/>
        <v>3910</v>
      </c>
      <c r="H14" s="91">
        <f t="shared" si="4"/>
        <v>0</v>
      </c>
      <c r="I14" s="91">
        <f t="shared" si="4"/>
        <v>3910</v>
      </c>
      <c r="J14" s="91">
        <f t="shared" si="4"/>
        <v>0</v>
      </c>
      <c r="K14" s="91">
        <f t="shared" si="4"/>
        <v>3910</v>
      </c>
      <c r="L14" s="91">
        <f t="shared" si="4"/>
        <v>0</v>
      </c>
      <c r="M14" s="91">
        <f t="shared" si="4"/>
        <v>3910</v>
      </c>
      <c r="N14" s="91">
        <f t="shared" si="4"/>
        <v>0</v>
      </c>
      <c r="O14" s="91">
        <f t="shared" si="4"/>
        <v>3910</v>
      </c>
      <c r="P14" s="91">
        <f t="shared" si="4"/>
        <v>0</v>
      </c>
      <c r="Q14" s="91">
        <f t="shared" si="4"/>
        <v>3910</v>
      </c>
      <c r="R14" s="91">
        <f t="shared" si="4"/>
        <v>0</v>
      </c>
      <c r="S14" s="91">
        <f t="shared" si="4"/>
        <v>3910</v>
      </c>
    </row>
    <row r="15" spans="1:19" s="26" customFormat="1" ht="56.25">
      <c r="A15" s="83"/>
      <c r="B15" s="65"/>
      <c r="C15" s="67" t="s">
        <v>184</v>
      </c>
      <c r="D15" s="41" t="s">
        <v>346</v>
      </c>
      <c r="E15" s="91">
        <v>3910</v>
      </c>
      <c r="F15" s="91"/>
      <c r="G15" s="91">
        <f>SUM(E15:F15)</f>
        <v>3910</v>
      </c>
      <c r="H15" s="91"/>
      <c r="I15" s="91">
        <f>SUM(G15:H15)</f>
        <v>3910</v>
      </c>
      <c r="J15" s="91"/>
      <c r="K15" s="91">
        <f>SUM(I15:J15)</f>
        <v>3910</v>
      </c>
      <c r="L15" s="91"/>
      <c r="M15" s="91">
        <f>SUM(K15:L15)</f>
        <v>3910</v>
      </c>
      <c r="N15" s="91"/>
      <c r="O15" s="91">
        <f>SUM(M15:N15)</f>
        <v>3910</v>
      </c>
      <c r="P15" s="91"/>
      <c r="Q15" s="91">
        <f>SUM(O15:P15)</f>
        <v>3910</v>
      </c>
      <c r="R15" s="91"/>
      <c r="S15" s="91">
        <f>SUM(Q15:R15)</f>
        <v>3910</v>
      </c>
    </row>
    <row r="16" spans="1:19" s="26" customFormat="1" ht="24" customHeight="1">
      <c r="A16" s="83"/>
      <c r="B16" s="65">
        <v>75113</v>
      </c>
      <c r="C16" s="65"/>
      <c r="D16" s="41" t="s">
        <v>413</v>
      </c>
      <c r="E16" s="91"/>
      <c r="F16" s="91"/>
      <c r="G16" s="91"/>
      <c r="H16" s="91"/>
      <c r="I16" s="91">
        <f aca="true" t="shared" si="5" ref="I16:S16">SUM(I17)</f>
        <v>0</v>
      </c>
      <c r="J16" s="91">
        <f t="shared" si="5"/>
        <v>19932</v>
      </c>
      <c r="K16" s="91">
        <f t="shared" si="5"/>
        <v>19932</v>
      </c>
      <c r="L16" s="91">
        <f t="shared" si="5"/>
        <v>0</v>
      </c>
      <c r="M16" s="91">
        <f t="shared" si="5"/>
        <v>19932</v>
      </c>
      <c r="N16" s="91">
        <f t="shared" si="5"/>
        <v>1000</v>
      </c>
      <c r="O16" s="91">
        <f t="shared" si="5"/>
        <v>20932</v>
      </c>
      <c r="P16" s="91">
        <f t="shared" si="5"/>
        <v>21240</v>
      </c>
      <c r="Q16" s="91">
        <f t="shared" si="5"/>
        <v>42172</v>
      </c>
      <c r="R16" s="91">
        <f t="shared" si="5"/>
        <v>0</v>
      </c>
      <c r="S16" s="91">
        <f t="shared" si="5"/>
        <v>42172</v>
      </c>
    </row>
    <row r="17" spans="1:19" s="26" customFormat="1" ht="56.25">
      <c r="A17" s="83"/>
      <c r="B17" s="65"/>
      <c r="C17" s="65">
        <v>2010</v>
      </c>
      <c r="D17" s="41" t="s">
        <v>346</v>
      </c>
      <c r="E17" s="91"/>
      <c r="F17" s="91"/>
      <c r="G17" s="91"/>
      <c r="H17" s="91"/>
      <c r="I17" s="91">
        <v>0</v>
      </c>
      <c r="J17" s="91">
        <v>19932</v>
      </c>
      <c r="K17" s="91">
        <f>SUM(I17:J17)</f>
        <v>19932</v>
      </c>
      <c r="L17" s="91"/>
      <c r="M17" s="91">
        <f>SUM(K17:L17)</f>
        <v>19932</v>
      </c>
      <c r="N17" s="91">
        <v>1000</v>
      </c>
      <c r="O17" s="91">
        <f>SUM(M17:N17)</f>
        <v>20932</v>
      </c>
      <c r="P17" s="91">
        <v>21240</v>
      </c>
      <c r="Q17" s="91">
        <f>SUM(O17:P17)</f>
        <v>42172</v>
      </c>
      <c r="R17" s="91"/>
      <c r="S17" s="91">
        <f>SUM(Q17:R17)</f>
        <v>42172</v>
      </c>
    </row>
    <row r="18" spans="1:19" s="13" customFormat="1" ht="24.75" customHeight="1">
      <c r="A18" s="123" t="s">
        <v>112</v>
      </c>
      <c r="B18" s="124"/>
      <c r="C18" s="125"/>
      <c r="D18" s="126" t="s">
        <v>113</v>
      </c>
      <c r="E18" s="127">
        <f aca="true" t="shared" si="6" ref="E18:K18">SUM(E19,E21)</f>
        <v>55768</v>
      </c>
      <c r="F18" s="127">
        <f t="shared" si="6"/>
        <v>0</v>
      </c>
      <c r="G18" s="127">
        <f t="shared" si="6"/>
        <v>55768</v>
      </c>
      <c r="H18" s="127">
        <f t="shared" si="6"/>
        <v>0</v>
      </c>
      <c r="I18" s="127">
        <f t="shared" si="6"/>
        <v>55768</v>
      </c>
      <c r="J18" s="127">
        <f t="shared" si="6"/>
        <v>0</v>
      </c>
      <c r="K18" s="127">
        <f t="shared" si="6"/>
        <v>55768</v>
      </c>
      <c r="L18" s="127">
        <f aca="true" t="shared" si="7" ref="L18:Q18">SUM(L19,L21)</f>
        <v>0</v>
      </c>
      <c r="M18" s="127">
        <f t="shared" si="7"/>
        <v>55768</v>
      </c>
      <c r="N18" s="127">
        <f t="shared" si="7"/>
        <v>0</v>
      </c>
      <c r="O18" s="127">
        <f t="shared" si="7"/>
        <v>55768</v>
      </c>
      <c r="P18" s="127">
        <f t="shared" si="7"/>
        <v>0</v>
      </c>
      <c r="Q18" s="127">
        <f t="shared" si="7"/>
        <v>55768</v>
      </c>
      <c r="R18" s="127">
        <f>SUM(R19,R21)</f>
        <v>0</v>
      </c>
      <c r="S18" s="127">
        <f>SUM(S19,S21)</f>
        <v>55768</v>
      </c>
    </row>
    <row r="19" spans="1:19" s="26" customFormat="1" ht="24.75" customHeight="1">
      <c r="A19" s="65"/>
      <c r="B19" s="79" t="s">
        <v>114</v>
      </c>
      <c r="C19" s="83"/>
      <c r="D19" s="41" t="s">
        <v>53</v>
      </c>
      <c r="E19" s="90">
        <f aca="true" t="shared" si="8" ref="E19:S19">SUM(E20)</f>
        <v>4782</v>
      </c>
      <c r="F19" s="90">
        <f t="shared" si="8"/>
        <v>0</v>
      </c>
      <c r="G19" s="90">
        <f t="shared" si="8"/>
        <v>4782</v>
      </c>
      <c r="H19" s="90">
        <f t="shared" si="8"/>
        <v>0</v>
      </c>
      <c r="I19" s="90">
        <f t="shared" si="8"/>
        <v>4782</v>
      </c>
      <c r="J19" s="90">
        <f t="shared" si="8"/>
        <v>0</v>
      </c>
      <c r="K19" s="90">
        <f t="shared" si="8"/>
        <v>4782</v>
      </c>
      <c r="L19" s="90">
        <f t="shared" si="8"/>
        <v>0</v>
      </c>
      <c r="M19" s="90">
        <f t="shared" si="8"/>
        <v>4782</v>
      </c>
      <c r="N19" s="90">
        <f t="shared" si="8"/>
        <v>0</v>
      </c>
      <c r="O19" s="90">
        <f t="shared" si="8"/>
        <v>4782</v>
      </c>
      <c r="P19" s="90">
        <f t="shared" si="8"/>
        <v>0</v>
      </c>
      <c r="Q19" s="90">
        <f t="shared" si="8"/>
        <v>4782</v>
      </c>
      <c r="R19" s="90">
        <f t="shared" si="8"/>
        <v>0</v>
      </c>
      <c r="S19" s="90">
        <f t="shared" si="8"/>
        <v>4782</v>
      </c>
    </row>
    <row r="20" spans="1:19" s="26" customFormat="1" ht="45">
      <c r="A20" s="83"/>
      <c r="B20" s="65"/>
      <c r="C20" s="122">
        <v>2310</v>
      </c>
      <c r="D20" s="41" t="s">
        <v>241</v>
      </c>
      <c r="E20" s="69">
        <v>4782</v>
      </c>
      <c r="F20" s="69"/>
      <c r="G20" s="69">
        <f>SUM(E20:F20)</f>
        <v>4782</v>
      </c>
      <c r="H20" s="69"/>
      <c r="I20" s="69">
        <f>SUM(G20:H20)</f>
        <v>4782</v>
      </c>
      <c r="J20" s="69"/>
      <c r="K20" s="69">
        <f>SUM(I20:J20)</f>
        <v>4782</v>
      </c>
      <c r="L20" s="69"/>
      <c r="M20" s="69">
        <f>SUM(K20:L20)</f>
        <v>4782</v>
      </c>
      <c r="N20" s="69"/>
      <c r="O20" s="69">
        <f>SUM(M20:N20)</f>
        <v>4782</v>
      </c>
      <c r="P20" s="69"/>
      <c r="Q20" s="69">
        <f>SUM(O20:P20)</f>
        <v>4782</v>
      </c>
      <c r="R20" s="69"/>
      <c r="S20" s="69">
        <f>SUM(Q20:R20)</f>
        <v>4782</v>
      </c>
    </row>
    <row r="21" spans="1:19" s="26" customFormat="1" ht="24" customHeight="1">
      <c r="A21" s="83"/>
      <c r="B21" s="65">
        <v>80195</v>
      </c>
      <c r="C21" s="122"/>
      <c r="D21" s="41" t="s">
        <v>6</v>
      </c>
      <c r="E21" s="69">
        <f aca="true" t="shared" si="9" ref="E21:S21">SUM(E22)</f>
        <v>50986</v>
      </c>
      <c r="F21" s="69">
        <f t="shared" si="9"/>
        <v>0</v>
      </c>
      <c r="G21" s="69">
        <f t="shared" si="9"/>
        <v>50986</v>
      </c>
      <c r="H21" s="69">
        <f t="shared" si="9"/>
        <v>0</v>
      </c>
      <c r="I21" s="69">
        <f t="shared" si="9"/>
        <v>50986</v>
      </c>
      <c r="J21" s="69">
        <f t="shared" si="9"/>
        <v>0</v>
      </c>
      <c r="K21" s="69">
        <f t="shared" si="9"/>
        <v>50986</v>
      </c>
      <c r="L21" s="69">
        <f t="shared" si="9"/>
        <v>0</v>
      </c>
      <c r="M21" s="69">
        <f t="shared" si="9"/>
        <v>50986</v>
      </c>
      <c r="N21" s="69">
        <f t="shared" si="9"/>
        <v>0</v>
      </c>
      <c r="O21" s="69">
        <f t="shared" si="9"/>
        <v>50986</v>
      </c>
      <c r="P21" s="69">
        <f t="shared" si="9"/>
        <v>0</v>
      </c>
      <c r="Q21" s="69">
        <f t="shared" si="9"/>
        <v>50986</v>
      </c>
      <c r="R21" s="69">
        <f t="shared" si="9"/>
        <v>0</v>
      </c>
      <c r="S21" s="69">
        <f t="shared" si="9"/>
        <v>50986</v>
      </c>
    </row>
    <row r="22" spans="1:19" s="26" customFormat="1" ht="45">
      <c r="A22" s="83"/>
      <c r="B22" s="65"/>
      <c r="C22" s="122">
        <v>2030</v>
      </c>
      <c r="D22" s="74" t="s">
        <v>210</v>
      </c>
      <c r="E22" s="69">
        <v>50986</v>
      </c>
      <c r="F22" s="69"/>
      <c r="G22" s="69">
        <f>SUM(E22:F22)</f>
        <v>50986</v>
      </c>
      <c r="H22" s="69"/>
      <c r="I22" s="69">
        <f>SUM(G22:H22)</f>
        <v>50986</v>
      </c>
      <c r="J22" s="69"/>
      <c r="K22" s="69">
        <f>SUM(I22:J22)</f>
        <v>50986</v>
      </c>
      <c r="L22" s="69"/>
      <c r="M22" s="69">
        <f>SUM(K22:L22)</f>
        <v>50986</v>
      </c>
      <c r="N22" s="69"/>
      <c r="O22" s="69">
        <f>SUM(M22:N22)</f>
        <v>50986</v>
      </c>
      <c r="P22" s="69"/>
      <c r="Q22" s="69">
        <f>SUM(O22:P22)</f>
        <v>50986</v>
      </c>
      <c r="R22" s="69"/>
      <c r="S22" s="69">
        <f>SUM(Q22:R22)</f>
        <v>50986</v>
      </c>
    </row>
    <row r="23" spans="1:19" s="43" customFormat="1" ht="27" customHeight="1">
      <c r="A23" s="36" t="s">
        <v>159</v>
      </c>
      <c r="B23" s="38"/>
      <c r="C23" s="62"/>
      <c r="D23" s="39" t="s">
        <v>194</v>
      </c>
      <c r="E23" s="61">
        <f aca="true" t="shared" si="10" ref="E23:K23">SUM(E24,E26,E28,E31,E33,)</f>
        <v>8801400</v>
      </c>
      <c r="F23" s="61">
        <f t="shared" si="10"/>
        <v>0</v>
      </c>
      <c r="G23" s="61">
        <f t="shared" si="10"/>
        <v>8801400</v>
      </c>
      <c r="H23" s="61">
        <f t="shared" si="10"/>
        <v>312600</v>
      </c>
      <c r="I23" s="61">
        <f t="shared" si="10"/>
        <v>9114000</v>
      </c>
      <c r="J23" s="61">
        <f t="shared" si="10"/>
        <v>13050</v>
      </c>
      <c r="K23" s="61">
        <f t="shared" si="10"/>
        <v>9127050</v>
      </c>
      <c r="L23" s="61">
        <f aca="true" t="shared" si="11" ref="L23:Q23">SUM(L24,L26,L28,L31,L33,)</f>
        <v>75000</v>
      </c>
      <c r="M23" s="61">
        <f t="shared" si="11"/>
        <v>9202050</v>
      </c>
      <c r="N23" s="61">
        <f t="shared" si="11"/>
        <v>0</v>
      </c>
      <c r="O23" s="61">
        <f t="shared" si="11"/>
        <v>9202050</v>
      </c>
      <c r="P23" s="61">
        <f t="shared" si="11"/>
        <v>0</v>
      </c>
      <c r="Q23" s="61">
        <f t="shared" si="11"/>
        <v>9202050</v>
      </c>
      <c r="R23" s="61">
        <f>SUM(R24,R26,R28,R31,R33,)</f>
        <v>0</v>
      </c>
      <c r="S23" s="61">
        <f>SUM(S24,S26,S28,S31,S33,)</f>
        <v>9202050</v>
      </c>
    </row>
    <row r="24" spans="1:19" s="26" customFormat="1" ht="45">
      <c r="A24" s="65"/>
      <c r="B24" s="48">
        <v>85212</v>
      </c>
      <c r="C24" s="76"/>
      <c r="D24" s="74" t="s">
        <v>388</v>
      </c>
      <c r="E24" s="88">
        <f aca="true" t="shared" si="12" ref="E24:S24">SUM(E25)</f>
        <v>6479100</v>
      </c>
      <c r="F24" s="88">
        <f t="shared" si="12"/>
        <v>0</v>
      </c>
      <c r="G24" s="88">
        <f t="shared" si="12"/>
        <v>6479100</v>
      </c>
      <c r="H24" s="88">
        <f t="shared" si="12"/>
        <v>334300</v>
      </c>
      <c r="I24" s="88">
        <f t="shared" si="12"/>
        <v>6813400</v>
      </c>
      <c r="J24" s="88">
        <f t="shared" si="12"/>
        <v>0</v>
      </c>
      <c r="K24" s="88">
        <f t="shared" si="12"/>
        <v>6813400</v>
      </c>
      <c r="L24" s="88">
        <f t="shared" si="12"/>
        <v>0</v>
      </c>
      <c r="M24" s="88">
        <f t="shared" si="12"/>
        <v>6813400</v>
      </c>
      <c r="N24" s="88">
        <f t="shared" si="12"/>
        <v>0</v>
      </c>
      <c r="O24" s="88">
        <f t="shared" si="12"/>
        <v>6813400</v>
      </c>
      <c r="P24" s="88">
        <f t="shared" si="12"/>
        <v>0</v>
      </c>
      <c r="Q24" s="88">
        <f t="shared" si="12"/>
        <v>6813400</v>
      </c>
      <c r="R24" s="88">
        <f t="shared" si="12"/>
        <v>0</v>
      </c>
      <c r="S24" s="88">
        <f t="shared" si="12"/>
        <v>6813400</v>
      </c>
    </row>
    <row r="25" spans="1:19" s="26" customFormat="1" ht="56.25">
      <c r="A25" s="65"/>
      <c r="B25" s="48"/>
      <c r="C25" s="76">
        <v>2010</v>
      </c>
      <c r="D25" s="41" t="s">
        <v>345</v>
      </c>
      <c r="E25" s="88">
        <v>6479100</v>
      </c>
      <c r="F25" s="88"/>
      <c r="G25" s="88">
        <f>SUM(E25:F25)</f>
        <v>6479100</v>
      </c>
      <c r="H25" s="88">
        <v>334300</v>
      </c>
      <c r="I25" s="88">
        <f>SUM(G25:H25)</f>
        <v>6813400</v>
      </c>
      <c r="J25" s="88"/>
      <c r="K25" s="88">
        <f>SUM(I25:J25)</f>
        <v>6813400</v>
      </c>
      <c r="L25" s="88"/>
      <c r="M25" s="88">
        <f>SUM(K25:L25)</f>
        <v>6813400</v>
      </c>
      <c r="N25" s="88"/>
      <c r="O25" s="88">
        <f>SUM(M25:N25)</f>
        <v>6813400</v>
      </c>
      <c r="P25" s="88"/>
      <c r="Q25" s="88">
        <f>SUM(O25:P25)</f>
        <v>6813400</v>
      </c>
      <c r="R25" s="88"/>
      <c r="S25" s="88">
        <f>SUM(Q25:R25)</f>
        <v>6813400</v>
      </c>
    </row>
    <row r="26" spans="1:19" s="26" customFormat="1" ht="67.5">
      <c r="A26" s="65"/>
      <c r="B26" s="83">
        <v>85213</v>
      </c>
      <c r="C26" s="66"/>
      <c r="D26" s="74" t="s">
        <v>337</v>
      </c>
      <c r="E26" s="88">
        <f aca="true" t="shared" si="13" ref="E26:S26">SUM(E27)</f>
        <v>59100</v>
      </c>
      <c r="F26" s="88">
        <f t="shared" si="13"/>
        <v>0</v>
      </c>
      <c r="G26" s="88">
        <f t="shared" si="13"/>
        <v>59100</v>
      </c>
      <c r="H26" s="88">
        <f t="shared" si="13"/>
        <v>-4100</v>
      </c>
      <c r="I26" s="88">
        <f t="shared" si="13"/>
        <v>55000</v>
      </c>
      <c r="J26" s="88">
        <f t="shared" si="13"/>
        <v>0</v>
      </c>
      <c r="K26" s="88">
        <f t="shared" si="13"/>
        <v>55000</v>
      </c>
      <c r="L26" s="88">
        <f t="shared" si="13"/>
        <v>0</v>
      </c>
      <c r="M26" s="88">
        <f t="shared" si="13"/>
        <v>55000</v>
      </c>
      <c r="N26" s="88">
        <f t="shared" si="13"/>
        <v>0</v>
      </c>
      <c r="O26" s="88">
        <f t="shared" si="13"/>
        <v>55000</v>
      </c>
      <c r="P26" s="88">
        <f t="shared" si="13"/>
        <v>0</v>
      </c>
      <c r="Q26" s="88">
        <f t="shared" si="13"/>
        <v>55000</v>
      </c>
      <c r="R26" s="88">
        <f t="shared" si="13"/>
        <v>0</v>
      </c>
      <c r="S26" s="88">
        <f t="shared" si="13"/>
        <v>55000</v>
      </c>
    </row>
    <row r="27" spans="1:19" s="26" customFormat="1" ht="56.25">
      <c r="A27" s="65"/>
      <c r="B27" s="83"/>
      <c r="C27" s="66">
        <v>2010</v>
      </c>
      <c r="D27" s="41" t="s">
        <v>220</v>
      </c>
      <c r="E27" s="88">
        <v>59100</v>
      </c>
      <c r="F27" s="88"/>
      <c r="G27" s="88">
        <f>SUM(E27:F27)</f>
        <v>59100</v>
      </c>
      <c r="H27" s="88">
        <v>-4100</v>
      </c>
      <c r="I27" s="88">
        <f>SUM(G27:H27)</f>
        <v>55000</v>
      </c>
      <c r="J27" s="88"/>
      <c r="K27" s="88">
        <f>SUM(I27:J27)</f>
        <v>55000</v>
      </c>
      <c r="L27" s="88"/>
      <c r="M27" s="88">
        <f>SUM(K27:L27)</f>
        <v>55000</v>
      </c>
      <c r="N27" s="88"/>
      <c r="O27" s="88">
        <f>SUM(M27:N27)</f>
        <v>55000</v>
      </c>
      <c r="P27" s="88"/>
      <c r="Q27" s="88">
        <f>SUM(O27:P27)</f>
        <v>55000</v>
      </c>
      <c r="R27" s="88"/>
      <c r="S27" s="88">
        <f>SUM(Q27:R27)</f>
        <v>55000</v>
      </c>
    </row>
    <row r="28" spans="1:19" s="26" customFormat="1" ht="22.5">
      <c r="A28" s="65"/>
      <c r="B28" s="65" t="s">
        <v>160</v>
      </c>
      <c r="C28" s="66"/>
      <c r="D28" s="41" t="s">
        <v>229</v>
      </c>
      <c r="E28" s="90">
        <f aca="true" t="shared" si="14" ref="E28:K28">SUM(E29:E30)</f>
        <v>1124100</v>
      </c>
      <c r="F28" s="90">
        <f t="shared" si="14"/>
        <v>0</v>
      </c>
      <c r="G28" s="90">
        <f t="shared" si="14"/>
        <v>1124100</v>
      </c>
      <c r="H28" s="90">
        <f t="shared" si="14"/>
        <v>-17600</v>
      </c>
      <c r="I28" s="90">
        <f t="shared" si="14"/>
        <v>1106500</v>
      </c>
      <c r="J28" s="90">
        <f t="shared" si="14"/>
        <v>0</v>
      </c>
      <c r="K28" s="90">
        <f t="shared" si="14"/>
        <v>1106500</v>
      </c>
      <c r="L28" s="90">
        <f aca="true" t="shared" si="15" ref="L28:Q28">SUM(L29:L30)</f>
        <v>0</v>
      </c>
      <c r="M28" s="90">
        <f t="shared" si="15"/>
        <v>1106500</v>
      </c>
      <c r="N28" s="90">
        <f t="shared" si="15"/>
        <v>0</v>
      </c>
      <c r="O28" s="90">
        <f t="shared" si="15"/>
        <v>1106500</v>
      </c>
      <c r="P28" s="90">
        <f t="shared" si="15"/>
        <v>0</v>
      </c>
      <c r="Q28" s="90">
        <f t="shared" si="15"/>
        <v>1106500</v>
      </c>
      <c r="R28" s="90">
        <f>SUM(R29:R30)</f>
        <v>0</v>
      </c>
      <c r="S28" s="90">
        <f>SUM(S29:S30)</f>
        <v>1106500</v>
      </c>
    </row>
    <row r="29" spans="1:19" s="26" customFormat="1" ht="56.25">
      <c r="A29" s="65"/>
      <c r="B29" s="65"/>
      <c r="C29" s="67" t="s">
        <v>184</v>
      </c>
      <c r="D29" s="41" t="s">
        <v>225</v>
      </c>
      <c r="E29" s="90">
        <v>468000</v>
      </c>
      <c r="F29" s="90"/>
      <c r="G29" s="90">
        <f>SUM(E29:F29)</f>
        <v>468000</v>
      </c>
      <c r="H29" s="90">
        <v>50700</v>
      </c>
      <c r="I29" s="90">
        <f>SUM(G29:H29)</f>
        <v>518700</v>
      </c>
      <c r="J29" s="90"/>
      <c r="K29" s="90">
        <f>SUM(I29:J29)</f>
        <v>518700</v>
      </c>
      <c r="L29" s="90"/>
      <c r="M29" s="90">
        <f>SUM(K29:L29)</f>
        <v>518700</v>
      </c>
      <c r="N29" s="90"/>
      <c r="O29" s="90">
        <f>SUM(M29:N29)</f>
        <v>518700</v>
      </c>
      <c r="P29" s="90"/>
      <c r="Q29" s="90">
        <f>SUM(O29:P29)</f>
        <v>518700</v>
      </c>
      <c r="R29" s="90"/>
      <c r="S29" s="90">
        <f>SUM(Q29:R29)</f>
        <v>518700</v>
      </c>
    </row>
    <row r="30" spans="1:19" s="26" customFormat="1" ht="33.75">
      <c r="A30" s="65"/>
      <c r="B30" s="65"/>
      <c r="C30" s="67">
        <v>2030</v>
      </c>
      <c r="D30" s="74" t="s">
        <v>221</v>
      </c>
      <c r="E30" s="90">
        <v>656100</v>
      </c>
      <c r="F30" s="90"/>
      <c r="G30" s="90">
        <f>SUM(E30:F30)</f>
        <v>656100</v>
      </c>
      <c r="H30" s="90">
        <v>-68300</v>
      </c>
      <c r="I30" s="90">
        <f>SUM(G30:H30)</f>
        <v>587800</v>
      </c>
      <c r="J30" s="90"/>
      <c r="K30" s="90">
        <f>SUM(I30:J30)</f>
        <v>587800</v>
      </c>
      <c r="L30" s="90"/>
      <c r="M30" s="90">
        <f>SUM(K30:L30)</f>
        <v>587800</v>
      </c>
      <c r="N30" s="90"/>
      <c r="O30" s="90">
        <f>SUM(M30:N30)</f>
        <v>587800</v>
      </c>
      <c r="P30" s="90"/>
      <c r="Q30" s="90">
        <f>SUM(O30:P30)</f>
        <v>587800</v>
      </c>
      <c r="R30" s="90"/>
      <c r="S30" s="90">
        <f>SUM(Q30:R30)</f>
        <v>587800</v>
      </c>
    </row>
    <row r="31" spans="1:19" s="26" customFormat="1" ht="23.25" customHeight="1">
      <c r="A31" s="65"/>
      <c r="B31" s="65" t="s">
        <v>161</v>
      </c>
      <c r="C31" s="66"/>
      <c r="D31" s="41" t="s">
        <v>60</v>
      </c>
      <c r="E31" s="90">
        <f aca="true" t="shared" si="16" ref="E31:S31">E32</f>
        <v>597800</v>
      </c>
      <c r="F31" s="90">
        <f t="shared" si="16"/>
        <v>0</v>
      </c>
      <c r="G31" s="90">
        <f t="shared" si="16"/>
        <v>597800</v>
      </c>
      <c r="H31" s="90">
        <f t="shared" si="16"/>
        <v>0</v>
      </c>
      <c r="I31" s="90">
        <f t="shared" si="16"/>
        <v>597800</v>
      </c>
      <c r="J31" s="90">
        <f t="shared" si="16"/>
        <v>13050</v>
      </c>
      <c r="K31" s="90">
        <f t="shared" si="16"/>
        <v>610850</v>
      </c>
      <c r="L31" s="90">
        <f t="shared" si="16"/>
        <v>0</v>
      </c>
      <c r="M31" s="90">
        <f t="shared" si="16"/>
        <v>610850</v>
      </c>
      <c r="N31" s="90">
        <f t="shared" si="16"/>
        <v>0</v>
      </c>
      <c r="O31" s="90">
        <f t="shared" si="16"/>
        <v>610850</v>
      </c>
      <c r="P31" s="90">
        <f t="shared" si="16"/>
        <v>0</v>
      </c>
      <c r="Q31" s="90">
        <f t="shared" si="16"/>
        <v>610850</v>
      </c>
      <c r="R31" s="90">
        <f t="shared" si="16"/>
        <v>0</v>
      </c>
      <c r="S31" s="90">
        <f t="shared" si="16"/>
        <v>610850</v>
      </c>
    </row>
    <row r="32" spans="1:19" s="26" customFormat="1" ht="45">
      <c r="A32" s="65"/>
      <c r="B32" s="65"/>
      <c r="C32" s="67">
        <v>2030</v>
      </c>
      <c r="D32" s="74" t="s">
        <v>210</v>
      </c>
      <c r="E32" s="90">
        <v>597800</v>
      </c>
      <c r="F32" s="90"/>
      <c r="G32" s="90">
        <f>SUM(E32:F32)</f>
        <v>597800</v>
      </c>
      <c r="H32" s="90"/>
      <c r="I32" s="90">
        <f>SUM(G32:H32)</f>
        <v>597800</v>
      </c>
      <c r="J32" s="90">
        <v>13050</v>
      </c>
      <c r="K32" s="90">
        <f>SUM(I32:J32)</f>
        <v>610850</v>
      </c>
      <c r="L32" s="90"/>
      <c r="M32" s="90">
        <f>SUM(K32:L32)</f>
        <v>610850</v>
      </c>
      <c r="N32" s="90"/>
      <c r="O32" s="90">
        <f>SUM(M32:N32)</f>
        <v>610850</v>
      </c>
      <c r="P32" s="90"/>
      <c r="Q32" s="90">
        <f>SUM(O32:P32)</f>
        <v>610850</v>
      </c>
      <c r="R32" s="90"/>
      <c r="S32" s="90">
        <f>SUM(Q32:R32)</f>
        <v>610850</v>
      </c>
    </row>
    <row r="33" spans="1:19" s="26" customFormat="1" ht="24" customHeight="1">
      <c r="A33" s="65"/>
      <c r="B33" s="65">
        <v>85295</v>
      </c>
      <c r="C33" s="67"/>
      <c r="D33" s="74" t="s">
        <v>6</v>
      </c>
      <c r="E33" s="90">
        <f aca="true" t="shared" si="17" ref="E33:S33">SUM(E34)</f>
        <v>541300</v>
      </c>
      <c r="F33" s="90">
        <f t="shared" si="17"/>
        <v>0</v>
      </c>
      <c r="G33" s="90">
        <f t="shared" si="17"/>
        <v>541300</v>
      </c>
      <c r="H33" s="90">
        <f t="shared" si="17"/>
        <v>0</v>
      </c>
      <c r="I33" s="90">
        <f t="shared" si="17"/>
        <v>541300</v>
      </c>
      <c r="J33" s="90">
        <f t="shared" si="17"/>
        <v>0</v>
      </c>
      <c r="K33" s="90">
        <f t="shared" si="17"/>
        <v>541300</v>
      </c>
      <c r="L33" s="90">
        <f t="shared" si="17"/>
        <v>75000</v>
      </c>
      <c r="M33" s="90">
        <f t="shared" si="17"/>
        <v>616300</v>
      </c>
      <c r="N33" s="90">
        <f t="shared" si="17"/>
        <v>0</v>
      </c>
      <c r="O33" s="90">
        <f t="shared" si="17"/>
        <v>616300</v>
      </c>
      <c r="P33" s="90">
        <f t="shared" si="17"/>
        <v>0</v>
      </c>
      <c r="Q33" s="90">
        <f t="shared" si="17"/>
        <v>616300</v>
      </c>
      <c r="R33" s="90">
        <f t="shared" si="17"/>
        <v>0</v>
      </c>
      <c r="S33" s="90">
        <f t="shared" si="17"/>
        <v>616300</v>
      </c>
    </row>
    <row r="34" spans="1:19" s="26" customFormat="1" ht="33.75">
      <c r="A34" s="65"/>
      <c r="B34" s="65"/>
      <c r="C34" s="67">
        <v>2030</v>
      </c>
      <c r="D34" s="74" t="s">
        <v>221</v>
      </c>
      <c r="E34" s="90">
        <v>541300</v>
      </c>
      <c r="F34" s="90"/>
      <c r="G34" s="90">
        <f>SUM(E34:F34)</f>
        <v>541300</v>
      </c>
      <c r="H34" s="90"/>
      <c r="I34" s="90">
        <f>SUM(G34:H34)</f>
        <v>541300</v>
      </c>
      <c r="J34" s="90"/>
      <c r="K34" s="90">
        <f>SUM(I34:J34)</f>
        <v>541300</v>
      </c>
      <c r="L34" s="90">
        <v>75000</v>
      </c>
      <c r="M34" s="90">
        <f>SUM(K34:L34)</f>
        <v>616300</v>
      </c>
      <c r="N34" s="90"/>
      <c r="O34" s="90">
        <f>SUM(M34:N34)</f>
        <v>616300</v>
      </c>
      <c r="P34" s="90"/>
      <c r="Q34" s="90">
        <f>SUM(O34:P34)</f>
        <v>616300</v>
      </c>
      <c r="R34" s="90"/>
      <c r="S34" s="90">
        <f>SUM(Q34:R34)</f>
        <v>616300</v>
      </c>
    </row>
    <row r="35" spans="1:19" s="145" customFormat="1" ht="24" customHeight="1">
      <c r="A35" s="227">
        <v>854</v>
      </c>
      <c r="B35" s="245"/>
      <c r="C35" s="246"/>
      <c r="D35" s="39" t="s">
        <v>61</v>
      </c>
      <c r="E35" s="249">
        <f aca="true" t="shared" si="18" ref="E35:S36">SUM(E36)</f>
        <v>0</v>
      </c>
      <c r="F35" s="249">
        <f t="shared" si="18"/>
        <v>252163</v>
      </c>
      <c r="G35" s="249">
        <f t="shared" si="18"/>
        <v>252163</v>
      </c>
      <c r="H35" s="249">
        <f t="shared" si="18"/>
        <v>0</v>
      </c>
      <c r="I35" s="249">
        <f t="shared" si="18"/>
        <v>252163</v>
      </c>
      <c r="J35" s="249">
        <f t="shared" si="18"/>
        <v>0</v>
      </c>
      <c r="K35" s="249">
        <f t="shared" si="18"/>
        <v>252163</v>
      </c>
      <c r="L35" s="249">
        <f t="shared" si="18"/>
        <v>0</v>
      </c>
      <c r="M35" s="249">
        <f t="shared" si="18"/>
        <v>252163</v>
      </c>
      <c r="N35" s="249">
        <f t="shared" si="18"/>
        <v>0</v>
      </c>
      <c r="O35" s="249">
        <f t="shared" si="18"/>
        <v>252163</v>
      </c>
      <c r="P35" s="249">
        <f t="shared" si="18"/>
        <v>0</v>
      </c>
      <c r="Q35" s="249">
        <f t="shared" si="18"/>
        <v>252163</v>
      </c>
      <c r="R35" s="249">
        <f t="shared" si="18"/>
        <v>51940</v>
      </c>
      <c r="S35" s="249">
        <f t="shared" si="18"/>
        <v>304103</v>
      </c>
    </row>
    <row r="36" spans="1:19" s="26" customFormat="1" ht="21.75" customHeight="1">
      <c r="A36" s="70"/>
      <c r="B36" s="71">
        <v>85415</v>
      </c>
      <c r="C36" s="72"/>
      <c r="D36" s="41" t="s">
        <v>239</v>
      </c>
      <c r="E36" s="90">
        <f t="shared" si="18"/>
        <v>0</v>
      </c>
      <c r="F36" s="90">
        <f t="shared" si="18"/>
        <v>252163</v>
      </c>
      <c r="G36" s="90">
        <f t="shared" si="18"/>
        <v>252163</v>
      </c>
      <c r="H36" s="90">
        <f t="shared" si="18"/>
        <v>0</v>
      </c>
      <c r="I36" s="90">
        <f t="shared" si="18"/>
        <v>252163</v>
      </c>
      <c r="J36" s="90">
        <f t="shared" si="18"/>
        <v>0</v>
      </c>
      <c r="K36" s="90">
        <f t="shared" si="18"/>
        <v>252163</v>
      </c>
      <c r="L36" s="90">
        <f t="shared" si="18"/>
        <v>0</v>
      </c>
      <c r="M36" s="90">
        <f t="shared" si="18"/>
        <v>252163</v>
      </c>
      <c r="N36" s="90">
        <f t="shared" si="18"/>
        <v>0</v>
      </c>
      <c r="O36" s="90">
        <f t="shared" si="18"/>
        <v>252163</v>
      </c>
      <c r="P36" s="90">
        <f t="shared" si="18"/>
        <v>0</v>
      </c>
      <c r="Q36" s="90">
        <f t="shared" si="18"/>
        <v>252163</v>
      </c>
      <c r="R36" s="90">
        <f t="shared" si="18"/>
        <v>51940</v>
      </c>
      <c r="S36" s="90">
        <f t="shared" si="18"/>
        <v>304103</v>
      </c>
    </row>
    <row r="37" spans="1:19" s="26" customFormat="1" ht="22.5" customHeight="1">
      <c r="A37" s="65"/>
      <c r="B37" s="65"/>
      <c r="C37" s="67">
        <v>2030</v>
      </c>
      <c r="D37" s="74" t="s">
        <v>221</v>
      </c>
      <c r="E37" s="90">
        <v>0</v>
      </c>
      <c r="F37" s="90">
        <v>252163</v>
      </c>
      <c r="G37" s="90">
        <f>SUM(E37:F37)</f>
        <v>252163</v>
      </c>
      <c r="H37" s="90"/>
      <c r="I37" s="90">
        <f>SUM(G37:H37)</f>
        <v>252163</v>
      </c>
      <c r="J37" s="90"/>
      <c r="K37" s="90">
        <f>SUM(I37:J37)</f>
        <v>252163</v>
      </c>
      <c r="L37" s="90"/>
      <c r="M37" s="90">
        <f>SUM(K37:L37)</f>
        <v>252163</v>
      </c>
      <c r="N37" s="90"/>
      <c r="O37" s="90">
        <f>SUM(M37:N37)</f>
        <v>252163</v>
      </c>
      <c r="P37" s="90"/>
      <c r="Q37" s="90">
        <f>SUM(O37:P37)</f>
        <v>252163</v>
      </c>
      <c r="R37" s="90">
        <v>51940</v>
      </c>
      <c r="S37" s="90">
        <f>SUM(Q37:R37)</f>
        <v>304103</v>
      </c>
    </row>
    <row r="38" spans="1:19" s="9" customFormat="1" ht="24.75" customHeight="1">
      <c r="A38" s="36" t="s">
        <v>65</v>
      </c>
      <c r="B38" s="29"/>
      <c r="C38" s="53"/>
      <c r="D38" s="39" t="s">
        <v>71</v>
      </c>
      <c r="E38" s="61">
        <f>SUM(E41)</f>
        <v>60000</v>
      </c>
      <c r="F38" s="61">
        <f>SUM(F41)</f>
        <v>0</v>
      </c>
      <c r="G38" s="61">
        <f aca="true" t="shared" si="19" ref="G38:M38">SUM(G41,G39)</f>
        <v>60000</v>
      </c>
      <c r="H38" s="61">
        <f t="shared" si="19"/>
        <v>9350</v>
      </c>
      <c r="I38" s="61">
        <f t="shared" si="19"/>
        <v>69350</v>
      </c>
      <c r="J38" s="61">
        <f t="shared" si="19"/>
        <v>0</v>
      </c>
      <c r="K38" s="61">
        <f t="shared" si="19"/>
        <v>69350</v>
      </c>
      <c r="L38" s="61">
        <f t="shared" si="19"/>
        <v>0</v>
      </c>
      <c r="M38" s="61">
        <f t="shared" si="19"/>
        <v>69350</v>
      </c>
      <c r="N38" s="61">
        <f aca="true" t="shared" si="20" ref="N38:S38">SUM(N41,N39)</f>
        <v>0</v>
      </c>
      <c r="O38" s="61">
        <f t="shared" si="20"/>
        <v>69350</v>
      </c>
      <c r="P38" s="61">
        <f t="shared" si="20"/>
        <v>0</v>
      </c>
      <c r="Q38" s="61">
        <f t="shared" si="20"/>
        <v>69350</v>
      </c>
      <c r="R38" s="61">
        <f t="shared" si="20"/>
        <v>0</v>
      </c>
      <c r="S38" s="61">
        <f t="shared" si="20"/>
        <v>69350</v>
      </c>
    </row>
    <row r="39" spans="1:19" s="26" customFormat="1" ht="24.75" customHeight="1">
      <c r="A39" s="85"/>
      <c r="B39" s="194">
        <v>92105</v>
      </c>
      <c r="C39" s="198"/>
      <c r="D39" s="252" t="s">
        <v>391</v>
      </c>
      <c r="E39" s="253"/>
      <c r="F39" s="253"/>
      <c r="G39" s="254">
        <f aca="true" t="shared" si="21" ref="G39:S39">SUM(G40)</f>
        <v>0</v>
      </c>
      <c r="H39" s="254">
        <f t="shared" si="21"/>
        <v>9350</v>
      </c>
      <c r="I39" s="254">
        <f t="shared" si="21"/>
        <v>9350</v>
      </c>
      <c r="J39" s="254">
        <f t="shared" si="21"/>
        <v>0</v>
      </c>
      <c r="K39" s="254">
        <f t="shared" si="21"/>
        <v>9350</v>
      </c>
      <c r="L39" s="254">
        <f t="shared" si="21"/>
        <v>0</v>
      </c>
      <c r="M39" s="254">
        <f t="shared" si="21"/>
        <v>9350</v>
      </c>
      <c r="N39" s="254">
        <f t="shared" si="21"/>
        <v>0</v>
      </c>
      <c r="O39" s="254">
        <f t="shared" si="21"/>
        <v>9350</v>
      </c>
      <c r="P39" s="254">
        <f t="shared" si="21"/>
        <v>0</v>
      </c>
      <c r="Q39" s="254">
        <f t="shared" si="21"/>
        <v>9350</v>
      </c>
      <c r="R39" s="254">
        <f t="shared" si="21"/>
        <v>0</v>
      </c>
      <c r="S39" s="254">
        <f t="shared" si="21"/>
        <v>9350</v>
      </c>
    </row>
    <row r="40" spans="1:19" s="26" customFormat="1" ht="45">
      <c r="A40" s="85"/>
      <c r="B40" s="194"/>
      <c r="C40" s="198">
        <v>2320</v>
      </c>
      <c r="D40" s="74" t="s">
        <v>222</v>
      </c>
      <c r="E40" s="253"/>
      <c r="F40" s="253"/>
      <c r="G40" s="254">
        <v>0</v>
      </c>
      <c r="H40" s="254">
        <v>9350</v>
      </c>
      <c r="I40" s="254">
        <f>SUM(G40:H40)</f>
        <v>9350</v>
      </c>
      <c r="J40" s="254"/>
      <c r="K40" s="254">
        <f>SUM(I40:J40)</f>
        <v>9350</v>
      </c>
      <c r="L40" s="254"/>
      <c r="M40" s="254">
        <f>SUM(K40:L40)</f>
        <v>9350</v>
      </c>
      <c r="N40" s="254"/>
      <c r="O40" s="254">
        <f>SUM(M40:N40)</f>
        <v>9350</v>
      </c>
      <c r="P40" s="254"/>
      <c r="Q40" s="254">
        <f>SUM(O40:P40)</f>
        <v>9350</v>
      </c>
      <c r="R40" s="254"/>
      <c r="S40" s="254">
        <f>SUM(Q40:R40)</f>
        <v>9350</v>
      </c>
    </row>
    <row r="41" spans="1:19" s="26" customFormat="1" ht="21.75" customHeight="1">
      <c r="A41" s="65"/>
      <c r="B41" s="65" t="s">
        <v>66</v>
      </c>
      <c r="C41" s="66"/>
      <c r="D41" s="41" t="s">
        <v>67</v>
      </c>
      <c r="E41" s="90">
        <f aca="true" t="shared" si="22" ref="E41:S41">E42</f>
        <v>60000</v>
      </c>
      <c r="F41" s="90">
        <f t="shared" si="22"/>
        <v>0</v>
      </c>
      <c r="G41" s="90">
        <f t="shared" si="22"/>
        <v>60000</v>
      </c>
      <c r="H41" s="90">
        <f t="shared" si="22"/>
        <v>0</v>
      </c>
      <c r="I41" s="90">
        <f t="shared" si="22"/>
        <v>60000</v>
      </c>
      <c r="J41" s="90">
        <f t="shared" si="22"/>
        <v>0</v>
      </c>
      <c r="K41" s="90">
        <f t="shared" si="22"/>
        <v>60000</v>
      </c>
      <c r="L41" s="90">
        <f t="shared" si="22"/>
        <v>0</v>
      </c>
      <c r="M41" s="90">
        <f t="shared" si="22"/>
        <v>60000</v>
      </c>
      <c r="N41" s="90">
        <f t="shared" si="22"/>
        <v>0</v>
      </c>
      <c r="O41" s="90">
        <f t="shared" si="22"/>
        <v>60000</v>
      </c>
      <c r="P41" s="90">
        <f t="shared" si="22"/>
        <v>0</v>
      </c>
      <c r="Q41" s="90">
        <f t="shared" si="22"/>
        <v>60000</v>
      </c>
      <c r="R41" s="90">
        <f t="shared" si="22"/>
        <v>0</v>
      </c>
      <c r="S41" s="90">
        <f t="shared" si="22"/>
        <v>60000</v>
      </c>
    </row>
    <row r="42" spans="1:19" s="26" customFormat="1" ht="45">
      <c r="A42" s="65"/>
      <c r="B42" s="65"/>
      <c r="C42" s="67">
        <v>2320</v>
      </c>
      <c r="D42" s="41" t="s">
        <v>222</v>
      </c>
      <c r="E42" s="90">
        <v>60000</v>
      </c>
      <c r="F42" s="90"/>
      <c r="G42" s="90">
        <f>SUM(E42:F42)</f>
        <v>60000</v>
      </c>
      <c r="H42" s="90"/>
      <c r="I42" s="90">
        <f>SUM(G42:H42)</f>
        <v>60000</v>
      </c>
      <c r="J42" s="90"/>
      <c r="K42" s="90">
        <f>SUM(I42:J42)</f>
        <v>60000</v>
      </c>
      <c r="L42" s="90"/>
      <c r="M42" s="90">
        <f>SUM(K42:L42)</f>
        <v>60000</v>
      </c>
      <c r="N42" s="90"/>
      <c r="O42" s="90">
        <f>SUM(M42:N42)</f>
        <v>60000</v>
      </c>
      <c r="P42" s="90"/>
      <c r="Q42" s="90">
        <f>SUM(O42:P42)</f>
        <v>60000</v>
      </c>
      <c r="R42" s="90"/>
      <c r="S42" s="90">
        <f>SUM(Q42:R42)</f>
        <v>60000</v>
      </c>
    </row>
    <row r="43" spans="1:19" s="26" customFormat="1" ht="24">
      <c r="A43" s="245">
        <v>926</v>
      </c>
      <c r="B43" s="245"/>
      <c r="C43" s="245"/>
      <c r="D43" s="39" t="s">
        <v>141</v>
      </c>
      <c r="E43" s="90"/>
      <c r="F43" s="90"/>
      <c r="G43" s="249">
        <f aca="true" t="shared" si="23" ref="G43:S44">SUM(G44)</f>
        <v>0</v>
      </c>
      <c r="H43" s="249">
        <f t="shared" si="23"/>
        <v>3200</v>
      </c>
      <c r="I43" s="249">
        <f t="shared" si="23"/>
        <v>3200</v>
      </c>
      <c r="J43" s="249">
        <f t="shared" si="23"/>
        <v>0</v>
      </c>
      <c r="K43" s="249">
        <f t="shared" si="23"/>
        <v>3200</v>
      </c>
      <c r="L43" s="249">
        <f t="shared" si="23"/>
        <v>0</v>
      </c>
      <c r="M43" s="249">
        <f t="shared" si="23"/>
        <v>3200</v>
      </c>
      <c r="N43" s="249">
        <f t="shared" si="23"/>
        <v>0</v>
      </c>
      <c r="O43" s="249">
        <f t="shared" si="23"/>
        <v>3200</v>
      </c>
      <c r="P43" s="249">
        <f t="shared" si="23"/>
        <v>0</v>
      </c>
      <c r="Q43" s="249">
        <f t="shared" si="23"/>
        <v>3200</v>
      </c>
      <c r="R43" s="249">
        <f t="shared" si="23"/>
        <v>0</v>
      </c>
      <c r="S43" s="249">
        <f t="shared" si="23"/>
        <v>3200</v>
      </c>
    </row>
    <row r="44" spans="1:19" s="26" customFormat="1" ht="22.5">
      <c r="A44" s="71"/>
      <c r="B44" s="71">
        <v>92605</v>
      </c>
      <c r="C44" s="71"/>
      <c r="D44" s="41" t="s">
        <v>69</v>
      </c>
      <c r="E44" s="90"/>
      <c r="F44" s="90"/>
      <c r="G44" s="90">
        <f t="shared" si="23"/>
        <v>0</v>
      </c>
      <c r="H44" s="90">
        <f t="shared" si="23"/>
        <v>3200</v>
      </c>
      <c r="I44" s="90">
        <f t="shared" si="23"/>
        <v>3200</v>
      </c>
      <c r="J44" s="90">
        <f t="shared" si="23"/>
        <v>0</v>
      </c>
      <c r="K44" s="90">
        <f t="shared" si="23"/>
        <v>3200</v>
      </c>
      <c r="L44" s="90">
        <f t="shared" si="23"/>
        <v>0</v>
      </c>
      <c r="M44" s="90">
        <f t="shared" si="23"/>
        <v>3200</v>
      </c>
      <c r="N44" s="90">
        <f t="shared" si="23"/>
        <v>0</v>
      </c>
      <c r="O44" s="90">
        <f t="shared" si="23"/>
        <v>3200</v>
      </c>
      <c r="P44" s="90">
        <f t="shared" si="23"/>
        <v>0</v>
      </c>
      <c r="Q44" s="90">
        <f t="shared" si="23"/>
        <v>3200</v>
      </c>
      <c r="R44" s="90">
        <f t="shared" si="23"/>
        <v>0</v>
      </c>
      <c r="S44" s="90">
        <f t="shared" si="23"/>
        <v>3200</v>
      </c>
    </row>
    <row r="45" spans="1:19" s="26" customFormat="1" ht="45">
      <c r="A45" s="71"/>
      <c r="B45" s="71"/>
      <c r="C45" s="71">
        <v>2320</v>
      </c>
      <c r="D45" s="74" t="s">
        <v>222</v>
      </c>
      <c r="E45" s="90"/>
      <c r="F45" s="90"/>
      <c r="G45" s="90">
        <v>0</v>
      </c>
      <c r="H45" s="90">
        <v>3200</v>
      </c>
      <c r="I45" s="90">
        <f>SUM(G45:H45)</f>
        <v>3200</v>
      </c>
      <c r="J45" s="90"/>
      <c r="K45" s="90">
        <f>SUM(I45:J45)</f>
        <v>3200</v>
      </c>
      <c r="L45" s="90"/>
      <c r="M45" s="90">
        <f>SUM(K45:L45)</f>
        <v>3200</v>
      </c>
      <c r="N45" s="90"/>
      <c r="O45" s="90">
        <f>SUM(M45:N45)</f>
        <v>3200</v>
      </c>
      <c r="P45" s="90"/>
      <c r="Q45" s="90">
        <f>SUM(O45:P45)</f>
        <v>3200</v>
      </c>
      <c r="R45" s="90"/>
      <c r="S45" s="90">
        <f>SUM(Q45:R45)</f>
        <v>3200</v>
      </c>
    </row>
    <row r="46" spans="1:19" s="26" customFormat="1" ht="25.5" customHeight="1">
      <c r="A46" s="104"/>
      <c r="B46" s="105"/>
      <c r="C46" s="106"/>
      <c r="D46" s="94" t="s">
        <v>70</v>
      </c>
      <c r="E46" s="95">
        <f>SUM(E38,E23,E13,E10,E18,E35)</f>
        <v>9077678</v>
      </c>
      <c r="F46" s="95">
        <f>SUM(F38,F23,F13,F10,F18,F35)</f>
        <v>252163</v>
      </c>
      <c r="G46" s="95">
        <f aca="true" t="shared" si="24" ref="G46:L46">SUM(G38,G23,G13,G10,G18,G35,G43)</f>
        <v>9329841</v>
      </c>
      <c r="H46" s="95">
        <f t="shared" si="24"/>
        <v>325150</v>
      </c>
      <c r="I46" s="95">
        <f t="shared" si="24"/>
        <v>9654991</v>
      </c>
      <c r="J46" s="95">
        <f t="shared" si="24"/>
        <v>32982</v>
      </c>
      <c r="K46" s="95">
        <f t="shared" si="24"/>
        <v>9687973</v>
      </c>
      <c r="L46" s="95">
        <f t="shared" si="24"/>
        <v>75000</v>
      </c>
      <c r="M46" s="95">
        <f aca="true" t="shared" si="25" ref="M46:S46">SUM(M38,M23,M13,M10,M18,M35,M43,M7)</f>
        <v>9762973</v>
      </c>
      <c r="N46" s="95">
        <f t="shared" si="25"/>
        <v>286502</v>
      </c>
      <c r="O46" s="95">
        <f t="shared" si="25"/>
        <v>10049475</v>
      </c>
      <c r="P46" s="95">
        <f t="shared" si="25"/>
        <v>21240</v>
      </c>
      <c r="Q46" s="95">
        <f t="shared" si="25"/>
        <v>10070715</v>
      </c>
      <c r="R46" s="95">
        <f t="shared" si="25"/>
        <v>51940</v>
      </c>
      <c r="S46" s="95">
        <f t="shared" si="25"/>
        <v>10122655</v>
      </c>
    </row>
    <row r="47" spans="1:3" ht="12.75">
      <c r="A47" s="54"/>
      <c r="B47" s="54"/>
      <c r="C47" s="54"/>
    </row>
    <row r="50" spans="5:19" ht="12.75"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</sheetData>
  <sheetProtection/>
  <mergeCells count="1">
    <mergeCell ref="A5:S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875" style="9" customWidth="1"/>
    <col min="2" max="2" width="6.875" style="9" customWidth="1"/>
    <col min="3" max="3" width="5.625" style="9" customWidth="1"/>
    <col min="4" max="4" width="40.375" style="9" customWidth="1"/>
    <col min="5" max="5" width="43.875" style="9" customWidth="1"/>
    <col min="6" max="6" width="19.875" style="9" hidden="1" customWidth="1"/>
    <col min="7" max="7" width="12.00390625" style="9" hidden="1" customWidth="1"/>
    <col min="8" max="8" width="41.00390625" style="9" hidden="1" customWidth="1"/>
    <col min="9" max="9" width="12.00390625" style="9" hidden="1" customWidth="1"/>
    <col min="10" max="11" width="14.25390625" style="9" hidden="1" customWidth="1"/>
    <col min="12" max="12" width="0.12890625" style="9" hidden="1" customWidth="1"/>
    <col min="13" max="15" width="14.25390625" style="9" hidden="1" customWidth="1"/>
    <col min="16" max="18" width="14.25390625" style="9" customWidth="1"/>
  </cols>
  <sheetData>
    <row r="1" spans="6:17" ht="12.75">
      <c r="F1" s="9" t="s">
        <v>242</v>
      </c>
      <c r="H1" s="55" t="s">
        <v>357</v>
      </c>
      <c r="J1" s="55" t="s">
        <v>410</v>
      </c>
      <c r="L1" s="55" t="s">
        <v>438</v>
      </c>
      <c r="M1" s="55"/>
      <c r="N1" s="55" t="s">
        <v>461</v>
      </c>
      <c r="O1" s="55"/>
      <c r="P1" s="55" t="s">
        <v>472</v>
      </c>
      <c r="Q1" s="55"/>
    </row>
    <row r="2" spans="6:17" ht="12.75">
      <c r="F2" s="9" t="s">
        <v>231</v>
      </c>
      <c r="H2" s="55" t="s">
        <v>352</v>
      </c>
      <c r="J2" s="55" t="s">
        <v>407</v>
      </c>
      <c r="L2" s="55" t="s">
        <v>439</v>
      </c>
      <c r="M2" s="55"/>
      <c r="N2" s="55" t="s">
        <v>458</v>
      </c>
      <c r="O2" s="55"/>
      <c r="P2" s="55" t="s">
        <v>468</v>
      </c>
      <c r="Q2" s="55"/>
    </row>
    <row r="3" spans="6:17" ht="12.75">
      <c r="F3" s="9" t="s">
        <v>151</v>
      </c>
      <c r="H3" s="55" t="s">
        <v>358</v>
      </c>
      <c r="J3" s="55" t="s">
        <v>357</v>
      </c>
      <c r="L3" s="55" t="s">
        <v>410</v>
      </c>
      <c r="M3" s="55"/>
      <c r="N3" s="55" t="s">
        <v>438</v>
      </c>
      <c r="O3" s="55"/>
      <c r="P3" s="55" t="s">
        <v>461</v>
      </c>
      <c r="Q3" s="55"/>
    </row>
    <row r="4" spans="6:17" ht="12.75">
      <c r="F4" s="9" t="s">
        <v>232</v>
      </c>
      <c r="H4" s="55" t="s">
        <v>350</v>
      </c>
      <c r="J4" s="55" t="s">
        <v>387</v>
      </c>
      <c r="L4" s="55" t="s">
        <v>412</v>
      </c>
      <c r="M4" s="55"/>
      <c r="N4" s="55" t="s">
        <v>446</v>
      </c>
      <c r="O4" s="55"/>
      <c r="P4" s="55" t="s">
        <v>466</v>
      </c>
      <c r="Q4" s="55"/>
    </row>
    <row r="5" spans="1:18" ht="53.25" customHeight="1">
      <c r="A5" s="295" t="s">
        <v>359</v>
      </c>
      <c r="B5" s="295"/>
      <c r="C5" s="295"/>
      <c r="D5" s="295"/>
      <c r="E5" s="295"/>
      <c r="F5" s="295"/>
      <c r="G5"/>
      <c r="H5"/>
      <c r="I5"/>
      <c r="J5"/>
      <c r="K5"/>
      <c r="L5"/>
      <c r="M5"/>
      <c r="N5"/>
      <c r="O5"/>
      <c r="P5"/>
      <c r="Q5"/>
      <c r="R5"/>
    </row>
    <row r="6" spans="1:18" ht="31.5" customHeight="1">
      <c r="A6" s="299" t="s">
        <v>339</v>
      </c>
      <c r="B6" s="299"/>
      <c r="C6" s="299"/>
      <c r="D6" s="299"/>
      <c r="E6" s="299"/>
      <c r="F6" s="299"/>
      <c r="G6"/>
      <c r="H6"/>
      <c r="I6"/>
      <c r="J6"/>
      <c r="K6"/>
      <c r="L6"/>
      <c r="M6"/>
      <c r="N6"/>
      <c r="O6"/>
      <c r="P6"/>
      <c r="Q6"/>
      <c r="R6"/>
    </row>
    <row r="7" spans="1:18" s="115" customFormat="1" ht="29.25" customHeight="1">
      <c r="A7" s="6" t="s">
        <v>0</v>
      </c>
      <c r="B7" s="6" t="s">
        <v>1</v>
      </c>
      <c r="C7" s="6" t="s">
        <v>2</v>
      </c>
      <c r="D7" s="6" t="s">
        <v>243</v>
      </c>
      <c r="E7" s="6" t="s">
        <v>244</v>
      </c>
      <c r="F7" s="129" t="s">
        <v>245</v>
      </c>
      <c r="G7" s="129" t="s">
        <v>342</v>
      </c>
      <c r="H7" s="129" t="s">
        <v>146</v>
      </c>
      <c r="I7" s="129" t="s">
        <v>342</v>
      </c>
      <c r="J7" s="129" t="s">
        <v>147</v>
      </c>
      <c r="K7" s="129" t="s">
        <v>342</v>
      </c>
      <c r="L7" s="129" t="s">
        <v>147</v>
      </c>
      <c r="M7" s="129" t="s">
        <v>342</v>
      </c>
      <c r="N7" s="129" t="s">
        <v>147</v>
      </c>
      <c r="O7" s="129" t="s">
        <v>342</v>
      </c>
      <c r="P7" s="129" t="s">
        <v>147</v>
      </c>
      <c r="Q7" s="129" t="s">
        <v>342</v>
      </c>
      <c r="R7" s="129" t="s">
        <v>347</v>
      </c>
    </row>
    <row r="8" spans="1:18" s="133" customFormat="1" ht="27" customHeight="1">
      <c r="A8" s="301" t="s">
        <v>281</v>
      </c>
      <c r="B8" s="301"/>
      <c r="C8" s="301"/>
      <c r="D8" s="301"/>
      <c r="E8" s="132"/>
      <c r="F8" s="19">
        <f aca="true" t="shared" si="0" ref="F8:L8">SUM(F9:F10)</f>
        <v>3368735</v>
      </c>
      <c r="G8" s="19">
        <f t="shared" si="0"/>
        <v>0</v>
      </c>
      <c r="H8" s="19">
        <f t="shared" si="0"/>
        <v>3368735</v>
      </c>
      <c r="I8" s="19">
        <f t="shared" si="0"/>
        <v>0</v>
      </c>
      <c r="J8" s="19">
        <f t="shared" si="0"/>
        <v>3368735</v>
      </c>
      <c r="K8" s="19">
        <f t="shared" si="0"/>
        <v>500</v>
      </c>
      <c r="L8" s="19">
        <f t="shared" si="0"/>
        <v>3369235</v>
      </c>
      <c r="M8" s="19">
        <f aca="true" t="shared" si="1" ref="M8:R8">SUM(M9:M10)</f>
        <v>0</v>
      </c>
      <c r="N8" s="19">
        <f t="shared" si="1"/>
        <v>3369235</v>
      </c>
      <c r="O8" s="19">
        <f t="shared" si="1"/>
        <v>0</v>
      </c>
      <c r="P8" s="19">
        <f t="shared" si="1"/>
        <v>3369235</v>
      </c>
      <c r="Q8" s="19">
        <f t="shared" si="1"/>
        <v>0</v>
      </c>
      <c r="R8" s="19">
        <f t="shared" si="1"/>
        <v>3369235</v>
      </c>
    </row>
    <row r="9" spans="1:18" s="134" customFormat="1" ht="25.5" customHeight="1">
      <c r="A9" s="3">
        <v>801</v>
      </c>
      <c r="B9" s="4">
        <v>80104</v>
      </c>
      <c r="C9" s="201">
        <v>2510</v>
      </c>
      <c r="D9" s="130" t="s">
        <v>246</v>
      </c>
      <c r="E9" s="130" t="s">
        <v>247</v>
      </c>
      <c r="F9" s="82">
        <v>3355048</v>
      </c>
      <c r="G9" s="82"/>
      <c r="H9" s="82">
        <f>SUM(F9:G9)</f>
        <v>3355048</v>
      </c>
      <c r="I9" s="82"/>
      <c r="J9" s="82">
        <f>SUM(H9:I9)</f>
        <v>3355048</v>
      </c>
      <c r="K9" s="82">
        <v>500</v>
      </c>
      <c r="L9" s="82">
        <f>SUM(J9:K9)</f>
        <v>3355548</v>
      </c>
      <c r="M9" s="82"/>
      <c r="N9" s="82">
        <f>SUM(L9:M9)</f>
        <v>3355548</v>
      </c>
      <c r="O9" s="82"/>
      <c r="P9" s="82">
        <f>SUM(N9:O9)</f>
        <v>3355548</v>
      </c>
      <c r="Q9" s="82"/>
      <c r="R9" s="82">
        <f>SUM(P9:Q9)</f>
        <v>3355548</v>
      </c>
    </row>
    <row r="10" spans="1:18" s="134" customFormat="1" ht="25.5" customHeight="1">
      <c r="A10" s="3">
        <v>801</v>
      </c>
      <c r="B10" s="3">
        <v>80146</v>
      </c>
      <c r="C10" s="4">
        <v>2510</v>
      </c>
      <c r="D10" s="202" t="s">
        <v>246</v>
      </c>
      <c r="E10" s="202" t="s">
        <v>248</v>
      </c>
      <c r="F10" s="203">
        <v>13687</v>
      </c>
      <c r="G10" s="203"/>
      <c r="H10" s="82">
        <f>SUM(F10:G10)</f>
        <v>13687</v>
      </c>
      <c r="I10" s="203"/>
      <c r="J10" s="82">
        <f>SUM(H10:I10)</f>
        <v>13687</v>
      </c>
      <c r="K10" s="203"/>
      <c r="L10" s="82">
        <f>SUM(J10:K10)</f>
        <v>13687</v>
      </c>
      <c r="M10" s="203"/>
      <c r="N10" s="82">
        <f>SUM(L10:M10)</f>
        <v>13687</v>
      </c>
      <c r="O10" s="203"/>
      <c r="P10" s="82">
        <f>SUM(N10:O10)</f>
        <v>13687</v>
      </c>
      <c r="Q10" s="203"/>
      <c r="R10" s="82">
        <f>SUM(P10:Q10)</f>
        <v>13687</v>
      </c>
    </row>
    <row r="11" spans="1:18" s="133" customFormat="1" ht="26.25" customHeight="1">
      <c r="A11" s="301" t="s">
        <v>282</v>
      </c>
      <c r="B11" s="301"/>
      <c r="C11" s="301"/>
      <c r="D11" s="301"/>
      <c r="E11" s="132"/>
      <c r="F11" s="19">
        <f aca="true" t="shared" si="2" ref="F11:L11">SUM(F12:F14)</f>
        <v>609792</v>
      </c>
      <c r="G11" s="19">
        <f t="shared" si="2"/>
        <v>0</v>
      </c>
      <c r="H11" s="19">
        <f t="shared" si="2"/>
        <v>609792</v>
      </c>
      <c r="I11" s="19">
        <f t="shared" si="2"/>
        <v>0</v>
      </c>
      <c r="J11" s="19">
        <f t="shared" si="2"/>
        <v>609792</v>
      </c>
      <c r="K11" s="19">
        <f t="shared" si="2"/>
        <v>0</v>
      </c>
      <c r="L11" s="19">
        <f t="shared" si="2"/>
        <v>609792</v>
      </c>
      <c r="M11" s="19">
        <f aca="true" t="shared" si="3" ref="M11:R11">SUM(M12:M14)</f>
        <v>0</v>
      </c>
      <c r="N11" s="19">
        <f t="shared" si="3"/>
        <v>609792</v>
      </c>
      <c r="O11" s="19">
        <f t="shared" si="3"/>
        <v>0</v>
      </c>
      <c r="P11" s="19">
        <f t="shared" si="3"/>
        <v>609792</v>
      </c>
      <c r="Q11" s="19">
        <f t="shared" si="3"/>
        <v>0</v>
      </c>
      <c r="R11" s="19">
        <f t="shared" si="3"/>
        <v>609792</v>
      </c>
    </row>
    <row r="12" spans="1:18" s="134" customFormat="1" ht="24">
      <c r="A12" s="3">
        <v>801</v>
      </c>
      <c r="B12" s="4">
        <v>80101</v>
      </c>
      <c r="C12" s="201">
        <v>2540</v>
      </c>
      <c r="D12" s="130" t="s">
        <v>249</v>
      </c>
      <c r="E12" s="130" t="s">
        <v>250</v>
      </c>
      <c r="F12" s="82">
        <v>447149</v>
      </c>
      <c r="G12" s="82"/>
      <c r="H12" s="82">
        <f>SUM(F12:G12)</f>
        <v>447149</v>
      </c>
      <c r="I12" s="82"/>
      <c r="J12" s="82">
        <f>SUM(H12:I12)</f>
        <v>447149</v>
      </c>
      <c r="K12" s="82"/>
      <c r="L12" s="82">
        <f>SUM(J12:K12)</f>
        <v>447149</v>
      </c>
      <c r="M12" s="82"/>
      <c r="N12" s="82">
        <f>SUM(L12:M12)</f>
        <v>447149</v>
      </c>
      <c r="O12" s="82"/>
      <c r="P12" s="82">
        <f>SUM(N12:O12)</f>
        <v>447149</v>
      </c>
      <c r="Q12" s="82"/>
      <c r="R12" s="82">
        <f>SUM(P12:Q12)</f>
        <v>447149</v>
      </c>
    </row>
    <row r="13" spans="1:18" s="134" customFormat="1" ht="24">
      <c r="A13" s="3">
        <v>801</v>
      </c>
      <c r="B13" s="204">
        <v>80103</v>
      </c>
      <c r="C13" s="4">
        <v>2540</v>
      </c>
      <c r="D13" s="135" t="s">
        <v>251</v>
      </c>
      <c r="E13" s="130" t="s">
        <v>252</v>
      </c>
      <c r="F13" s="82">
        <v>61433</v>
      </c>
      <c r="G13" s="82"/>
      <c r="H13" s="82">
        <f>SUM(F13:G13)</f>
        <v>61433</v>
      </c>
      <c r="I13" s="82"/>
      <c r="J13" s="82">
        <f>SUM(H13:I13)</f>
        <v>61433</v>
      </c>
      <c r="K13" s="82"/>
      <c r="L13" s="82">
        <f>SUM(J13:K13)</f>
        <v>61433</v>
      </c>
      <c r="M13" s="82"/>
      <c r="N13" s="82">
        <f>SUM(L13:M13)</f>
        <v>61433</v>
      </c>
      <c r="O13" s="82"/>
      <c r="P13" s="82">
        <f>SUM(N13:O13)</f>
        <v>61433</v>
      </c>
      <c r="Q13" s="82"/>
      <c r="R13" s="82">
        <f>SUM(P13:Q13)</f>
        <v>61433</v>
      </c>
    </row>
    <row r="14" spans="1:18" s="134" customFormat="1" ht="19.5" customHeight="1">
      <c r="A14" s="3">
        <v>801</v>
      </c>
      <c r="B14" s="204">
        <v>80110</v>
      </c>
      <c r="C14" s="4">
        <v>2590</v>
      </c>
      <c r="D14" s="135" t="s">
        <v>317</v>
      </c>
      <c r="E14" s="205" t="s">
        <v>318</v>
      </c>
      <c r="F14" s="82">
        <v>101210</v>
      </c>
      <c r="G14" s="82"/>
      <c r="H14" s="82">
        <f>SUM(F14:G14)</f>
        <v>101210</v>
      </c>
      <c r="I14" s="82"/>
      <c r="J14" s="82">
        <f>SUM(H14:I14)</f>
        <v>101210</v>
      </c>
      <c r="K14" s="82"/>
      <c r="L14" s="82">
        <f>SUM(J14:K14)</f>
        <v>101210</v>
      </c>
      <c r="M14" s="82"/>
      <c r="N14" s="82">
        <f>SUM(L14:M14)</f>
        <v>101210</v>
      </c>
      <c r="O14" s="82"/>
      <c r="P14" s="82">
        <f>SUM(N14:O14)</f>
        <v>101210</v>
      </c>
      <c r="Q14" s="82"/>
      <c r="R14" s="82">
        <f>SUM(P14:Q14)</f>
        <v>101210</v>
      </c>
    </row>
    <row r="15" spans="1:18" s="133" customFormat="1" ht="28.5" customHeight="1">
      <c r="A15" s="301" t="s">
        <v>283</v>
      </c>
      <c r="B15" s="301"/>
      <c r="C15" s="301"/>
      <c r="D15" s="301"/>
      <c r="E15" s="132"/>
      <c r="F15" s="19">
        <f aca="true" t="shared" si="4" ref="F15:L15">SUM(F16:F21)</f>
        <v>2502522</v>
      </c>
      <c r="G15" s="19">
        <f t="shared" si="4"/>
        <v>28000</v>
      </c>
      <c r="H15" s="19">
        <f t="shared" si="4"/>
        <v>2530522</v>
      </c>
      <c r="I15" s="19">
        <f t="shared" si="4"/>
        <v>0</v>
      </c>
      <c r="J15" s="19">
        <f t="shared" si="4"/>
        <v>2530522</v>
      </c>
      <c r="K15" s="19">
        <f t="shared" si="4"/>
        <v>7400</v>
      </c>
      <c r="L15" s="19">
        <f t="shared" si="4"/>
        <v>2537922</v>
      </c>
      <c r="M15" s="19">
        <f aca="true" t="shared" si="5" ref="M15:R15">SUM(M16:M21)</f>
        <v>0</v>
      </c>
      <c r="N15" s="19">
        <f t="shared" si="5"/>
        <v>2537922</v>
      </c>
      <c r="O15" s="19">
        <f t="shared" si="5"/>
        <v>0</v>
      </c>
      <c r="P15" s="19">
        <f t="shared" si="5"/>
        <v>2537922</v>
      </c>
      <c r="Q15" s="19">
        <f t="shared" si="5"/>
        <v>0</v>
      </c>
      <c r="R15" s="19">
        <f t="shared" si="5"/>
        <v>2537922</v>
      </c>
    </row>
    <row r="16" spans="1:18" s="134" customFormat="1" ht="24.75" customHeight="1">
      <c r="A16" s="3" t="s">
        <v>65</v>
      </c>
      <c r="B16" s="4">
        <v>92109</v>
      </c>
      <c r="C16" s="5">
        <v>2480</v>
      </c>
      <c r="D16" s="130" t="s">
        <v>253</v>
      </c>
      <c r="E16" s="130" t="s">
        <v>254</v>
      </c>
      <c r="F16" s="82">
        <v>725435</v>
      </c>
      <c r="G16" s="82">
        <f>-10000-5000-10000-10000-15000-5000+83000</f>
        <v>28000</v>
      </c>
      <c r="H16" s="82">
        <f>SUM(F16:G16)</f>
        <v>753435</v>
      </c>
      <c r="I16" s="82"/>
      <c r="J16" s="82">
        <f>SUM(H16:I16)</f>
        <v>753435</v>
      </c>
      <c r="K16" s="82"/>
      <c r="L16" s="82">
        <f aca="true" t="shared" si="6" ref="L16:L21">SUM(J16:K16)</f>
        <v>753435</v>
      </c>
      <c r="M16" s="82"/>
      <c r="N16" s="82">
        <f aca="true" t="shared" si="7" ref="N16:N21">SUM(L16:M16)</f>
        <v>753435</v>
      </c>
      <c r="O16" s="82"/>
      <c r="P16" s="82">
        <f aca="true" t="shared" si="8" ref="P16:P21">SUM(N16:O16)</f>
        <v>753435</v>
      </c>
      <c r="Q16" s="82"/>
      <c r="R16" s="82">
        <f aca="true" t="shared" si="9" ref="R16:R21">SUM(P16:Q16)</f>
        <v>753435</v>
      </c>
    </row>
    <row r="17" spans="1:18" s="134" customFormat="1" ht="24.75" customHeight="1">
      <c r="A17" s="3">
        <v>921</v>
      </c>
      <c r="B17" s="4">
        <v>92109</v>
      </c>
      <c r="C17" s="5">
        <v>2480</v>
      </c>
      <c r="D17" s="130" t="s">
        <v>253</v>
      </c>
      <c r="E17" s="130" t="s">
        <v>256</v>
      </c>
      <c r="F17" s="82"/>
      <c r="G17" s="82"/>
      <c r="H17" s="82"/>
      <c r="I17" s="82"/>
      <c r="J17" s="82">
        <v>0</v>
      </c>
      <c r="K17" s="82">
        <v>4000</v>
      </c>
      <c r="L17" s="82">
        <f t="shared" si="6"/>
        <v>4000</v>
      </c>
      <c r="M17" s="82"/>
      <c r="N17" s="82">
        <f t="shared" si="7"/>
        <v>4000</v>
      </c>
      <c r="O17" s="82"/>
      <c r="P17" s="82">
        <f t="shared" si="8"/>
        <v>4000</v>
      </c>
      <c r="Q17" s="82"/>
      <c r="R17" s="82">
        <f t="shared" si="9"/>
        <v>4000</v>
      </c>
    </row>
    <row r="18" spans="1:18" s="134" customFormat="1" ht="24.75" customHeight="1">
      <c r="A18" s="3">
        <v>921</v>
      </c>
      <c r="B18" s="3" t="s">
        <v>66</v>
      </c>
      <c r="C18" s="5">
        <v>2480</v>
      </c>
      <c r="D18" s="130" t="s">
        <v>255</v>
      </c>
      <c r="E18" s="130" t="s">
        <v>254</v>
      </c>
      <c r="F18" s="82">
        <v>1031087</v>
      </c>
      <c r="G18" s="82"/>
      <c r="H18" s="82">
        <f>SUM(F18:G18)</f>
        <v>1031087</v>
      </c>
      <c r="I18" s="82"/>
      <c r="J18" s="82">
        <f>SUM(H18:I18)</f>
        <v>1031087</v>
      </c>
      <c r="K18" s="82"/>
      <c r="L18" s="82">
        <f t="shared" si="6"/>
        <v>1031087</v>
      </c>
      <c r="M18" s="82"/>
      <c r="N18" s="82">
        <f t="shared" si="7"/>
        <v>1031087</v>
      </c>
      <c r="O18" s="82"/>
      <c r="P18" s="82">
        <f t="shared" si="8"/>
        <v>1031087</v>
      </c>
      <c r="Q18" s="82"/>
      <c r="R18" s="82">
        <f t="shared" si="9"/>
        <v>1031087</v>
      </c>
    </row>
    <row r="19" spans="1:18" s="134" customFormat="1" ht="24">
      <c r="A19" s="3">
        <v>921</v>
      </c>
      <c r="B19" s="3" t="s">
        <v>66</v>
      </c>
      <c r="C19" s="5">
        <v>2480</v>
      </c>
      <c r="D19" s="130" t="s">
        <v>255</v>
      </c>
      <c r="E19" s="130" t="s">
        <v>256</v>
      </c>
      <c r="F19" s="203">
        <v>60000</v>
      </c>
      <c r="G19" s="203"/>
      <c r="H19" s="82">
        <f>SUM(F19:G19)</f>
        <v>60000</v>
      </c>
      <c r="I19" s="203"/>
      <c r="J19" s="82">
        <f>SUM(H19:I19)</f>
        <v>60000</v>
      </c>
      <c r="K19" s="203"/>
      <c r="L19" s="82">
        <f t="shared" si="6"/>
        <v>60000</v>
      </c>
      <c r="M19" s="203"/>
      <c r="N19" s="82">
        <f t="shared" si="7"/>
        <v>60000</v>
      </c>
      <c r="O19" s="203"/>
      <c r="P19" s="82">
        <f t="shared" si="8"/>
        <v>60000</v>
      </c>
      <c r="Q19" s="203"/>
      <c r="R19" s="82">
        <f t="shared" si="9"/>
        <v>60000</v>
      </c>
    </row>
    <row r="20" spans="1:18" s="134" customFormat="1" ht="24">
      <c r="A20" s="3">
        <v>921</v>
      </c>
      <c r="B20" s="3">
        <v>92118</v>
      </c>
      <c r="C20" s="5">
        <v>2480</v>
      </c>
      <c r="D20" s="20" t="s">
        <v>257</v>
      </c>
      <c r="E20" s="130" t="s">
        <v>256</v>
      </c>
      <c r="F20" s="203"/>
      <c r="G20" s="203"/>
      <c r="H20" s="82"/>
      <c r="I20" s="203"/>
      <c r="J20" s="82">
        <v>0</v>
      </c>
      <c r="K20" s="203">
        <v>3400</v>
      </c>
      <c r="L20" s="82">
        <f t="shared" si="6"/>
        <v>3400</v>
      </c>
      <c r="M20" s="203"/>
      <c r="N20" s="82">
        <f t="shared" si="7"/>
        <v>3400</v>
      </c>
      <c r="O20" s="203"/>
      <c r="P20" s="82">
        <f t="shared" si="8"/>
        <v>3400</v>
      </c>
      <c r="Q20" s="203"/>
      <c r="R20" s="82">
        <f t="shared" si="9"/>
        <v>3400</v>
      </c>
    </row>
    <row r="21" spans="1:18" s="134" customFormat="1" ht="24">
      <c r="A21" s="3">
        <v>921</v>
      </c>
      <c r="B21" s="3" t="s">
        <v>143</v>
      </c>
      <c r="C21" s="4">
        <v>2480</v>
      </c>
      <c r="D21" s="20" t="s">
        <v>257</v>
      </c>
      <c r="E21" s="130" t="s">
        <v>254</v>
      </c>
      <c r="F21" s="82">
        <v>686000</v>
      </c>
      <c r="G21" s="82"/>
      <c r="H21" s="82">
        <f>SUM(F21:G21)</f>
        <v>686000</v>
      </c>
      <c r="I21" s="82"/>
      <c r="J21" s="82">
        <f>SUM(H21:I21)</f>
        <v>686000</v>
      </c>
      <c r="K21" s="82"/>
      <c r="L21" s="82">
        <f t="shared" si="6"/>
        <v>686000</v>
      </c>
      <c r="M21" s="82"/>
      <c r="N21" s="82">
        <f t="shared" si="7"/>
        <v>686000</v>
      </c>
      <c r="O21" s="82"/>
      <c r="P21" s="82">
        <f t="shared" si="8"/>
        <v>686000</v>
      </c>
      <c r="Q21" s="82"/>
      <c r="R21" s="82">
        <f t="shared" si="9"/>
        <v>686000</v>
      </c>
    </row>
    <row r="22" spans="1:18" s="133" customFormat="1" ht="29.25" customHeight="1">
      <c r="A22" s="301" t="s">
        <v>330</v>
      </c>
      <c r="B22" s="301"/>
      <c r="C22" s="301"/>
      <c r="D22" s="301"/>
      <c r="E22" s="132"/>
      <c r="F22" s="19">
        <f>SUM(F24:F45)</f>
        <v>467650</v>
      </c>
      <c r="G22" s="19">
        <f>SUM(G24:G45)</f>
        <v>-435000</v>
      </c>
      <c r="H22" s="19">
        <f>SUM(H24:H45)</f>
        <v>32650</v>
      </c>
      <c r="I22" s="19">
        <f>SUM(I24:I45)</f>
        <v>511010</v>
      </c>
      <c r="J22" s="19">
        <f aca="true" t="shared" si="10" ref="J22:P22">SUM(J23:J45)</f>
        <v>543660</v>
      </c>
      <c r="K22" s="19">
        <f t="shared" si="10"/>
        <v>45000</v>
      </c>
      <c r="L22" s="19">
        <f t="shared" si="10"/>
        <v>588660</v>
      </c>
      <c r="M22" s="19">
        <f t="shared" si="10"/>
        <v>0</v>
      </c>
      <c r="N22" s="19">
        <f t="shared" si="10"/>
        <v>588660</v>
      </c>
      <c r="O22" s="19">
        <f t="shared" si="10"/>
        <v>0</v>
      </c>
      <c r="P22" s="19">
        <f t="shared" si="10"/>
        <v>588660</v>
      </c>
      <c r="Q22" s="19">
        <f>SUM(Q23:Q45)</f>
        <v>38250</v>
      </c>
      <c r="R22" s="19">
        <f>SUM(R23:R45)</f>
        <v>626910</v>
      </c>
    </row>
    <row r="23" spans="1:18" s="212" customFormat="1" ht="36">
      <c r="A23" s="268" t="s">
        <v>4</v>
      </c>
      <c r="B23" s="268" t="s">
        <v>397</v>
      </c>
      <c r="C23" s="250">
        <v>2830</v>
      </c>
      <c r="D23" s="215" t="s">
        <v>404</v>
      </c>
      <c r="E23" s="269" t="s">
        <v>405</v>
      </c>
      <c r="F23" s="209"/>
      <c r="G23" s="209"/>
      <c r="H23" s="209"/>
      <c r="I23" s="209"/>
      <c r="J23" s="209">
        <v>0</v>
      </c>
      <c r="K23" s="209">
        <v>45000</v>
      </c>
      <c r="L23" s="209">
        <f>SUM(J23:K23)</f>
        <v>45000</v>
      </c>
      <c r="M23" s="209"/>
      <c r="N23" s="209">
        <f>SUM(L23:M23)</f>
        <v>45000</v>
      </c>
      <c r="O23" s="209"/>
      <c r="P23" s="209">
        <f>SUM(N23:O23)</f>
        <v>45000</v>
      </c>
      <c r="Q23" s="209"/>
      <c r="R23" s="209">
        <f>SUM(P23:Q23)</f>
        <v>45000</v>
      </c>
    </row>
    <row r="24" spans="1:18" s="197" customFormat="1" ht="25.5" customHeight="1">
      <c r="A24" s="206">
        <v>754</v>
      </c>
      <c r="B24" s="206">
        <v>75412</v>
      </c>
      <c r="C24" s="250">
        <v>2820</v>
      </c>
      <c r="D24" s="207" t="s">
        <v>331</v>
      </c>
      <c r="E24" s="208" t="s">
        <v>334</v>
      </c>
      <c r="F24" s="209">
        <v>10000</v>
      </c>
      <c r="G24" s="209"/>
      <c r="H24" s="209">
        <f>SUM(F24:G24)</f>
        <v>10000</v>
      </c>
      <c r="I24" s="209"/>
      <c r="J24" s="209">
        <f aca="true" t="shared" si="11" ref="J24:J45">SUM(H24:I24)</f>
        <v>10000</v>
      </c>
      <c r="K24" s="209"/>
      <c r="L24" s="209">
        <f aca="true" t="shared" si="12" ref="L24:L45">SUM(J24:K24)</f>
        <v>10000</v>
      </c>
      <c r="M24" s="209"/>
      <c r="N24" s="209">
        <f aca="true" t="shared" si="13" ref="N24:N45">SUM(L24:M24)</f>
        <v>10000</v>
      </c>
      <c r="O24" s="209"/>
      <c r="P24" s="209">
        <f aca="true" t="shared" si="14" ref="P24:P45">SUM(N24:O24)</f>
        <v>10000</v>
      </c>
      <c r="Q24" s="209"/>
      <c r="R24" s="209">
        <f aca="true" t="shared" si="15" ref="R24:R45">SUM(P24:Q24)</f>
        <v>10000</v>
      </c>
    </row>
    <row r="25" spans="1:18" s="197" customFormat="1" ht="25.5" customHeight="1">
      <c r="A25" s="206">
        <v>851</v>
      </c>
      <c r="B25" s="206">
        <v>85154</v>
      </c>
      <c r="C25" s="250">
        <v>2820</v>
      </c>
      <c r="D25" s="207" t="s">
        <v>365</v>
      </c>
      <c r="E25" s="211" t="s">
        <v>268</v>
      </c>
      <c r="F25" s="209"/>
      <c r="G25" s="209"/>
      <c r="H25" s="209">
        <v>0</v>
      </c>
      <c r="I25" s="209">
        <v>8130</v>
      </c>
      <c r="J25" s="209">
        <f t="shared" si="11"/>
        <v>8130</v>
      </c>
      <c r="K25" s="209"/>
      <c r="L25" s="209">
        <f t="shared" si="12"/>
        <v>8130</v>
      </c>
      <c r="M25" s="209"/>
      <c r="N25" s="209">
        <f t="shared" si="13"/>
        <v>8130</v>
      </c>
      <c r="O25" s="209"/>
      <c r="P25" s="209">
        <f t="shared" si="14"/>
        <v>8130</v>
      </c>
      <c r="Q25" s="209"/>
      <c r="R25" s="209">
        <f t="shared" si="15"/>
        <v>8130</v>
      </c>
    </row>
    <row r="26" spans="1:18" s="212" customFormat="1" ht="26.25" customHeight="1">
      <c r="A26" s="210">
        <v>851</v>
      </c>
      <c r="B26" s="210">
        <v>85154</v>
      </c>
      <c r="C26" s="210">
        <v>2830</v>
      </c>
      <c r="D26" s="215" t="s">
        <v>366</v>
      </c>
      <c r="E26" s="211" t="s">
        <v>268</v>
      </c>
      <c r="F26" s="195">
        <v>60000</v>
      </c>
      <c r="G26" s="195">
        <v>-60000</v>
      </c>
      <c r="H26" s="209">
        <f>SUM(F26:G26)</f>
        <v>0</v>
      </c>
      <c r="I26" s="195">
        <v>50060</v>
      </c>
      <c r="J26" s="209">
        <f t="shared" si="11"/>
        <v>50060</v>
      </c>
      <c r="K26" s="195"/>
      <c r="L26" s="209">
        <f t="shared" si="12"/>
        <v>50060</v>
      </c>
      <c r="M26" s="195"/>
      <c r="N26" s="209">
        <f t="shared" si="13"/>
        <v>50060</v>
      </c>
      <c r="O26" s="195"/>
      <c r="P26" s="209">
        <f t="shared" si="14"/>
        <v>50060</v>
      </c>
      <c r="Q26" s="195"/>
      <c r="R26" s="209">
        <f t="shared" si="15"/>
        <v>50060</v>
      </c>
    </row>
    <row r="27" spans="1:18" s="212" customFormat="1" ht="24">
      <c r="A27" s="210">
        <v>851</v>
      </c>
      <c r="B27" s="210">
        <v>85154</v>
      </c>
      <c r="C27" s="210">
        <v>2830</v>
      </c>
      <c r="D27" s="215" t="s">
        <v>366</v>
      </c>
      <c r="E27" s="211" t="s">
        <v>258</v>
      </c>
      <c r="F27" s="195">
        <v>10000</v>
      </c>
      <c r="G27" s="195">
        <v>-10000</v>
      </c>
      <c r="H27" s="209">
        <f>SUM(F27:G27)</f>
        <v>0</v>
      </c>
      <c r="I27" s="195">
        <v>5820</v>
      </c>
      <c r="J27" s="209">
        <f t="shared" si="11"/>
        <v>5820</v>
      </c>
      <c r="K27" s="195"/>
      <c r="L27" s="209">
        <f t="shared" si="12"/>
        <v>5820</v>
      </c>
      <c r="M27" s="195"/>
      <c r="N27" s="209">
        <f t="shared" si="13"/>
        <v>5820</v>
      </c>
      <c r="O27" s="195"/>
      <c r="P27" s="209">
        <f t="shared" si="14"/>
        <v>5820</v>
      </c>
      <c r="Q27" s="195"/>
      <c r="R27" s="209">
        <f t="shared" si="15"/>
        <v>5820</v>
      </c>
    </row>
    <row r="28" spans="1:18" s="214" customFormat="1" ht="24.75" customHeight="1">
      <c r="A28" s="210">
        <v>854</v>
      </c>
      <c r="B28" s="210">
        <v>85412</v>
      </c>
      <c r="C28" s="210">
        <v>2830</v>
      </c>
      <c r="D28" s="215" t="s">
        <v>366</v>
      </c>
      <c r="E28" s="211" t="s">
        <v>259</v>
      </c>
      <c r="F28" s="213">
        <v>65000</v>
      </c>
      <c r="G28" s="213">
        <v>-65000</v>
      </c>
      <c r="H28" s="209">
        <f>SUM(F28:G28)</f>
        <v>0</v>
      </c>
      <c r="I28" s="213"/>
      <c r="J28" s="209">
        <f t="shared" si="11"/>
        <v>0</v>
      </c>
      <c r="K28" s="213"/>
      <c r="L28" s="209">
        <f t="shared" si="12"/>
        <v>0</v>
      </c>
      <c r="M28" s="213"/>
      <c r="N28" s="209">
        <f t="shared" si="13"/>
        <v>0</v>
      </c>
      <c r="O28" s="213"/>
      <c r="P28" s="209">
        <f t="shared" si="14"/>
        <v>0</v>
      </c>
      <c r="Q28" s="213">
        <v>38250</v>
      </c>
      <c r="R28" s="209">
        <f t="shared" si="15"/>
        <v>38250</v>
      </c>
    </row>
    <row r="29" spans="1:18" s="214" customFormat="1" ht="24.75" customHeight="1">
      <c r="A29" s="210">
        <v>926</v>
      </c>
      <c r="B29" s="210">
        <v>92605</v>
      </c>
      <c r="C29" s="210">
        <v>2820</v>
      </c>
      <c r="D29" s="207" t="s">
        <v>367</v>
      </c>
      <c r="E29" s="211" t="s">
        <v>69</v>
      </c>
      <c r="F29" s="213"/>
      <c r="G29" s="213"/>
      <c r="H29" s="209">
        <v>0</v>
      </c>
      <c r="I29" s="213">
        <f>130000+2000</f>
        <v>132000</v>
      </c>
      <c r="J29" s="209">
        <f t="shared" si="11"/>
        <v>132000</v>
      </c>
      <c r="K29" s="213"/>
      <c r="L29" s="209">
        <f t="shared" si="12"/>
        <v>132000</v>
      </c>
      <c r="M29" s="213"/>
      <c r="N29" s="209">
        <f t="shared" si="13"/>
        <v>132000</v>
      </c>
      <c r="O29" s="213"/>
      <c r="P29" s="209">
        <f t="shared" si="14"/>
        <v>132000</v>
      </c>
      <c r="Q29" s="213"/>
      <c r="R29" s="209">
        <f t="shared" si="15"/>
        <v>132000</v>
      </c>
    </row>
    <row r="30" spans="1:18" s="214" customFormat="1" ht="24.75" customHeight="1">
      <c r="A30" s="210">
        <v>926</v>
      </c>
      <c r="B30" s="210">
        <v>92605</v>
      </c>
      <c r="C30" s="210">
        <v>2820</v>
      </c>
      <c r="D30" s="207" t="s">
        <v>368</v>
      </c>
      <c r="E30" s="211" t="s">
        <v>69</v>
      </c>
      <c r="F30" s="213"/>
      <c r="G30" s="213"/>
      <c r="H30" s="209">
        <v>0</v>
      </c>
      <c r="I30" s="213">
        <v>218000</v>
      </c>
      <c r="J30" s="209">
        <f t="shared" si="11"/>
        <v>218000</v>
      </c>
      <c r="K30" s="213"/>
      <c r="L30" s="209">
        <f t="shared" si="12"/>
        <v>218000</v>
      </c>
      <c r="M30" s="213"/>
      <c r="N30" s="209">
        <f t="shared" si="13"/>
        <v>218000</v>
      </c>
      <c r="O30" s="213"/>
      <c r="P30" s="209">
        <f t="shared" si="14"/>
        <v>218000</v>
      </c>
      <c r="Q30" s="213"/>
      <c r="R30" s="209">
        <f t="shared" si="15"/>
        <v>218000</v>
      </c>
    </row>
    <row r="31" spans="1:18" s="214" customFormat="1" ht="24.75" customHeight="1">
      <c r="A31" s="210">
        <v>926</v>
      </c>
      <c r="B31" s="210">
        <v>92605</v>
      </c>
      <c r="C31" s="210">
        <v>2820</v>
      </c>
      <c r="D31" s="207" t="s">
        <v>369</v>
      </c>
      <c r="E31" s="211" t="s">
        <v>69</v>
      </c>
      <c r="F31" s="213"/>
      <c r="G31" s="213"/>
      <c r="H31" s="209">
        <v>0</v>
      </c>
      <c r="I31" s="213">
        <f>6000+4000</f>
        <v>10000</v>
      </c>
      <c r="J31" s="209">
        <f t="shared" si="11"/>
        <v>10000</v>
      </c>
      <c r="K31" s="213"/>
      <c r="L31" s="209">
        <f t="shared" si="12"/>
        <v>10000</v>
      </c>
      <c r="M31" s="213"/>
      <c r="N31" s="209">
        <f t="shared" si="13"/>
        <v>10000</v>
      </c>
      <c r="O31" s="213"/>
      <c r="P31" s="209">
        <f t="shared" si="14"/>
        <v>10000</v>
      </c>
      <c r="Q31" s="213"/>
      <c r="R31" s="209">
        <f t="shared" si="15"/>
        <v>10000</v>
      </c>
    </row>
    <row r="32" spans="1:18" s="214" customFormat="1" ht="24.75" customHeight="1">
      <c r="A32" s="210">
        <v>926</v>
      </c>
      <c r="B32" s="210">
        <v>92605</v>
      </c>
      <c r="C32" s="210">
        <v>2820</v>
      </c>
      <c r="D32" s="207" t="s">
        <v>370</v>
      </c>
      <c r="E32" s="211" t="s">
        <v>69</v>
      </c>
      <c r="F32" s="213"/>
      <c r="G32" s="213"/>
      <c r="H32" s="209">
        <v>0</v>
      </c>
      <c r="I32" s="213">
        <v>8000</v>
      </c>
      <c r="J32" s="209">
        <f t="shared" si="11"/>
        <v>8000</v>
      </c>
      <c r="K32" s="213"/>
      <c r="L32" s="209">
        <f t="shared" si="12"/>
        <v>8000</v>
      </c>
      <c r="M32" s="213"/>
      <c r="N32" s="209">
        <f t="shared" si="13"/>
        <v>8000</v>
      </c>
      <c r="O32" s="213"/>
      <c r="P32" s="209">
        <f t="shared" si="14"/>
        <v>8000</v>
      </c>
      <c r="Q32" s="213"/>
      <c r="R32" s="209">
        <f t="shared" si="15"/>
        <v>8000</v>
      </c>
    </row>
    <row r="33" spans="1:18" s="214" customFormat="1" ht="24.75" customHeight="1">
      <c r="A33" s="210">
        <v>926</v>
      </c>
      <c r="B33" s="210">
        <v>92605</v>
      </c>
      <c r="C33" s="210">
        <v>2820</v>
      </c>
      <c r="D33" s="207" t="s">
        <v>371</v>
      </c>
      <c r="E33" s="211" t="s">
        <v>69</v>
      </c>
      <c r="F33" s="213"/>
      <c r="G33" s="213"/>
      <c r="H33" s="209">
        <v>0</v>
      </c>
      <c r="I33" s="213">
        <f>4000+1000</f>
        <v>5000</v>
      </c>
      <c r="J33" s="209">
        <f t="shared" si="11"/>
        <v>5000</v>
      </c>
      <c r="K33" s="213"/>
      <c r="L33" s="209">
        <f t="shared" si="12"/>
        <v>5000</v>
      </c>
      <c r="M33" s="213"/>
      <c r="N33" s="209">
        <f t="shared" si="13"/>
        <v>5000</v>
      </c>
      <c r="O33" s="213"/>
      <c r="P33" s="209">
        <f t="shared" si="14"/>
        <v>5000</v>
      </c>
      <c r="Q33" s="213"/>
      <c r="R33" s="209">
        <f t="shared" si="15"/>
        <v>5000</v>
      </c>
    </row>
    <row r="34" spans="1:18" s="214" customFormat="1" ht="24.75" customHeight="1">
      <c r="A34" s="210">
        <v>926</v>
      </c>
      <c r="B34" s="210">
        <v>92605</v>
      </c>
      <c r="C34" s="210">
        <v>2820</v>
      </c>
      <c r="D34" s="207" t="s">
        <v>372</v>
      </c>
      <c r="E34" s="211" t="s">
        <v>69</v>
      </c>
      <c r="F34" s="213"/>
      <c r="G34" s="213"/>
      <c r="H34" s="209">
        <v>0</v>
      </c>
      <c r="I34" s="213">
        <f>4700+300</f>
        <v>5000</v>
      </c>
      <c r="J34" s="209">
        <f t="shared" si="11"/>
        <v>5000</v>
      </c>
      <c r="K34" s="213"/>
      <c r="L34" s="209">
        <f t="shared" si="12"/>
        <v>5000</v>
      </c>
      <c r="M34" s="213"/>
      <c r="N34" s="209">
        <f t="shared" si="13"/>
        <v>5000</v>
      </c>
      <c r="O34" s="213"/>
      <c r="P34" s="209">
        <f t="shared" si="14"/>
        <v>5000</v>
      </c>
      <c r="Q34" s="213"/>
      <c r="R34" s="209">
        <f t="shared" si="15"/>
        <v>5000</v>
      </c>
    </row>
    <row r="35" spans="1:18" s="214" customFormat="1" ht="24.75" customHeight="1">
      <c r="A35" s="210">
        <v>926</v>
      </c>
      <c r="B35" s="210">
        <v>92605</v>
      </c>
      <c r="C35" s="210">
        <v>2820</v>
      </c>
      <c r="D35" s="207" t="s">
        <v>373</v>
      </c>
      <c r="E35" s="211" t="s">
        <v>69</v>
      </c>
      <c r="F35" s="213"/>
      <c r="G35" s="213"/>
      <c r="H35" s="209">
        <v>0</v>
      </c>
      <c r="I35" s="213">
        <v>6000</v>
      </c>
      <c r="J35" s="209">
        <f t="shared" si="11"/>
        <v>6000</v>
      </c>
      <c r="K35" s="213"/>
      <c r="L35" s="209">
        <f t="shared" si="12"/>
        <v>6000</v>
      </c>
      <c r="M35" s="213"/>
      <c r="N35" s="209">
        <f t="shared" si="13"/>
        <v>6000</v>
      </c>
      <c r="O35" s="213"/>
      <c r="P35" s="209">
        <f t="shared" si="14"/>
        <v>6000</v>
      </c>
      <c r="Q35" s="213"/>
      <c r="R35" s="209">
        <f t="shared" si="15"/>
        <v>6000</v>
      </c>
    </row>
    <row r="36" spans="1:18" s="214" customFormat="1" ht="24.75" customHeight="1">
      <c r="A36" s="210">
        <v>926</v>
      </c>
      <c r="B36" s="210">
        <v>92605</v>
      </c>
      <c r="C36" s="210">
        <v>2820</v>
      </c>
      <c r="D36" s="207" t="s">
        <v>374</v>
      </c>
      <c r="E36" s="211" t="s">
        <v>69</v>
      </c>
      <c r="F36" s="213"/>
      <c r="G36" s="213"/>
      <c r="H36" s="209">
        <v>0</v>
      </c>
      <c r="I36" s="213">
        <v>15000</v>
      </c>
      <c r="J36" s="209">
        <f t="shared" si="11"/>
        <v>15000</v>
      </c>
      <c r="K36" s="213"/>
      <c r="L36" s="209">
        <f t="shared" si="12"/>
        <v>15000</v>
      </c>
      <c r="M36" s="213"/>
      <c r="N36" s="209">
        <f t="shared" si="13"/>
        <v>15000</v>
      </c>
      <c r="O36" s="213"/>
      <c r="P36" s="209">
        <f t="shared" si="14"/>
        <v>15000</v>
      </c>
      <c r="Q36" s="213"/>
      <c r="R36" s="209">
        <f t="shared" si="15"/>
        <v>15000</v>
      </c>
    </row>
    <row r="37" spans="1:18" s="214" customFormat="1" ht="27" customHeight="1">
      <c r="A37" s="210">
        <v>926</v>
      </c>
      <c r="B37" s="210">
        <v>92605</v>
      </c>
      <c r="C37" s="210">
        <v>2820</v>
      </c>
      <c r="D37" s="207" t="s">
        <v>375</v>
      </c>
      <c r="E37" s="211" t="s">
        <v>69</v>
      </c>
      <c r="F37" s="213">
        <v>300000</v>
      </c>
      <c r="G37" s="213">
        <v>-300000</v>
      </c>
      <c r="H37" s="209">
        <f>SUM(F37:G37)</f>
        <v>0</v>
      </c>
      <c r="I37" s="213">
        <f>7000+2500</f>
        <v>9500</v>
      </c>
      <c r="J37" s="209">
        <f t="shared" si="11"/>
        <v>9500</v>
      </c>
      <c r="K37" s="213"/>
      <c r="L37" s="209">
        <f t="shared" si="12"/>
        <v>9500</v>
      </c>
      <c r="M37" s="213"/>
      <c r="N37" s="209">
        <f t="shared" si="13"/>
        <v>9500</v>
      </c>
      <c r="O37" s="213"/>
      <c r="P37" s="209">
        <f t="shared" si="14"/>
        <v>9500</v>
      </c>
      <c r="Q37" s="213"/>
      <c r="R37" s="209">
        <f t="shared" si="15"/>
        <v>9500</v>
      </c>
    </row>
    <row r="38" spans="1:18" s="214" customFormat="1" ht="27" customHeight="1">
      <c r="A38" s="210">
        <v>926</v>
      </c>
      <c r="B38" s="210">
        <v>92605</v>
      </c>
      <c r="C38" s="210">
        <v>2820</v>
      </c>
      <c r="D38" s="207" t="s">
        <v>376</v>
      </c>
      <c r="E38" s="211" t="s">
        <v>69</v>
      </c>
      <c r="F38" s="213"/>
      <c r="G38" s="213"/>
      <c r="H38" s="209">
        <v>0</v>
      </c>
      <c r="I38" s="213">
        <v>19000</v>
      </c>
      <c r="J38" s="209">
        <f t="shared" si="11"/>
        <v>19000</v>
      </c>
      <c r="K38" s="213"/>
      <c r="L38" s="209">
        <f t="shared" si="12"/>
        <v>19000</v>
      </c>
      <c r="M38" s="213"/>
      <c r="N38" s="209">
        <f t="shared" si="13"/>
        <v>19000</v>
      </c>
      <c r="O38" s="213"/>
      <c r="P38" s="209">
        <f t="shared" si="14"/>
        <v>19000</v>
      </c>
      <c r="Q38" s="213"/>
      <c r="R38" s="209">
        <f t="shared" si="15"/>
        <v>19000</v>
      </c>
    </row>
    <row r="39" spans="1:18" s="214" customFormat="1" ht="27" customHeight="1">
      <c r="A39" s="210">
        <v>926</v>
      </c>
      <c r="B39" s="210">
        <v>92605</v>
      </c>
      <c r="C39" s="210">
        <v>2820</v>
      </c>
      <c r="D39" s="207" t="s">
        <v>377</v>
      </c>
      <c r="E39" s="211" t="s">
        <v>69</v>
      </c>
      <c r="F39" s="213"/>
      <c r="G39" s="213"/>
      <c r="H39" s="209">
        <v>0</v>
      </c>
      <c r="I39" s="213">
        <v>3000</v>
      </c>
      <c r="J39" s="209">
        <f t="shared" si="11"/>
        <v>3000</v>
      </c>
      <c r="K39" s="213"/>
      <c r="L39" s="209">
        <f t="shared" si="12"/>
        <v>3000</v>
      </c>
      <c r="M39" s="213"/>
      <c r="N39" s="209">
        <f t="shared" si="13"/>
        <v>3000</v>
      </c>
      <c r="O39" s="213"/>
      <c r="P39" s="209">
        <f t="shared" si="14"/>
        <v>3000</v>
      </c>
      <c r="Q39" s="213"/>
      <c r="R39" s="209">
        <f t="shared" si="15"/>
        <v>3000</v>
      </c>
    </row>
    <row r="40" spans="1:18" s="214" customFormat="1" ht="27" customHeight="1">
      <c r="A40" s="210">
        <v>926</v>
      </c>
      <c r="B40" s="210">
        <v>92605</v>
      </c>
      <c r="C40" s="210">
        <v>2820</v>
      </c>
      <c r="D40" s="207" t="s">
        <v>378</v>
      </c>
      <c r="E40" s="211" t="s">
        <v>69</v>
      </c>
      <c r="F40" s="213"/>
      <c r="G40" s="213"/>
      <c r="H40" s="209">
        <v>0</v>
      </c>
      <c r="I40" s="213">
        <v>10000</v>
      </c>
      <c r="J40" s="209">
        <f t="shared" si="11"/>
        <v>10000</v>
      </c>
      <c r="K40" s="213"/>
      <c r="L40" s="209">
        <f t="shared" si="12"/>
        <v>10000</v>
      </c>
      <c r="M40" s="213"/>
      <c r="N40" s="209">
        <f t="shared" si="13"/>
        <v>10000</v>
      </c>
      <c r="O40" s="213"/>
      <c r="P40" s="209">
        <f t="shared" si="14"/>
        <v>10000</v>
      </c>
      <c r="Q40" s="213"/>
      <c r="R40" s="209">
        <f t="shared" si="15"/>
        <v>10000</v>
      </c>
    </row>
    <row r="41" spans="1:18" s="214" customFormat="1" ht="27" customHeight="1">
      <c r="A41" s="210">
        <v>926</v>
      </c>
      <c r="B41" s="210">
        <v>92605</v>
      </c>
      <c r="C41" s="210">
        <v>2820</v>
      </c>
      <c r="D41" s="215" t="s">
        <v>379</v>
      </c>
      <c r="E41" s="211" t="s">
        <v>69</v>
      </c>
      <c r="F41" s="213"/>
      <c r="G41" s="213"/>
      <c r="H41" s="209">
        <v>0</v>
      </c>
      <c r="I41" s="213">
        <v>2000</v>
      </c>
      <c r="J41" s="209">
        <f t="shared" si="11"/>
        <v>2000</v>
      </c>
      <c r="K41" s="213"/>
      <c r="L41" s="209">
        <f t="shared" si="12"/>
        <v>2000</v>
      </c>
      <c r="M41" s="213"/>
      <c r="N41" s="209">
        <f t="shared" si="13"/>
        <v>2000</v>
      </c>
      <c r="O41" s="213"/>
      <c r="P41" s="209">
        <f t="shared" si="14"/>
        <v>2000</v>
      </c>
      <c r="Q41" s="213"/>
      <c r="R41" s="209">
        <f t="shared" si="15"/>
        <v>2000</v>
      </c>
    </row>
    <row r="42" spans="1:18" s="214" customFormat="1" ht="27" customHeight="1">
      <c r="A42" s="210">
        <v>926</v>
      </c>
      <c r="B42" s="210">
        <v>92605</v>
      </c>
      <c r="C42" s="210">
        <v>2820</v>
      </c>
      <c r="D42" s="207" t="s">
        <v>380</v>
      </c>
      <c r="E42" s="211" t="s">
        <v>69</v>
      </c>
      <c r="F42" s="213"/>
      <c r="G42" s="213"/>
      <c r="H42" s="209">
        <v>0</v>
      </c>
      <c r="I42" s="213">
        <v>1500</v>
      </c>
      <c r="J42" s="209">
        <f t="shared" si="11"/>
        <v>1500</v>
      </c>
      <c r="K42" s="213"/>
      <c r="L42" s="209">
        <f t="shared" si="12"/>
        <v>1500</v>
      </c>
      <c r="M42" s="213"/>
      <c r="N42" s="209">
        <f t="shared" si="13"/>
        <v>1500</v>
      </c>
      <c r="O42" s="213"/>
      <c r="P42" s="209">
        <f t="shared" si="14"/>
        <v>1500</v>
      </c>
      <c r="Q42" s="213"/>
      <c r="R42" s="209">
        <f t="shared" si="15"/>
        <v>1500</v>
      </c>
    </row>
    <row r="43" spans="1:18" s="214" customFormat="1" ht="27" customHeight="1">
      <c r="A43" s="210">
        <v>926</v>
      </c>
      <c r="B43" s="210">
        <v>92605</v>
      </c>
      <c r="C43" s="210">
        <v>2820</v>
      </c>
      <c r="D43" s="207" t="s">
        <v>381</v>
      </c>
      <c r="E43" s="211" t="s">
        <v>69</v>
      </c>
      <c r="F43" s="213"/>
      <c r="G43" s="213"/>
      <c r="H43" s="209">
        <v>0</v>
      </c>
      <c r="I43" s="213">
        <f>1000+1000</f>
        <v>2000</v>
      </c>
      <c r="J43" s="209">
        <f t="shared" si="11"/>
        <v>2000</v>
      </c>
      <c r="K43" s="213"/>
      <c r="L43" s="209">
        <f t="shared" si="12"/>
        <v>2000</v>
      </c>
      <c r="M43" s="213"/>
      <c r="N43" s="209">
        <f t="shared" si="13"/>
        <v>2000</v>
      </c>
      <c r="O43" s="213"/>
      <c r="P43" s="209">
        <f t="shared" si="14"/>
        <v>2000</v>
      </c>
      <c r="Q43" s="213"/>
      <c r="R43" s="209">
        <f t="shared" si="15"/>
        <v>2000</v>
      </c>
    </row>
    <row r="44" spans="1:18" s="214" customFormat="1" ht="27" customHeight="1">
      <c r="A44" s="210">
        <v>926</v>
      </c>
      <c r="B44" s="210">
        <v>92605</v>
      </c>
      <c r="C44" s="210">
        <v>2820</v>
      </c>
      <c r="D44" s="207" t="s">
        <v>382</v>
      </c>
      <c r="E44" s="211" t="s">
        <v>69</v>
      </c>
      <c r="F44" s="213"/>
      <c r="G44" s="213"/>
      <c r="H44" s="209">
        <v>0</v>
      </c>
      <c r="I44" s="213">
        <v>1000</v>
      </c>
      <c r="J44" s="209">
        <f t="shared" si="11"/>
        <v>1000</v>
      </c>
      <c r="K44" s="213"/>
      <c r="L44" s="209">
        <f t="shared" si="12"/>
        <v>1000</v>
      </c>
      <c r="M44" s="213"/>
      <c r="N44" s="209">
        <f t="shared" si="13"/>
        <v>1000</v>
      </c>
      <c r="O44" s="213"/>
      <c r="P44" s="209">
        <f t="shared" si="14"/>
        <v>1000</v>
      </c>
      <c r="Q44" s="213"/>
      <c r="R44" s="209">
        <f t="shared" si="15"/>
        <v>1000</v>
      </c>
    </row>
    <row r="45" spans="1:18" s="214" customFormat="1" ht="36">
      <c r="A45" s="210">
        <v>921</v>
      </c>
      <c r="B45" s="210">
        <v>92120</v>
      </c>
      <c r="C45" s="210">
        <v>2720</v>
      </c>
      <c r="D45" s="215" t="s">
        <v>329</v>
      </c>
      <c r="E45" s="215" t="s">
        <v>344</v>
      </c>
      <c r="F45" s="216">
        <v>22650</v>
      </c>
      <c r="G45" s="216"/>
      <c r="H45" s="209">
        <f>SUM(F45:G45)</f>
        <v>22650</v>
      </c>
      <c r="I45" s="216"/>
      <c r="J45" s="209">
        <f t="shared" si="11"/>
        <v>22650</v>
      </c>
      <c r="K45" s="216"/>
      <c r="L45" s="209">
        <f t="shared" si="12"/>
        <v>22650</v>
      </c>
      <c r="M45" s="216"/>
      <c r="N45" s="209">
        <f t="shared" si="13"/>
        <v>22650</v>
      </c>
      <c r="O45" s="216"/>
      <c r="P45" s="209">
        <f t="shared" si="14"/>
        <v>22650</v>
      </c>
      <c r="Q45" s="216"/>
      <c r="R45" s="209">
        <f t="shared" si="15"/>
        <v>22650</v>
      </c>
    </row>
    <row r="46" spans="1:18" s="108" customFormat="1" ht="28.5" customHeight="1">
      <c r="A46" s="300" t="s">
        <v>284</v>
      </c>
      <c r="B46" s="300"/>
      <c r="C46" s="300"/>
      <c r="D46" s="300"/>
      <c r="E46" s="142"/>
      <c r="F46" s="141">
        <f aca="true" t="shared" si="16" ref="F46:L46">SUM(F47:F48)</f>
        <v>227851</v>
      </c>
      <c r="G46" s="141">
        <f t="shared" si="16"/>
        <v>0</v>
      </c>
      <c r="H46" s="141">
        <f t="shared" si="16"/>
        <v>227851</v>
      </c>
      <c r="I46" s="141">
        <f t="shared" si="16"/>
        <v>0</v>
      </c>
      <c r="J46" s="141">
        <f t="shared" si="16"/>
        <v>227851</v>
      </c>
      <c r="K46" s="141">
        <f t="shared" si="16"/>
        <v>0</v>
      </c>
      <c r="L46" s="141">
        <f t="shared" si="16"/>
        <v>227851</v>
      </c>
      <c r="M46" s="141">
        <f aca="true" t="shared" si="17" ref="M46:R46">SUM(M47:M48)</f>
        <v>0</v>
      </c>
      <c r="N46" s="141">
        <f t="shared" si="17"/>
        <v>227851</v>
      </c>
      <c r="O46" s="141">
        <f t="shared" si="17"/>
        <v>0</v>
      </c>
      <c r="P46" s="141">
        <f t="shared" si="17"/>
        <v>227851</v>
      </c>
      <c r="Q46" s="141">
        <f t="shared" si="17"/>
        <v>0</v>
      </c>
      <c r="R46" s="141">
        <f t="shared" si="17"/>
        <v>227851</v>
      </c>
    </row>
    <row r="47" spans="1:18" s="134" customFormat="1" ht="24">
      <c r="A47" s="217">
        <v>854</v>
      </c>
      <c r="B47" s="217">
        <v>85495</v>
      </c>
      <c r="C47" s="217">
        <v>2320</v>
      </c>
      <c r="D47" s="130" t="s">
        <v>260</v>
      </c>
      <c r="E47" s="218" t="s">
        <v>348</v>
      </c>
      <c r="F47" s="219">
        <v>199150</v>
      </c>
      <c r="G47" s="219"/>
      <c r="H47" s="219">
        <f>SUM(F47:G47)</f>
        <v>199150</v>
      </c>
      <c r="I47" s="219"/>
      <c r="J47" s="219">
        <f>SUM(H47:I47)</f>
        <v>199150</v>
      </c>
      <c r="K47" s="219"/>
      <c r="L47" s="219">
        <f>SUM(J47:K47)</f>
        <v>199150</v>
      </c>
      <c r="M47" s="219"/>
      <c r="N47" s="219">
        <f>SUM(L47:M47)</f>
        <v>199150</v>
      </c>
      <c r="O47" s="219"/>
      <c r="P47" s="219">
        <f>SUM(N47:O47)</f>
        <v>199150</v>
      </c>
      <c r="Q47" s="219"/>
      <c r="R47" s="219">
        <f>SUM(P47:Q47)</f>
        <v>199150</v>
      </c>
    </row>
    <row r="48" spans="1:18" s="136" customFormat="1" ht="19.5" customHeight="1">
      <c r="A48" s="217">
        <v>854</v>
      </c>
      <c r="B48" s="217">
        <v>85495</v>
      </c>
      <c r="C48" s="217">
        <v>2320</v>
      </c>
      <c r="D48" s="130" t="s">
        <v>261</v>
      </c>
      <c r="E48" s="130" t="s">
        <v>262</v>
      </c>
      <c r="F48" s="52">
        <v>28701</v>
      </c>
      <c r="G48" s="52"/>
      <c r="H48" s="219">
        <f>SUM(F48:G48)</f>
        <v>28701</v>
      </c>
      <c r="I48" s="52"/>
      <c r="J48" s="219">
        <f>SUM(H48:I48)</f>
        <v>28701</v>
      </c>
      <c r="K48" s="52"/>
      <c r="L48" s="219">
        <f>SUM(J48:K48)</f>
        <v>28701</v>
      </c>
      <c r="M48" s="52"/>
      <c r="N48" s="219">
        <f>SUM(L48:M48)</f>
        <v>28701</v>
      </c>
      <c r="O48" s="52"/>
      <c r="P48" s="219">
        <f>SUM(N48:O48)</f>
        <v>28701</v>
      </c>
      <c r="Q48" s="52"/>
      <c r="R48" s="219">
        <f>SUM(P48:Q48)</f>
        <v>28701</v>
      </c>
    </row>
    <row r="49" spans="1:18" s="136" customFormat="1" ht="29.25" customHeight="1">
      <c r="A49" s="302" t="s">
        <v>333</v>
      </c>
      <c r="B49" s="303"/>
      <c r="C49" s="303"/>
      <c r="D49" s="303"/>
      <c r="E49" s="135"/>
      <c r="F49" s="42">
        <f aca="true" t="shared" si="18" ref="F49:K49">SUM(F50)</f>
        <v>10800</v>
      </c>
      <c r="G49" s="42">
        <f t="shared" si="18"/>
        <v>0</v>
      </c>
      <c r="H49" s="42">
        <f t="shared" si="18"/>
        <v>10800</v>
      </c>
      <c r="I49" s="42">
        <f t="shared" si="18"/>
        <v>0</v>
      </c>
      <c r="J49" s="42">
        <f t="shared" si="18"/>
        <v>10800</v>
      </c>
      <c r="K49" s="42">
        <f t="shared" si="18"/>
        <v>0</v>
      </c>
      <c r="L49" s="42">
        <f aca="true" t="shared" si="19" ref="L49:R49">SUM(L50:L51)</f>
        <v>10800</v>
      </c>
      <c r="M49" s="42">
        <f t="shared" si="19"/>
        <v>13425</v>
      </c>
      <c r="N49" s="42">
        <f t="shared" si="19"/>
        <v>24225</v>
      </c>
      <c r="O49" s="42">
        <f t="shared" si="19"/>
        <v>0</v>
      </c>
      <c r="P49" s="42">
        <f t="shared" si="19"/>
        <v>24225</v>
      </c>
      <c r="Q49" s="42">
        <f t="shared" si="19"/>
        <v>0</v>
      </c>
      <c r="R49" s="42">
        <f t="shared" si="19"/>
        <v>24225</v>
      </c>
    </row>
    <row r="50" spans="1:18" s="136" customFormat="1" ht="24" customHeight="1">
      <c r="A50" s="217">
        <v>853</v>
      </c>
      <c r="B50" s="217">
        <v>85311</v>
      </c>
      <c r="C50" s="217">
        <v>2710</v>
      </c>
      <c r="D50" s="130" t="s">
        <v>261</v>
      </c>
      <c r="E50" s="135" t="s">
        <v>332</v>
      </c>
      <c r="F50" s="52">
        <v>10800</v>
      </c>
      <c r="G50" s="52"/>
      <c r="H50" s="52">
        <f>SUM(F50:G50)</f>
        <v>10800</v>
      </c>
      <c r="I50" s="52"/>
      <c r="J50" s="52">
        <f>SUM(H50:I50)</f>
        <v>10800</v>
      </c>
      <c r="K50" s="52"/>
      <c r="L50" s="52">
        <f>SUM(J50:K50)</f>
        <v>10800</v>
      </c>
      <c r="M50" s="52"/>
      <c r="N50" s="52">
        <f>SUM(L50:M50)</f>
        <v>10800</v>
      </c>
      <c r="O50" s="52"/>
      <c r="P50" s="52">
        <f>SUM(N50:O50)</f>
        <v>10800</v>
      </c>
      <c r="Q50" s="52"/>
      <c r="R50" s="52">
        <f>SUM(P50:Q50)</f>
        <v>10800</v>
      </c>
    </row>
    <row r="51" spans="1:18" s="136" customFormat="1" ht="36">
      <c r="A51" s="217">
        <v>851</v>
      </c>
      <c r="B51" s="217">
        <v>85154</v>
      </c>
      <c r="C51" s="217">
        <v>2710</v>
      </c>
      <c r="D51" s="130" t="s">
        <v>434</v>
      </c>
      <c r="E51" s="130" t="s">
        <v>435</v>
      </c>
      <c r="F51" s="52"/>
      <c r="G51" s="52"/>
      <c r="H51" s="52"/>
      <c r="I51" s="52"/>
      <c r="J51" s="52"/>
      <c r="K51" s="52"/>
      <c r="L51" s="52">
        <v>0</v>
      </c>
      <c r="M51" s="52">
        <v>13425</v>
      </c>
      <c r="N51" s="52">
        <f>SUM(L51:M51)</f>
        <v>13425</v>
      </c>
      <c r="O51" s="52"/>
      <c r="P51" s="52">
        <f>SUM(N51:O51)</f>
        <v>13425</v>
      </c>
      <c r="Q51" s="52"/>
      <c r="R51" s="52">
        <f>SUM(P51:Q51)</f>
        <v>13425</v>
      </c>
    </row>
    <row r="52" spans="1:18" s="131" customFormat="1" ht="27.75" customHeight="1">
      <c r="A52" s="296" t="s">
        <v>70</v>
      </c>
      <c r="B52" s="297"/>
      <c r="C52" s="297"/>
      <c r="D52" s="297"/>
      <c r="E52" s="298"/>
      <c r="F52" s="44">
        <f aca="true" t="shared" si="20" ref="F52:L52">SUM(F46,F22,F15,F11,F8,F49)</f>
        <v>7187350</v>
      </c>
      <c r="G52" s="44">
        <f t="shared" si="20"/>
        <v>-407000</v>
      </c>
      <c r="H52" s="44">
        <f t="shared" si="20"/>
        <v>6780350</v>
      </c>
      <c r="I52" s="44">
        <f t="shared" si="20"/>
        <v>511010</v>
      </c>
      <c r="J52" s="44">
        <f t="shared" si="20"/>
        <v>7291360</v>
      </c>
      <c r="K52" s="44">
        <f t="shared" si="20"/>
        <v>52900</v>
      </c>
      <c r="L52" s="44">
        <f t="shared" si="20"/>
        <v>7344260</v>
      </c>
      <c r="M52" s="44">
        <f aca="true" t="shared" si="21" ref="M52:R52">SUM(M46,M22,M15,M11,M8,M49)</f>
        <v>13425</v>
      </c>
      <c r="N52" s="44">
        <f t="shared" si="21"/>
        <v>7357685</v>
      </c>
      <c r="O52" s="44">
        <f t="shared" si="21"/>
        <v>0</v>
      </c>
      <c r="P52" s="44">
        <f t="shared" si="21"/>
        <v>7357685</v>
      </c>
      <c r="Q52" s="44">
        <f t="shared" si="21"/>
        <v>38250</v>
      </c>
      <c r="R52" s="44">
        <f t="shared" si="21"/>
        <v>7395935</v>
      </c>
    </row>
    <row r="55" spans="1:18" ht="31.5" customHeight="1">
      <c r="A55" s="305" t="s">
        <v>285</v>
      </c>
      <c r="B55" s="306"/>
      <c r="C55" s="306"/>
      <c r="D55" s="306"/>
      <c r="E55" s="306"/>
      <c r="F55" s="307"/>
      <c r="G55"/>
      <c r="H55"/>
      <c r="I55"/>
      <c r="J55"/>
      <c r="K55"/>
      <c r="L55" s="200"/>
      <c r="M55" s="200"/>
      <c r="N55" s="200"/>
      <c r="O55" s="200"/>
      <c r="P55" s="200"/>
      <c r="Q55" s="200"/>
      <c r="R55" s="200"/>
    </row>
    <row r="56" spans="1:18" ht="27" customHeight="1">
      <c r="A56" s="6" t="s">
        <v>0</v>
      </c>
      <c r="B56" s="6" t="s">
        <v>1</v>
      </c>
      <c r="C56" s="6" t="s">
        <v>2</v>
      </c>
      <c r="D56" s="6" t="s">
        <v>243</v>
      </c>
      <c r="E56" s="6" t="s">
        <v>244</v>
      </c>
      <c r="F56" s="129" t="s">
        <v>245</v>
      </c>
      <c r="G56" s="129" t="s">
        <v>245</v>
      </c>
      <c r="H56" s="129" t="s">
        <v>245</v>
      </c>
      <c r="I56" s="129" t="s">
        <v>245</v>
      </c>
      <c r="J56" s="129" t="s">
        <v>245</v>
      </c>
      <c r="K56" s="129" t="s">
        <v>245</v>
      </c>
      <c r="L56" s="129" t="s">
        <v>146</v>
      </c>
      <c r="M56" s="129" t="s">
        <v>340</v>
      </c>
      <c r="N56" s="129" t="s">
        <v>146</v>
      </c>
      <c r="O56" s="129" t="s">
        <v>340</v>
      </c>
      <c r="P56" s="129" t="s">
        <v>347</v>
      </c>
      <c r="Q56" s="129" t="s">
        <v>340</v>
      </c>
      <c r="R56" s="129" t="s">
        <v>347</v>
      </c>
    </row>
    <row r="57" spans="1:18" s="220" customFormat="1" ht="60">
      <c r="A57" s="250">
        <v>600</v>
      </c>
      <c r="B57" s="250">
        <v>60013</v>
      </c>
      <c r="C57" s="250">
        <v>6300</v>
      </c>
      <c r="D57" s="207" t="s">
        <v>456</v>
      </c>
      <c r="E57" s="215" t="s">
        <v>457</v>
      </c>
      <c r="F57" s="291"/>
      <c r="G57" s="291"/>
      <c r="H57" s="291"/>
      <c r="I57" s="291"/>
      <c r="J57" s="291"/>
      <c r="K57" s="291"/>
      <c r="L57" s="291"/>
      <c r="M57" s="291"/>
      <c r="N57" s="292">
        <v>0</v>
      </c>
      <c r="O57" s="292">
        <v>19600</v>
      </c>
      <c r="P57" s="292">
        <f>SUM(N57:O57)</f>
        <v>19600</v>
      </c>
      <c r="Q57" s="292"/>
      <c r="R57" s="292">
        <f>SUM(P57:Q57)</f>
        <v>19600</v>
      </c>
    </row>
    <row r="58" spans="1:18" ht="36">
      <c r="A58" s="217">
        <v>754</v>
      </c>
      <c r="B58" s="217">
        <v>75411</v>
      </c>
      <c r="C58" s="217">
        <v>6620</v>
      </c>
      <c r="D58" s="130" t="s">
        <v>261</v>
      </c>
      <c r="E58" s="130" t="s">
        <v>462</v>
      </c>
      <c r="F58" s="143"/>
      <c r="G58" s="143"/>
      <c r="H58" s="143"/>
      <c r="I58" s="143"/>
      <c r="J58" s="143"/>
      <c r="K58" s="143"/>
      <c r="L58" s="82">
        <v>0</v>
      </c>
      <c r="M58" s="82">
        <v>150000</v>
      </c>
      <c r="N58" s="82">
        <f>SUM(L58:M58)</f>
        <v>150000</v>
      </c>
      <c r="O58" s="82"/>
      <c r="P58" s="82">
        <f>SUM(N58:O58)</f>
        <v>150000</v>
      </c>
      <c r="Q58" s="82"/>
      <c r="R58" s="82">
        <f>SUM(P58:Q58)</f>
        <v>150000</v>
      </c>
    </row>
    <row r="59" spans="1:18" ht="23.25" customHeight="1">
      <c r="A59" s="308" t="s">
        <v>70</v>
      </c>
      <c r="B59" s="309"/>
      <c r="C59" s="309"/>
      <c r="D59" s="309"/>
      <c r="E59" s="310"/>
      <c r="F59" s="11">
        <f aca="true" t="shared" si="22" ref="F59:M59">SUM(F58:F58)</f>
        <v>0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282">
        <f t="shared" si="22"/>
        <v>0</v>
      </c>
      <c r="M59" s="282">
        <f t="shared" si="22"/>
        <v>150000</v>
      </c>
      <c r="N59" s="282">
        <f>SUM(N57:N58)</f>
        <v>150000</v>
      </c>
      <c r="O59" s="282">
        <f>SUM(O57:O58)</f>
        <v>19600</v>
      </c>
      <c r="P59" s="282">
        <f>SUM(P57:P58)</f>
        <v>169600</v>
      </c>
      <c r="Q59" s="282">
        <f>SUM(Q57:Q58)</f>
        <v>0</v>
      </c>
      <c r="R59" s="282">
        <f>SUM(R57:R58)</f>
        <v>169600</v>
      </c>
    </row>
    <row r="60" spans="1:18" s="131" customFormat="1" ht="24" customHeight="1">
      <c r="A60" s="304"/>
      <c r="B60" s="304"/>
      <c r="C60" s="304"/>
      <c r="D60" s="284" t="s">
        <v>436</v>
      </c>
      <c r="E60" s="283"/>
      <c r="F60" s="283"/>
      <c r="G60" s="283"/>
      <c r="H60" s="283"/>
      <c r="I60" s="283"/>
      <c r="J60" s="283"/>
      <c r="K60" s="283"/>
      <c r="L60" s="285">
        <f aca="true" t="shared" si="23" ref="L60:R60">SUM(L52,L59)</f>
        <v>7344260</v>
      </c>
      <c r="M60" s="285">
        <f t="shared" si="23"/>
        <v>163425</v>
      </c>
      <c r="N60" s="285">
        <f t="shared" si="23"/>
        <v>7507685</v>
      </c>
      <c r="O60" s="285">
        <f t="shared" si="23"/>
        <v>19600</v>
      </c>
      <c r="P60" s="285">
        <f t="shared" si="23"/>
        <v>7527285</v>
      </c>
      <c r="Q60" s="285">
        <f t="shared" si="23"/>
        <v>38250</v>
      </c>
      <c r="R60" s="285">
        <f t="shared" si="23"/>
        <v>7565535</v>
      </c>
    </row>
  </sheetData>
  <sheetProtection/>
  <mergeCells count="12">
    <mergeCell ref="A60:C60"/>
    <mergeCell ref="A8:D8"/>
    <mergeCell ref="A55:F55"/>
    <mergeCell ref="A59:E59"/>
    <mergeCell ref="A5:F5"/>
    <mergeCell ref="A52:E52"/>
    <mergeCell ref="A6:F6"/>
    <mergeCell ref="A46:D46"/>
    <mergeCell ref="A22:D22"/>
    <mergeCell ref="A15:D15"/>
    <mergeCell ref="A49:D49"/>
    <mergeCell ref="A11:D11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N47" sqref="N47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6.125" style="9" customWidth="1"/>
    <col min="5" max="5" width="14.625" style="0" hidden="1" customWidth="1"/>
    <col min="6" max="6" width="13.75390625" style="0" hidden="1" customWidth="1"/>
    <col min="7" max="7" width="13.125" style="0" hidden="1" customWidth="1"/>
    <col min="8" max="8" width="13.75390625" style="0" hidden="1" customWidth="1"/>
    <col min="9" max="9" width="13.125" style="0" hidden="1" customWidth="1"/>
    <col min="10" max="10" width="13.75390625" style="0" hidden="1" customWidth="1"/>
    <col min="11" max="11" width="13.125" style="0" customWidth="1"/>
    <col min="12" max="12" width="13.75390625" style="0" customWidth="1"/>
    <col min="13" max="13" width="13.125" style="0" customWidth="1"/>
    <col min="14" max="15" width="9.125" style="145" customWidth="1"/>
    <col min="16" max="16" width="10.75390625" style="146" bestFit="1" customWidth="1"/>
    <col min="17" max="17" width="9.125" style="145" customWidth="1"/>
  </cols>
  <sheetData>
    <row r="1" spans="5:13" ht="12">
      <c r="E1" s="55"/>
      <c r="F1" s="55"/>
      <c r="G1" s="55" t="s">
        <v>384</v>
      </c>
      <c r="H1" s="55"/>
      <c r="I1" s="55" t="s">
        <v>442</v>
      </c>
      <c r="J1" s="55"/>
      <c r="K1" s="55" t="s">
        <v>473</v>
      </c>
      <c r="L1" s="55"/>
      <c r="M1" s="55"/>
    </row>
    <row r="2" spans="5:13" ht="12">
      <c r="E2" s="55"/>
      <c r="F2" s="55"/>
      <c r="G2" s="55" t="s">
        <v>352</v>
      </c>
      <c r="H2" s="55"/>
      <c r="I2" s="55" t="s">
        <v>439</v>
      </c>
      <c r="J2" s="55"/>
      <c r="K2" s="55" t="s">
        <v>468</v>
      </c>
      <c r="L2" s="55"/>
      <c r="M2" s="55"/>
    </row>
    <row r="3" spans="5:13" ht="12">
      <c r="E3" s="55"/>
      <c r="F3" s="55"/>
      <c r="G3" s="55" t="s">
        <v>349</v>
      </c>
      <c r="H3" s="55"/>
      <c r="I3" s="55" t="s">
        <v>384</v>
      </c>
      <c r="J3" s="55"/>
      <c r="K3" s="55" t="s">
        <v>442</v>
      </c>
      <c r="L3" s="55"/>
      <c r="M3" s="55"/>
    </row>
    <row r="4" spans="5:13" ht="12">
      <c r="E4" s="55"/>
      <c r="F4" s="55"/>
      <c r="G4" s="55" t="s">
        <v>350</v>
      </c>
      <c r="H4" s="55"/>
      <c r="I4" s="55" t="s">
        <v>387</v>
      </c>
      <c r="J4" s="55"/>
      <c r="K4" s="55" t="s">
        <v>446</v>
      </c>
      <c r="L4" s="55"/>
      <c r="M4" s="55"/>
    </row>
    <row r="5" spans="1:13" ht="37.5" customHeight="1">
      <c r="A5" s="315" t="s">
        <v>279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24.75" customHeight="1">
      <c r="A6" s="316" t="s">
        <v>363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24" s="108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100" t="s">
        <v>146</v>
      </c>
      <c r="F7" s="100" t="s">
        <v>340</v>
      </c>
      <c r="G7" s="100" t="s">
        <v>146</v>
      </c>
      <c r="H7" s="100" t="s">
        <v>340</v>
      </c>
      <c r="I7" s="100" t="s">
        <v>146</v>
      </c>
      <c r="J7" s="100" t="s">
        <v>340</v>
      </c>
      <c r="K7" s="100" t="s">
        <v>147</v>
      </c>
      <c r="L7" s="100" t="s">
        <v>340</v>
      </c>
      <c r="M7" s="100" t="s">
        <v>347</v>
      </c>
      <c r="N7" s="147"/>
      <c r="O7" s="147"/>
      <c r="P7" s="148"/>
      <c r="Q7" s="313"/>
      <c r="R7" s="313"/>
      <c r="S7" s="313"/>
      <c r="T7" s="313"/>
      <c r="U7" s="313"/>
      <c r="V7" s="144"/>
      <c r="W7" s="144"/>
      <c r="X7" s="144"/>
    </row>
    <row r="8" spans="1:24" s="27" customFormat="1" ht="36">
      <c r="A8" s="2">
        <v>756</v>
      </c>
      <c r="B8" s="2"/>
      <c r="C8" s="2"/>
      <c r="D8" s="46" t="s">
        <v>28</v>
      </c>
      <c r="E8" s="33">
        <f aca="true" t="shared" si="0" ref="E8:M9">SUM(E9)</f>
        <v>330000</v>
      </c>
      <c r="F8" s="33">
        <f t="shared" si="0"/>
        <v>0</v>
      </c>
      <c r="G8" s="33">
        <f t="shared" si="0"/>
        <v>330000</v>
      </c>
      <c r="H8" s="33">
        <f t="shared" si="0"/>
        <v>0</v>
      </c>
      <c r="I8" s="33">
        <f t="shared" si="0"/>
        <v>330000</v>
      </c>
      <c r="J8" s="33">
        <f t="shared" si="0"/>
        <v>0</v>
      </c>
      <c r="K8" s="33">
        <f t="shared" si="0"/>
        <v>330000</v>
      </c>
      <c r="L8" s="33">
        <f t="shared" si="0"/>
        <v>0</v>
      </c>
      <c r="M8" s="33">
        <f t="shared" si="0"/>
        <v>330000</v>
      </c>
      <c r="N8" s="147"/>
      <c r="O8" s="147"/>
      <c r="P8" s="148"/>
      <c r="Q8" s="313"/>
      <c r="R8" s="313"/>
      <c r="S8" s="313"/>
      <c r="T8" s="313"/>
      <c r="U8" s="313"/>
      <c r="V8" s="144"/>
      <c r="W8" s="144"/>
      <c r="X8" s="144"/>
    </row>
    <row r="9" spans="1:24" s="112" customFormat="1" ht="36">
      <c r="A9" s="51"/>
      <c r="B9" s="48">
        <v>75618</v>
      </c>
      <c r="C9" s="51"/>
      <c r="D9" s="47" t="s">
        <v>149</v>
      </c>
      <c r="E9" s="102">
        <f t="shared" si="0"/>
        <v>330000</v>
      </c>
      <c r="F9" s="102">
        <f t="shared" si="0"/>
        <v>0</v>
      </c>
      <c r="G9" s="102">
        <f t="shared" si="0"/>
        <v>330000</v>
      </c>
      <c r="H9" s="102">
        <f t="shared" si="0"/>
        <v>0</v>
      </c>
      <c r="I9" s="102">
        <f t="shared" si="0"/>
        <v>330000</v>
      </c>
      <c r="J9" s="102">
        <f t="shared" si="0"/>
        <v>0</v>
      </c>
      <c r="K9" s="102">
        <f t="shared" si="0"/>
        <v>330000</v>
      </c>
      <c r="L9" s="102">
        <f t="shared" si="0"/>
        <v>0</v>
      </c>
      <c r="M9" s="102">
        <f t="shared" si="0"/>
        <v>330000</v>
      </c>
      <c r="N9" s="147"/>
      <c r="O9" s="147"/>
      <c r="P9" s="148"/>
      <c r="Q9" s="313"/>
      <c r="R9" s="313"/>
      <c r="S9" s="313"/>
      <c r="T9" s="313"/>
      <c r="U9" s="313"/>
      <c r="V9" s="144"/>
      <c r="W9" s="144"/>
      <c r="X9" s="144"/>
    </row>
    <row r="10" spans="1:24" s="112" customFormat="1" ht="23.25" customHeight="1">
      <c r="A10" s="51"/>
      <c r="B10" s="51"/>
      <c r="C10" s="113" t="s">
        <v>183</v>
      </c>
      <c r="D10" s="74" t="s">
        <v>233</v>
      </c>
      <c r="E10" s="102">
        <v>330000</v>
      </c>
      <c r="F10" s="102"/>
      <c r="G10" s="102">
        <f>SUM(E10:F10)</f>
        <v>330000</v>
      </c>
      <c r="H10" s="102"/>
      <c r="I10" s="102">
        <f>SUM(G10:H10)</f>
        <v>330000</v>
      </c>
      <c r="J10" s="102"/>
      <c r="K10" s="102">
        <f>SUM(I10:J10)</f>
        <v>330000</v>
      </c>
      <c r="L10" s="102"/>
      <c r="M10" s="102">
        <f>SUM(K10:L10)</f>
        <v>330000</v>
      </c>
      <c r="N10" s="147"/>
      <c r="O10" s="147"/>
      <c r="P10" s="148"/>
      <c r="Q10" s="314"/>
      <c r="R10" s="314"/>
      <c r="S10" s="314"/>
      <c r="T10" s="314"/>
      <c r="U10" s="314"/>
      <c r="V10" s="149"/>
      <c r="W10" s="149"/>
      <c r="X10" s="149"/>
    </row>
    <row r="11" spans="1:24" s="1" customFormat="1" ht="21" customHeight="1">
      <c r="A11" s="45"/>
      <c r="B11" s="45"/>
      <c r="C11" s="45"/>
      <c r="D11" s="2" t="s">
        <v>70</v>
      </c>
      <c r="E11" s="33">
        <f aca="true" t="shared" si="1" ref="E11:K11">SUM(E8)</f>
        <v>330000</v>
      </c>
      <c r="F11" s="33">
        <f t="shared" si="1"/>
        <v>0</v>
      </c>
      <c r="G11" s="33">
        <f t="shared" si="1"/>
        <v>330000</v>
      </c>
      <c r="H11" s="33">
        <f t="shared" si="1"/>
        <v>0</v>
      </c>
      <c r="I11" s="33">
        <f t="shared" si="1"/>
        <v>330000</v>
      </c>
      <c r="J11" s="33">
        <f t="shared" si="1"/>
        <v>0</v>
      </c>
      <c r="K11" s="33">
        <f t="shared" si="1"/>
        <v>330000</v>
      </c>
      <c r="L11" s="33">
        <f>SUM(L8)</f>
        <v>0</v>
      </c>
      <c r="M11" s="33">
        <f>SUM(M8)</f>
        <v>330000</v>
      </c>
      <c r="N11" s="147"/>
      <c r="O11" s="147"/>
      <c r="P11" s="148"/>
      <c r="Q11" s="314"/>
      <c r="R11" s="314"/>
      <c r="S11" s="314"/>
      <c r="T11" s="314"/>
      <c r="U11" s="314"/>
      <c r="V11" s="149"/>
      <c r="W11" s="149"/>
      <c r="X11" s="149"/>
    </row>
    <row r="12" spans="1:24" s="1" customFormat="1" ht="22.5" customHeight="1">
      <c r="A12" s="109"/>
      <c r="B12" s="109"/>
      <c r="C12" s="109"/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47"/>
      <c r="O12" s="147"/>
      <c r="P12" s="148"/>
      <c r="Q12" s="314"/>
      <c r="R12" s="314"/>
      <c r="S12" s="314"/>
      <c r="T12" s="314"/>
      <c r="U12" s="314"/>
      <c r="V12" s="149"/>
      <c r="W12" s="149"/>
      <c r="X12" s="149"/>
    </row>
    <row r="13" spans="1:24" ht="26.25" customHeight="1">
      <c r="A13" s="317" t="s">
        <v>364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147"/>
      <c r="O13" s="147"/>
      <c r="P13" s="148"/>
      <c r="Q13" s="314"/>
      <c r="R13" s="314"/>
      <c r="S13" s="314"/>
      <c r="T13" s="314"/>
      <c r="U13" s="314"/>
      <c r="V13" s="149"/>
      <c r="W13" s="149"/>
      <c r="X13" s="149"/>
    </row>
    <row r="14" spans="1:24" s="115" customFormat="1" ht="24">
      <c r="A14" s="2" t="s">
        <v>0</v>
      </c>
      <c r="B14" s="2" t="s">
        <v>1</v>
      </c>
      <c r="C14" s="2" t="s">
        <v>2</v>
      </c>
      <c r="D14" s="2" t="s">
        <v>3</v>
      </c>
      <c r="E14" s="100" t="s">
        <v>146</v>
      </c>
      <c r="F14" s="100" t="s">
        <v>146</v>
      </c>
      <c r="G14" s="100" t="s">
        <v>146</v>
      </c>
      <c r="H14" s="100" t="s">
        <v>146</v>
      </c>
      <c r="I14" s="100" t="s">
        <v>146</v>
      </c>
      <c r="J14" s="100" t="s">
        <v>340</v>
      </c>
      <c r="K14" s="100" t="s">
        <v>147</v>
      </c>
      <c r="L14" s="100" t="s">
        <v>340</v>
      </c>
      <c r="M14" s="100" t="s">
        <v>347</v>
      </c>
      <c r="N14" s="147"/>
      <c r="O14" s="147"/>
      <c r="P14" s="148"/>
      <c r="Q14" s="318"/>
      <c r="R14" s="318"/>
      <c r="S14" s="318"/>
      <c r="T14" s="318"/>
      <c r="U14" s="318"/>
      <c r="V14" s="150"/>
      <c r="W14" s="150"/>
      <c r="X14" s="150"/>
    </row>
    <row r="15" spans="1:24" s="115" customFormat="1" ht="23.25" customHeight="1">
      <c r="A15" s="2">
        <v>758</v>
      </c>
      <c r="B15" s="2"/>
      <c r="C15" s="2"/>
      <c r="D15" s="21" t="s">
        <v>48</v>
      </c>
      <c r="E15" s="121">
        <f aca="true" t="shared" si="2" ref="E15:M16">SUM(E16)</f>
        <v>0</v>
      </c>
      <c r="F15" s="121">
        <f t="shared" si="2"/>
        <v>140000</v>
      </c>
      <c r="G15" s="121">
        <f t="shared" si="2"/>
        <v>140000</v>
      </c>
      <c r="H15" s="121">
        <f t="shared" si="2"/>
        <v>-64010</v>
      </c>
      <c r="I15" s="121">
        <f t="shared" si="2"/>
        <v>75990</v>
      </c>
      <c r="J15" s="121">
        <f t="shared" si="2"/>
        <v>0</v>
      </c>
      <c r="K15" s="121">
        <f t="shared" si="2"/>
        <v>75990</v>
      </c>
      <c r="L15" s="121">
        <f t="shared" si="2"/>
        <v>-38250</v>
      </c>
      <c r="M15" s="121">
        <f t="shared" si="2"/>
        <v>37740</v>
      </c>
      <c r="N15" s="147"/>
      <c r="O15" s="147"/>
      <c r="P15" s="148"/>
      <c r="Q15" s="150"/>
      <c r="R15" s="150"/>
      <c r="S15" s="150"/>
      <c r="T15" s="150"/>
      <c r="U15" s="150"/>
      <c r="V15" s="150"/>
      <c r="W15" s="150"/>
      <c r="X15" s="150"/>
    </row>
    <row r="16" spans="1:24" s="231" customFormat="1" ht="23.25" customHeight="1">
      <c r="A16" s="221"/>
      <c r="B16" s="221">
        <v>75818</v>
      </c>
      <c r="C16" s="221"/>
      <c r="D16" s="14" t="s">
        <v>110</v>
      </c>
      <c r="E16" s="230">
        <f t="shared" si="2"/>
        <v>0</v>
      </c>
      <c r="F16" s="230">
        <f t="shared" si="2"/>
        <v>140000</v>
      </c>
      <c r="G16" s="230">
        <f t="shared" si="2"/>
        <v>140000</v>
      </c>
      <c r="H16" s="230">
        <f t="shared" si="2"/>
        <v>-64010</v>
      </c>
      <c r="I16" s="230">
        <f t="shared" si="2"/>
        <v>75990</v>
      </c>
      <c r="J16" s="230">
        <f t="shared" si="2"/>
        <v>0</v>
      </c>
      <c r="K16" s="230">
        <f t="shared" si="2"/>
        <v>75990</v>
      </c>
      <c r="L16" s="230">
        <f t="shared" si="2"/>
        <v>-38250</v>
      </c>
      <c r="M16" s="230">
        <f t="shared" si="2"/>
        <v>37740</v>
      </c>
      <c r="N16" s="232"/>
      <c r="O16" s="232"/>
      <c r="P16" s="233"/>
      <c r="Q16" s="234"/>
      <c r="R16" s="234"/>
      <c r="S16" s="234"/>
      <c r="T16" s="234"/>
      <c r="U16" s="234"/>
      <c r="V16" s="234"/>
      <c r="W16" s="234"/>
      <c r="X16" s="234"/>
    </row>
    <row r="17" spans="1:24" s="231" customFormat="1" ht="23.25" customHeight="1">
      <c r="A17" s="221"/>
      <c r="B17" s="221"/>
      <c r="C17" s="221">
        <v>4810</v>
      </c>
      <c r="D17" s="41" t="s">
        <v>111</v>
      </c>
      <c r="E17" s="230">
        <v>0</v>
      </c>
      <c r="F17" s="230">
        <f>65000+70000+5000</f>
        <v>140000</v>
      </c>
      <c r="G17" s="230">
        <f>SUM(E17:F17)</f>
        <v>140000</v>
      </c>
      <c r="H17" s="230">
        <f>-58190-5820</f>
        <v>-64010</v>
      </c>
      <c r="I17" s="230">
        <f>SUM(G17:H17)</f>
        <v>75990</v>
      </c>
      <c r="J17" s="230"/>
      <c r="K17" s="230">
        <f>SUM(I17:J17)</f>
        <v>75990</v>
      </c>
      <c r="L17" s="230">
        <v>-38250</v>
      </c>
      <c r="M17" s="230">
        <f>SUM(K17:L17)</f>
        <v>37740</v>
      </c>
      <c r="N17" s="232"/>
      <c r="O17" s="232"/>
      <c r="P17" s="233"/>
      <c r="Q17" s="234"/>
      <c r="R17" s="234"/>
      <c r="S17" s="234"/>
      <c r="T17" s="234"/>
      <c r="U17" s="234"/>
      <c r="V17" s="234"/>
      <c r="W17" s="234"/>
      <c r="X17" s="234"/>
    </row>
    <row r="18" spans="1:24" s="118" customFormat="1" ht="23.25" customHeight="1">
      <c r="A18" s="2">
        <v>851</v>
      </c>
      <c r="B18" s="2"/>
      <c r="C18" s="2"/>
      <c r="D18" s="119" t="s">
        <v>228</v>
      </c>
      <c r="E18" s="120">
        <f aca="true" t="shared" si="3" ref="E18:K18">E21+E19</f>
        <v>161208</v>
      </c>
      <c r="F18" s="120">
        <f t="shared" si="3"/>
        <v>-75000</v>
      </c>
      <c r="G18" s="120">
        <f t="shared" si="3"/>
        <v>86208</v>
      </c>
      <c r="H18" s="120">
        <f t="shared" si="3"/>
        <v>64010</v>
      </c>
      <c r="I18" s="120">
        <f t="shared" si="3"/>
        <v>150218</v>
      </c>
      <c r="J18" s="120">
        <f t="shared" si="3"/>
        <v>0</v>
      </c>
      <c r="K18" s="120">
        <f t="shared" si="3"/>
        <v>150218</v>
      </c>
      <c r="L18" s="120">
        <f>L21+L19</f>
        <v>0</v>
      </c>
      <c r="M18" s="120">
        <f>M21+M19</f>
        <v>150218</v>
      </c>
      <c r="N18" s="147"/>
      <c r="O18" s="147"/>
      <c r="P18" s="148"/>
      <c r="Q18" s="319"/>
      <c r="R18" s="319"/>
      <c r="S18" s="319"/>
      <c r="T18" s="319"/>
      <c r="U18" s="319"/>
      <c r="V18" s="151"/>
      <c r="W18" s="151"/>
      <c r="X18" s="151"/>
    </row>
    <row r="19" spans="1:24" s="237" customFormat="1" ht="19.5" customHeight="1">
      <c r="A19" s="235"/>
      <c r="B19" s="51">
        <v>85153</v>
      </c>
      <c r="C19" s="235"/>
      <c r="D19" s="49" t="s">
        <v>230</v>
      </c>
      <c r="E19" s="236">
        <f aca="true" t="shared" si="4" ref="E19:M19">SUM(E20:E20)</f>
        <v>6360</v>
      </c>
      <c r="F19" s="236">
        <f t="shared" si="4"/>
        <v>0</v>
      </c>
      <c r="G19" s="236">
        <f t="shared" si="4"/>
        <v>6360</v>
      </c>
      <c r="H19" s="236">
        <f t="shared" si="4"/>
        <v>0</v>
      </c>
      <c r="I19" s="236">
        <f t="shared" si="4"/>
        <v>6360</v>
      </c>
      <c r="J19" s="236">
        <f t="shared" si="4"/>
        <v>0</v>
      </c>
      <c r="K19" s="236">
        <f t="shared" si="4"/>
        <v>6360</v>
      </c>
      <c r="L19" s="236">
        <f t="shared" si="4"/>
        <v>0</v>
      </c>
      <c r="M19" s="236">
        <f t="shared" si="4"/>
        <v>6360</v>
      </c>
      <c r="N19" s="238"/>
      <c r="O19" s="238"/>
      <c r="P19" s="239"/>
      <c r="Q19" s="311"/>
      <c r="R19" s="311"/>
      <c r="S19" s="311"/>
      <c r="T19" s="311"/>
      <c r="U19" s="311"/>
      <c r="V19" s="112"/>
      <c r="W19" s="112"/>
      <c r="X19" s="112"/>
    </row>
    <row r="20" spans="1:24" s="237" customFormat="1" ht="19.5" customHeight="1">
      <c r="A20" s="235"/>
      <c r="B20" s="235"/>
      <c r="C20" s="48">
        <v>4300</v>
      </c>
      <c r="D20" s="41" t="s">
        <v>82</v>
      </c>
      <c r="E20" s="236">
        <f>5600+760</f>
        <v>6360</v>
      </c>
      <c r="F20" s="236"/>
      <c r="G20" s="236">
        <f>SUM(E20:F20)</f>
        <v>6360</v>
      </c>
      <c r="H20" s="236"/>
      <c r="I20" s="236">
        <f>SUM(G20:H20)</f>
        <v>6360</v>
      </c>
      <c r="J20" s="236"/>
      <c r="K20" s="236">
        <f>SUM(I20:J20)</f>
        <v>6360</v>
      </c>
      <c r="L20" s="236"/>
      <c r="M20" s="236">
        <f>SUM(K20:L20)</f>
        <v>6360</v>
      </c>
      <c r="N20" s="238"/>
      <c r="O20" s="238"/>
      <c r="P20" s="239"/>
      <c r="Q20" s="312"/>
      <c r="R20" s="312"/>
      <c r="S20" s="312"/>
      <c r="T20" s="312"/>
      <c r="U20" s="312"/>
      <c r="V20" s="240"/>
      <c r="W20" s="240"/>
      <c r="X20" s="240"/>
    </row>
    <row r="21" spans="1:24" s="26" customFormat="1" ht="21.75" customHeight="1">
      <c r="A21" s="71"/>
      <c r="B21" s="71" t="s">
        <v>122</v>
      </c>
      <c r="C21" s="48"/>
      <c r="D21" s="14" t="s">
        <v>56</v>
      </c>
      <c r="E21" s="82">
        <f>SUM(E24:E30)</f>
        <v>154848</v>
      </c>
      <c r="F21" s="82">
        <f>SUM(F24:F30)</f>
        <v>-75000</v>
      </c>
      <c r="G21" s="82">
        <f>SUM(G23:G30)</f>
        <v>79848</v>
      </c>
      <c r="H21" s="82">
        <f>SUM(H23:H30)</f>
        <v>64010</v>
      </c>
      <c r="I21" s="82">
        <f>SUM(I22:I30)</f>
        <v>143858</v>
      </c>
      <c r="J21" s="82">
        <f>SUM(J22:J30)</f>
        <v>0</v>
      </c>
      <c r="K21" s="82">
        <f>SUM(K22:K30)</f>
        <v>143858</v>
      </c>
      <c r="L21" s="82">
        <f>SUM(L22:L30)</f>
        <v>0</v>
      </c>
      <c r="M21" s="82">
        <f>SUM(M22:M30)</f>
        <v>143858</v>
      </c>
      <c r="N21" s="238"/>
      <c r="O21" s="238"/>
      <c r="P21" s="239"/>
      <c r="Q21" s="240"/>
      <c r="R21" s="240"/>
      <c r="S21" s="240"/>
      <c r="T21" s="240"/>
      <c r="U21" s="240"/>
      <c r="V21" s="240"/>
      <c r="W21" s="240"/>
      <c r="X21" s="240"/>
    </row>
    <row r="22" spans="1:24" s="26" customFormat="1" ht="36">
      <c r="A22" s="71"/>
      <c r="B22" s="71"/>
      <c r="C22" s="48">
        <v>2710</v>
      </c>
      <c r="D22" s="14" t="s">
        <v>431</v>
      </c>
      <c r="E22" s="82"/>
      <c r="F22" s="82"/>
      <c r="G22" s="82"/>
      <c r="H22" s="82"/>
      <c r="I22" s="82">
        <v>0</v>
      </c>
      <c r="J22" s="82">
        <v>13425</v>
      </c>
      <c r="K22" s="82">
        <f>SUM(I22:J22)</f>
        <v>13425</v>
      </c>
      <c r="L22" s="82"/>
      <c r="M22" s="82">
        <f>SUM(K22:L22)</f>
        <v>13425</v>
      </c>
      <c r="N22" s="238"/>
      <c r="O22" s="238"/>
      <c r="P22" s="239"/>
      <c r="Q22" s="240"/>
      <c r="R22" s="240"/>
      <c r="S22" s="240"/>
      <c r="T22" s="240"/>
      <c r="U22" s="240"/>
      <c r="V22" s="240"/>
      <c r="W22" s="240"/>
      <c r="X22" s="240"/>
    </row>
    <row r="23" spans="1:24" s="26" customFormat="1" ht="36">
      <c r="A23" s="71"/>
      <c r="B23" s="71"/>
      <c r="C23" s="83">
        <v>2820</v>
      </c>
      <c r="D23" s="41" t="s">
        <v>286</v>
      </c>
      <c r="E23" s="82"/>
      <c r="F23" s="82"/>
      <c r="G23" s="82">
        <v>0</v>
      </c>
      <c r="H23" s="82">
        <v>8130</v>
      </c>
      <c r="I23" s="82">
        <f>SUM(G23:H23)</f>
        <v>8130</v>
      </c>
      <c r="J23" s="82"/>
      <c r="K23" s="82">
        <f>SUM(I23:J23)</f>
        <v>8130</v>
      </c>
      <c r="L23" s="82"/>
      <c r="M23" s="82">
        <f>SUM(K23:L23)</f>
        <v>8130</v>
      </c>
      <c r="N23" s="238"/>
      <c r="O23" s="238"/>
      <c r="P23" s="239"/>
      <c r="Q23" s="240"/>
      <c r="R23" s="240"/>
      <c r="S23" s="240"/>
      <c r="T23" s="240"/>
      <c r="U23" s="240"/>
      <c r="V23" s="240"/>
      <c r="W23" s="240"/>
      <c r="X23" s="240"/>
    </row>
    <row r="24" spans="1:24" s="26" customFormat="1" ht="48">
      <c r="A24" s="71"/>
      <c r="B24" s="71"/>
      <c r="C24" s="83">
        <v>2830</v>
      </c>
      <c r="D24" s="41" t="s">
        <v>383</v>
      </c>
      <c r="E24" s="82">
        <f>70850-850</f>
        <v>70000</v>
      </c>
      <c r="F24" s="82">
        <v>-70000</v>
      </c>
      <c r="G24" s="82">
        <f>SUM(E24:F24)</f>
        <v>0</v>
      </c>
      <c r="H24" s="82">
        <f>50060+5820</f>
        <v>55880</v>
      </c>
      <c r="I24" s="82">
        <f>SUM(G24:H24)</f>
        <v>55880</v>
      </c>
      <c r="J24" s="82"/>
      <c r="K24" s="82">
        <f>SUM(I24:J24)</f>
        <v>55880</v>
      </c>
      <c r="L24" s="82"/>
      <c r="M24" s="82">
        <f>SUM(K24:L24)</f>
        <v>55880</v>
      </c>
      <c r="N24" s="238"/>
      <c r="O24" s="238"/>
      <c r="P24" s="239"/>
      <c r="Q24" s="240"/>
      <c r="R24" s="240"/>
      <c r="S24" s="240"/>
      <c r="T24" s="240"/>
      <c r="U24" s="240"/>
      <c r="V24" s="240"/>
      <c r="W24" s="240"/>
      <c r="X24" s="240"/>
    </row>
    <row r="25" spans="1:24" s="26" customFormat="1" ht="20.25" customHeight="1">
      <c r="A25" s="71"/>
      <c r="B25" s="71"/>
      <c r="C25" s="48">
        <v>4110</v>
      </c>
      <c r="D25" s="41" t="s">
        <v>89</v>
      </c>
      <c r="E25" s="82">
        <v>1758</v>
      </c>
      <c r="F25" s="82"/>
      <c r="G25" s="82">
        <f aca="true" t="shared" si="5" ref="G25:G30">SUM(E25:F25)</f>
        <v>1758</v>
      </c>
      <c r="H25" s="82"/>
      <c r="I25" s="82">
        <f aca="true" t="shared" si="6" ref="I25:I30">SUM(G25:H25)</f>
        <v>1758</v>
      </c>
      <c r="J25" s="82"/>
      <c r="K25" s="82">
        <f aca="true" t="shared" si="7" ref="K25:K30">SUM(I25:J25)</f>
        <v>1758</v>
      </c>
      <c r="L25" s="82"/>
      <c r="M25" s="82">
        <f aca="true" t="shared" si="8" ref="M25:M30">SUM(K25:L25)</f>
        <v>1758</v>
      </c>
      <c r="N25" s="238"/>
      <c r="O25" s="238"/>
      <c r="P25" s="239"/>
      <c r="Q25" s="240"/>
      <c r="R25" s="240"/>
      <c r="S25" s="240"/>
      <c r="T25" s="240"/>
      <c r="U25" s="240"/>
      <c r="V25" s="240"/>
      <c r="W25" s="240"/>
      <c r="X25" s="240"/>
    </row>
    <row r="26" spans="1:24" s="26" customFormat="1" ht="21.75" customHeight="1">
      <c r="A26" s="71"/>
      <c r="B26" s="48"/>
      <c r="C26" s="48">
        <v>4170</v>
      </c>
      <c r="D26" s="14" t="s">
        <v>200</v>
      </c>
      <c r="E26" s="89">
        <f>21000+16800</f>
        <v>37800</v>
      </c>
      <c r="F26" s="89"/>
      <c r="G26" s="82">
        <f t="shared" si="5"/>
        <v>37800</v>
      </c>
      <c r="H26" s="89"/>
      <c r="I26" s="82">
        <f t="shared" si="6"/>
        <v>37800</v>
      </c>
      <c r="J26" s="89">
        <v>-1000</v>
      </c>
      <c r="K26" s="82">
        <f t="shared" si="7"/>
        <v>36800</v>
      </c>
      <c r="L26" s="89"/>
      <c r="M26" s="82">
        <f t="shared" si="8"/>
        <v>36800</v>
      </c>
      <c r="N26" s="238"/>
      <c r="O26" s="238"/>
      <c r="P26" s="239"/>
      <c r="Q26" s="241"/>
      <c r="R26" s="241"/>
      <c r="S26" s="241"/>
      <c r="T26" s="241"/>
      <c r="U26" s="241"/>
      <c r="V26" s="241"/>
      <c r="W26" s="241"/>
      <c r="X26" s="241"/>
    </row>
    <row r="27" spans="1:24" s="26" customFormat="1" ht="21.75" customHeight="1">
      <c r="A27" s="71"/>
      <c r="B27" s="48"/>
      <c r="C27" s="48">
        <v>4210</v>
      </c>
      <c r="D27" s="14" t="s">
        <v>95</v>
      </c>
      <c r="E27" s="89">
        <f>5000+3000</f>
        <v>8000</v>
      </c>
      <c r="F27" s="89"/>
      <c r="G27" s="82">
        <f t="shared" si="5"/>
        <v>8000</v>
      </c>
      <c r="H27" s="89"/>
      <c r="I27" s="82">
        <f t="shared" si="6"/>
        <v>8000</v>
      </c>
      <c r="J27" s="89">
        <v>-900</v>
      </c>
      <c r="K27" s="82">
        <f t="shared" si="7"/>
        <v>7100</v>
      </c>
      <c r="L27" s="89"/>
      <c r="M27" s="82">
        <f t="shared" si="8"/>
        <v>7100</v>
      </c>
      <c r="N27" s="238"/>
      <c r="O27" s="238"/>
      <c r="P27" s="239"/>
      <c r="Q27" s="240"/>
      <c r="R27" s="240"/>
      <c r="S27" s="240"/>
      <c r="T27" s="240"/>
      <c r="U27" s="240"/>
      <c r="V27" s="240"/>
      <c r="W27" s="240"/>
      <c r="X27" s="240"/>
    </row>
    <row r="28" spans="1:17" s="26" customFormat="1" ht="21.75" customHeight="1">
      <c r="A28" s="71"/>
      <c r="B28" s="48"/>
      <c r="C28" s="48">
        <v>4220</v>
      </c>
      <c r="D28" s="14" t="s">
        <v>185</v>
      </c>
      <c r="E28" s="89">
        <v>10000</v>
      </c>
      <c r="F28" s="89"/>
      <c r="G28" s="82">
        <f t="shared" si="5"/>
        <v>10000</v>
      </c>
      <c r="H28" s="89"/>
      <c r="I28" s="82">
        <f t="shared" si="6"/>
        <v>10000</v>
      </c>
      <c r="J28" s="89">
        <v>-3825</v>
      </c>
      <c r="K28" s="82">
        <f t="shared" si="7"/>
        <v>6175</v>
      </c>
      <c r="L28" s="89"/>
      <c r="M28" s="82">
        <f t="shared" si="8"/>
        <v>6175</v>
      </c>
      <c r="N28" s="238"/>
      <c r="O28" s="238"/>
      <c r="P28" s="242"/>
      <c r="Q28" s="243"/>
    </row>
    <row r="29" spans="1:17" s="26" customFormat="1" ht="20.25" customHeight="1">
      <c r="A29" s="71"/>
      <c r="B29" s="48"/>
      <c r="C29" s="48">
        <v>4300</v>
      </c>
      <c r="D29" s="14" t="s">
        <v>82</v>
      </c>
      <c r="E29" s="89">
        <f>2240+3000+15000+5000+850</f>
        <v>26090</v>
      </c>
      <c r="F29" s="89">
        <v>-5000</v>
      </c>
      <c r="G29" s="82">
        <f t="shared" si="5"/>
        <v>21090</v>
      </c>
      <c r="H29" s="89"/>
      <c r="I29" s="82">
        <f t="shared" si="6"/>
        <v>21090</v>
      </c>
      <c r="J29" s="89">
        <f>-5000-1100-1600</f>
        <v>-7700</v>
      </c>
      <c r="K29" s="82">
        <f t="shared" si="7"/>
        <v>13390</v>
      </c>
      <c r="L29" s="89"/>
      <c r="M29" s="82">
        <f t="shared" si="8"/>
        <v>13390</v>
      </c>
      <c r="N29" s="243"/>
      <c r="O29" s="243"/>
      <c r="P29" s="244"/>
      <c r="Q29" s="243"/>
    </row>
    <row r="30" spans="1:17" s="26" customFormat="1" ht="21" customHeight="1">
      <c r="A30" s="71"/>
      <c r="B30" s="48"/>
      <c r="C30" s="48">
        <v>4410</v>
      </c>
      <c r="D30" s="41" t="s">
        <v>93</v>
      </c>
      <c r="E30" s="89">
        <v>1200</v>
      </c>
      <c r="F30" s="89"/>
      <c r="G30" s="82">
        <f t="shared" si="5"/>
        <v>1200</v>
      </c>
      <c r="H30" s="89"/>
      <c r="I30" s="82">
        <f t="shared" si="6"/>
        <v>1200</v>
      </c>
      <c r="J30" s="89"/>
      <c r="K30" s="82">
        <f t="shared" si="7"/>
        <v>1200</v>
      </c>
      <c r="L30" s="89"/>
      <c r="M30" s="82">
        <f t="shared" si="8"/>
        <v>1200</v>
      </c>
      <c r="N30" s="243"/>
      <c r="O30" s="243"/>
      <c r="P30" s="244"/>
      <c r="Q30" s="243"/>
    </row>
    <row r="31" spans="1:17" s="9" customFormat="1" ht="21.75" customHeight="1">
      <c r="A31" s="34">
        <v>852</v>
      </c>
      <c r="B31" s="6"/>
      <c r="C31" s="6"/>
      <c r="D31" s="21" t="s">
        <v>195</v>
      </c>
      <c r="E31" s="19">
        <f aca="true" t="shared" si="9" ref="E31:M31">SUM(E32,)</f>
        <v>103792</v>
      </c>
      <c r="F31" s="19">
        <f t="shared" si="9"/>
        <v>0</v>
      </c>
      <c r="G31" s="19">
        <f t="shared" si="9"/>
        <v>103792</v>
      </c>
      <c r="H31" s="19">
        <f t="shared" si="9"/>
        <v>0</v>
      </c>
      <c r="I31" s="19">
        <f t="shared" si="9"/>
        <v>103792</v>
      </c>
      <c r="J31" s="19">
        <f t="shared" si="9"/>
        <v>0</v>
      </c>
      <c r="K31" s="19">
        <f t="shared" si="9"/>
        <v>103792</v>
      </c>
      <c r="L31" s="19">
        <f t="shared" si="9"/>
        <v>0</v>
      </c>
      <c r="M31" s="19">
        <f t="shared" si="9"/>
        <v>103792</v>
      </c>
      <c r="N31" s="145"/>
      <c r="O31" s="145"/>
      <c r="P31" s="146"/>
      <c r="Q31" s="145"/>
    </row>
    <row r="32" spans="1:17" s="26" customFormat="1" ht="21.75" customHeight="1">
      <c r="A32" s="71"/>
      <c r="B32" s="71">
        <v>85219</v>
      </c>
      <c r="C32" s="48"/>
      <c r="D32" s="41" t="s">
        <v>60</v>
      </c>
      <c r="E32" s="82">
        <f aca="true" t="shared" si="10" ref="E32:K32">SUM(E33:E46)</f>
        <v>103792</v>
      </c>
      <c r="F32" s="82">
        <f t="shared" si="10"/>
        <v>0</v>
      </c>
      <c r="G32" s="82">
        <f t="shared" si="10"/>
        <v>103792</v>
      </c>
      <c r="H32" s="82">
        <f t="shared" si="10"/>
        <v>0</v>
      </c>
      <c r="I32" s="82">
        <f t="shared" si="10"/>
        <v>103792</v>
      </c>
      <c r="J32" s="82">
        <f t="shared" si="10"/>
        <v>0</v>
      </c>
      <c r="K32" s="82">
        <f t="shared" si="10"/>
        <v>103792</v>
      </c>
      <c r="L32" s="82">
        <f>SUM(L33:L46)</f>
        <v>0</v>
      </c>
      <c r="M32" s="82">
        <f>SUM(M33:M46)</f>
        <v>103792</v>
      </c>
      <c r="N32" s="145"/>
      <c r="O32" s="145"/>
      <c r="P32" s="146"/>
      <c r="Q32" s="145"/>
    </row>
    <row r="33" spans="1:17" s="26" customFormat="1" ht="21.75" customHeight="1">
      <c r="A33" s="71"/>
      <c r="B33" s="71"/>
      <c r="C33" s="83">
        <v>4010</v>
      </c>
      <c r="D33" s="41" t="s">
        <v>87</v>
      </c>
      <c r="E33" s="89">
        <v>28577</v>
      </c>
      <c r="F33" s="89"/>
      <c r="G33" s="89">
        <f>SUM(E33:F33)</f>
        <v>28577</v>
      </c>
      <c r="H33" s="89"/>
      <c r="I33" s="89">
        <f>SUM(G33:H33)</f>
        <v>28577</v>
      </c>
      <c r="J33" s="89"/>
      <c r="K33" s="89">
        <f>SUM(I33:J33)</f>
        <v>28577</v>
      </c>
      <c r="L33" s="89"/>
      <c r="M33" s="89">
        <f>SUM(K33:L33)</f>
        <v>28577</v>
      </c>
      <c r="N33" s="145"/>
      <c r="O33" s="145"/>
      <c r="P33" s="146"/>
      <c r="Q33" s="145"/>
    </row>
    <row r="34" spans="1:17" s="26" customFormat="1" ht="21.75" customHeight="1">
      <c r="A34" s="71"/>
      <c r="B34" s="71"/>
      <c r="C34" s="83">
        <v>4040</v>
      </c>
      <c r="D34" s="41" t="s">
        <v>88</v>
      </c>
      <c r="E34" s="89">
        <v>2774</v>
      </c>
      <c r="F34" s="89"/>
      <c r="G34" s="89">
        <f aca="true" t="shared" si="11" ref="G34:G46">SUM(E34:F34)</f>
        <v>2774</v>
      </c>
      <c r="H34" s="89"/>
      <c r="I34" s="89">
        <f aca="true" t="shared" si="12" ref="I34:I46">SUM(G34:H34)</f>
        <v>2774</v>
      </c>
      <c r="J34" s="89"/>
      <c r="K34" s="89">
        <f aca="true" t="shared" si="13" ref="K34:K46">SUM(I34:J34)</f>
        <v>2774</v>
      </c>
      <c r="L34" s="89"/>
      <c r="M34" s="89">
        <f aca="true" t="shared" si="14" ref="M34:M46">SUM(K34:L34)</f>
        <v>2774</v>
      </c>
      <c r="N34" s="145"/>
      <c r="O34" s="145"/>
      <c r="P34" s="146"/>
      <c r="Q34" s="145"/>
    </row>
    <row r="35" spans="1:17" s="26" customFormat="1" ht="21.75" customHeight="1">
      <c r="A35" s="71"/>
      <c r="B35" s="71"/>
      <c r="C35" s="83">
        <v>4110</v>
      </c>
      <c r="D35" s="41" t="s">
        <v>89</v>
      </c>
      <c r="E35" s="89">
        <v>5234</v>
      </c>
      <c r="F35" s="89"/>
      <c r="G35" s="89">
        <f t="shared" si="11"/>
        <v>5234</v>
      </c>
      <c r="H35" s="89"/>
      <c r="I35" s="89">
        <f t="shared" si="12"/>
        <v>5234</v>
      </c>
      <c r="J35" s="89"/>
      <c r="K35" s="89">
        <f t="shared" si="13"/>
        <v>5234</v>
      </c>
      <c r="L35" s="89"/>
      <c r="M35" s="89">
        <f t="shared" si="14"/>
        <v>5234</v>
      </c>
      <c r="N35" s="145"/>
      <c r="O35" s="145"/>
      <c r="P35" s="146"/>
      <c r="Q35" s="145"/>
    </row>
    <row r="36" spans="1:17" s="26" customFormat="1" ht="21.75" customHeight="1">
      <c r="A36" s="71"/>
      <c r="B36" s="71"/>
      <c r="C36" s="83">
        <v>4120</v>
      </c>
      <c r="D36" s="41" t="s">
        <v>90</v>
      </c>
      <c r="E36" s="89">
        <v>768</v>
      </c>
      <c r="F36" s="89"/>
      <c r="G36" s="89">
        <f t="shared" si="11"/>
        <v>768</v>
      </c>
      <c r="H36" s="89"/>
      <c r="I36" s="89">
        <f t="shared" si="12"/>
        <v>768</v>
      </c>
      <c r="J36" s="89"/>
      <c r="K36" s="89">
        <f t="shared" si="13"/>
        <v>768</v>
      </c>
      <c r="L36" s="89"/>
      <c r="M36" s="89">
        <f t="shared" si="14"/>
        <v>768</v>
      </c>
      <c r="N36" s="145"/>
      <c r="O36" s="145"/>
      <c r="P36" s="146"/>
      <c r="Q36" s="145"/>
    </row>
    <row r="37" spans="1:17" s="26" customFormat="1" ht="21.75" customHeight="1">
      <c r="A37" s="71"/>
      <c r="B37" s="71"/>
      <c r="C37" s="83">
        <v>4170</v>
      </c>
      <c r="D37" s="41" t="s">
        <v>200</v>
      </c>
      <c r="E37" s="89">
        <v>13200</v>
      </c>
      <c r="F37" s="89"/>
      <c r="G37" s="89">
        <f t="shared" si="11"/>
        <v>13200</v>
      </c>
      <c r="H37" s="89"/>
      <c r="I37" s="89">
        <f t="shared" si="12"/>
        <v>13200</v>
      </c>
      <c r="J37" s="89">
        <v>-12200</v>
      </c>
      <c r="K37" s="89">
        <f t="shared" si="13"/>
        <v>1000</v>
      </c>
      <c r="L37" s="89"/>
      <c r="M37" s="89">
        <f t="shared" si="14"/>
        <v>1000</v>
      </c>
      <c r="N37" s="145"/>
      <c r="O37" s="145"/>
      <c r="P37" s="146"/>
      <c r="Q37" s="145"/>
    </row>
    <row r="38" spans="1:17" s="26" customFormat="1" ht="21.75" customHeight="1">
      <c r="A38" s="71"/>
      <c r="B38" s="71"/>
      <c r="C38" s="83">
        <v>4210</v>
      </c>
      <c r="D38" s="14" t="s">
        <v>95</v>
      </c>
      <c r="E38" s="89">
        <f>3100-300</f>
        <v>2800</v>
      </c>
      <c r="F38" s="89"/>
      <c r="G38" s="89">
        <f t="shared" si="11"/>
        <v>2800</v>
      </c>
      <c r="H38" s="89"/>
      <c r="I38" s="89">
        <f t="shared" si="12"/>
        <v>2800</v>
      </c>
      <c r="J38" s="89"/>
      <c r="K38" s="89">
        <f t="shared" si="13"/>
        <v>2800</v>
      </c>
      <c r="L38" s="89"/>
      <c r="M38" s="89">
        <f t="shared" si="14"/>
        <v>2800</v>
      </c>
      <c r="N38" s="145"/>
      <c r="O38" s="145"/>
      <c r="P38" s="146"/>
      <c r="Q38" s="145"/>
    </row>
    <row r="39" spans="1:17" s="26" customFormat="1" ht="21.75" customHeight="1">
      <c r="A39" s="71"/>
      <c r="B39" s="71"/>
      <c r="C39" s="83">
        <v>4300</v>
      </c>
      <c r="D39" s="14" t="s">
        <v>82</v>
      </c>
      <c r="E39" s="89">
        <v>42600</v>
      </c>
      <c r="F39" s="89"/>
      <c r="G39" s="89">
        <f t="shared" si="11"/>
        <v>42600</v>
      </c>
      <c r="H39" s="89"/>
      <c r="I39" s="89">
        <f t="shared" si="12"/>
        <v>42600</v>
      </c>
      <c r="J39" s="89">
        <v>12200</v>
      </c>
      <c r="K39" s="89">
        <f t="shared" si="13"/>
        <v>54800</v>
      </c>
      <c r="L39" s="89"/>
      <c r="M39" s="89">
        <f t="shared" si="14"/>
        <v>54800</v>
      </c>
      <c r="N39" s="145"/>
      <c r="O39" s="145"/>
      <c r="P39" s="146"/>
      <c r="Q39" s="145"/>
    </row>
    <row r="40" spans="1:17" s="26" customFormat="1" ht="21.75" customHeight="1">
      <c r="A40" s="71"/>
      <c r="B40" s="71"/>
      <c r="C40" s="83">
        <v>4350</v>
      </c>
      <c r="D40" s="14" t="s">
        <v>215</v>
      </c>
      <c r="E40" s="89">
        <v>550</v>
      </c>
      <c r="F40" s="89"/>
      <c r="G40" s="89">
        <f t="shared" si="11"/>
        <v>550</v>
      </c>
      <c r="H40" s="89"/>
      <c r="I40" s="89">
        <f t="shared" si="12"/>
        <v>550</v>
      </c>
      <c r="J40" s="89"/>
      <c r="K40" s="89">
        <f t="shared" si="13"/>
        <v>550</v>
      </c>
      <c r="L40" s="89"/>
      <c r="M40" s="89">
        <f t="shared" si="14"/>
        <v>550</v>
      </c>
      <c r="N40" s="145"/>
      <c r="O40" s="145"/>
      <c r="P40" s="146"/>
      <c r="Q40" s="145"/>
    </row>
    <row r="41" spans="1:17" s="26" customFormat="1" ht="21.75" customHeight="1">
      <c r="A41" s="71"/>
      <c r="B41" s="71"/>
      <c r="C41" s="83">
        <v>4370</v>
      </c>
      <c r="D41" s="41" t="s">
        <v>235</v>
      </c>
      <c r="E41" s="89">
        <v>2500</v>
      </c>
      <c r="F41" s="89"/>
      <c r="G41" s="89">
        <f t="shared" si="11"/>
        <v>2500</v>
      </c>
      <c r="H41" s="89"/>
      <c r="I41" s="89">
        <f t="shared" si="12"/>
        <v>2500</v>
      </c>
      <c r="J41" s="89"/>
      <c r="K41" s="89">
        <f t="shared" si="13"/>
        <v>2500</v>
      </c>
      <c r="L41" s="89"/>
      <c r="M41" s="89">
        <f t="shared" si="14"/>
        <v>2500</v>
      </c>
      <c r="N41" s="145"/>
      <c r="O41" s="145"/>
      <c r="P41" s="146"/>
      <c r="Q41" s="145"/>
    </row>
    <row r="42" spans="1:17" s="26" customFormat="1" ht="26.25" customHeight="1">
      <c r="A42" s="71"/>
      <c r="B42" s="71"/>
      <c r="C42" s="83">
        <v>4400</v>
      </c>
      <c r="D42" s="41" t="s">
        <v>263</v>
      </c>
      <c r="E42" s="89">
        <v>2104</v>
      </c>
      <c r="F42" s="89"/>
      <c r="G42" s="89">
        <f t="shared" si="11"/>
        <v>2104</v>
      </c>
      <c r="H42" s="89"/>
      <c r="I42" s="89">
        <f t="shared" si="12"/>
        <v>2104</v>
      </c>
      <c r="J42" s="89"/>
      <c r="K42" s="89">
        <f t="shared" si="13"/>
        <v>2104</v>
      </c>
      <c r="L42" s="89"/>
      <c r="M42" s="89">
        <f t="shared" si="14"/>
        <v>2104</v>
      </c>
      <c r="N42" s="145"/>
      <c r="O42" s="145"/>
      <c r="P42" s="146"/>
      <c r="Q42" s="145"/>
    </row>
    <row r="43" spans="1:17" s="26" customFormat="1" ht="18.75" customHeight="1">
      <c r="A43" s="71"/>
      <c r="B43" s="71"/>
      <c r="C43" s="83">
        <v>4410</v>
      </c>
      <c r="D43" s="41" t="s">
        <v>93</v>
      </c>
      <c r="E43" s="89">
        <v>447</v>
      </c>
      <c r="F43" s="89"/>
      <c r="G43" s="89">
        <f t="shared" si="11"/>
        <v>447</v>
      </c>
      <c r="H43" s="89"/>
      <c r="I43" s="89">
        <f t="shared" si="12"/>
        <v>447</v>
      </c>
      <c r="J43" s="89"/>
      <c r="K43" s="89">
        <f t="shared" si="13"/>
        <v>447</v>
      </c>
      <c r="L43" s="89"/>
      <c r="M43" s="89">
        <f t="shared" si="14"/>
        <v>447</v>
      </c>
      <c r="N43" s="145"/>
      <c r="O43" s="145"/>
      <c r="P43" s="146"/>
      <c r="Q43" s="145"/>
    </row>
    <row r="44" spans="1:17" s="26" customFormat="1" ht="22.5">
      <c r="A44" s="71"/>
      <c r="B44" s="71"/>
      <c r="C44" s="83">
        <v>4440</v>
      </c>
      <c r="D44" s="41" t="s">
        <v>91</v>
      </c>
      <c r="E44" s="89">
        <v>1138</v>
      </c>
      <c r="F44" s="89"/>
      <c r="G44" s="89">
        <f t="shared" si="11"/>
        <v>1138</v>
      </c>
      <c r="H44" s="89"/>
      <c r="I44" s="89">
        <f t="shared" si="12"/>
        <v>1138</v>
      </c>
      <c r="J44" s="89"/>
      <c r="K44" s="89">
        <f t="shared" si="13"/>
        <v>1138</v>
      </c>
      <c r="L44" s="89"/>
      <c r="M44" s="89">
        <f t="shared" si="14"/>
        <v>1138</v>
      </c>
      <c r="N44" s="145"/>
      <c r="O44" s="145"/>
      <c r="P44" s="146"/>
      <c r="Q44" s="145"/>
    </row>
    <row r="45" spans="1:17" s="26" customFormat="1" ht="22.5">
      <c r="A45" s="71"/>
      <c r="B45" s="71"/>
      <c r="C45" s="83">
        <v>4610</v>
      </c>
      <c r="D45" s="41" t="s">
        <v>188</v>
      </c>
      <c r="E45" s="89">
        <v>800</v>
      </c>
      <c r="F45" s="89"/>
      <c r="G45" s="89">
        <f t="shared" si="11"/>
        <v>800</v>
      </c>
      <c r="H45" s="89"/>
      <c r="I45" s="89">
        <f t="shared" si="12"/>
        <v>800</v>
      </c>
      <c r="J45" s="89"/>
      <c r="K45" s="89">
        <f t="shared" si="13"/>
        <v>800</v>
      </c>
      <c r="L45" s="89"/>
      <c r="M45" s="89">
        <f t="shared" si="14"/>
        <v>800</v>
      </c>
      <c r="N45" s="145"/>
      <c r="O45" s="145"/>
      <c r="P45" s="146"/>
      <c r="Q45" s="145"/>
    </row>
    <row r="46" spans="1:17" s="26" customFormat="1" ht="22.5">
      <c r="A46" s="71"/>
      <c r="B46" s="71"/>
      <c r="C46" s="83">
        <v>4740</v>
      </c>
      <c r="D46" s="41" t="s">
        <v>236</v>
      </c>
      <c r="E46" s="89">
        <v>300</v>
      </c>
      <c r="F46" s="89"/>
      <c r="G46" s="89">
        <f t="shared" si="11"/>
        <v>300</v>
      </c>
      <c r="H46" s="89"/>
      <c r="I46" s="89">
        <f t="shared" si="12"/>
        <v>300</v>
      </c>
      <c r="J46" s="89"/>
      <c r="K46" s="89">
        <f t="shared" si="13"/>
        <v>300</v>
      </c>
      <c r="L46" s="89"/>
      <c r="M46" s="89">
        <f t="shared" si="14"/>
        <v>300</v>
      </c>
      <c r="N46" s="145"/>
      <c r="O46" s="145"/>
      <c r="P46" s="146"/>
      <c r="Q46" s="145"/>
    </row>
    <row r="47" spans="1:17" s="9" customFormat="1" ht="26.25" customHeight="1">
      <c r="A47" s="34" t="s">
        <v>125</v>
      </c>
      <c r="B47" s="6"/>
      <c r="C47" s="6"/>
      <c r="D47" s="21" t="s">
        <v>61</v>
      </c>
      <c r="E47" s="19">
        <f aca="true" t="shared" si="15" ref="E47:M47">SUM(E48)</f>
        <v>65000</v>
      </c>
      <c r="F47" s="19">
        <f t="shared" si="15"/>
        <v>-65000</v>
      </c>
      <c r="G47" s="19">
        <f t="shared" si="15"/>
        <v>0</v>
      </c>
      <c r="H47" s="19">
        <f t="shared" si="15"/>
        <v>0</v>
      </c>
      <c r="I47" s="19">
        <f t="shared" si="15"/>
        <v>0</v>
      </c>
      <c r="J47" s="19">
        <f t="shared" si="15"/>
        <v>0</v>
      </c>
      <c r="K47" s="19">
        <f t="shared" si="15"/>
        <v>0</v>
      </c>
      <c r="L47" s="19">
        <f t="shared" si="15"/>
        <v>38250</v>
      </c>
      <c r="M47" s="19">
        <f t="shared" si="15"/>
        <v>38250</v>
      </c>
      <c r="N47" s="145"/>
      <c r="O47" s="145"/>
      <c r="P47" s="146"/>
      <c r="Q47" s="145"/>
    </row>
    <row r="48" spans="1:17" s="26" customFormat="1" ht="22.5">
      <c r="A48" s="71"/>
      <c r="B48" s="71" t="s">
        <v>129</v>
      </c>
      <c r="C48" s="48"/>
      <c r="D48" s="14" t="s">
        <v>130</v>
      </c>
      <c r="E48" s="82">
        <f aca="true" t="shared" si="16" ref="E48:M48">SUM(E49:E49)</f>
        <v>65000</v>
      </c>
      <c r="F48" s="82">
        <f t="shared" si="16"/>
        <v>-65000</v>
      </c>
      <c r="G48" s="82">
        <f t="shared" si="16"/>
        <v>0</v>
      </c>
      <c r="H48" s="82">
        <f t="shared" si="16"/>
        <v>0</v>
      </c>
      <c r="I48" s="82">
        <f t="shared" si="16"/>
        <v>0</v>
      </c>
      <c r="J48" s="82">
        <f t="shared" si="16"/>
        <v>0</v>
      </c>
      <c r="K48" s="82">
        <f t="shared" si="16"/>
        <v>0</v>
      </c>
      <c r="L48" s="82">
        <f t="shared" si="16"/>
        <v>38250</v>
      </c>
      <c r="M48" s="82">
        <f t="shared" si="16"/>
        <v>38250</v>
      </c>
      <c r="N48" s="145"/>
      <c r="O48" s="145"/>
      <c r="P48" s="146"/>
      <c r="Q48" s="145"/>
    </row>
    <row r="49" spans="1:17" s="26" customFormat="1" ht="45">
      <c r="A49" s="71"/>
      <c r="B49" s="71"/>
      <c r="C49" s="83">
        <v>2830</v>
      </c>
      <c r="D49" s="41" t="s">
        <v>383</v>
      </c>
      <c r="E49" s="82">
        <v>65000</v>
      </c>
      <c r="F49" s="82">
        <v>-65000</v>
      </c>
      <c r="G49" s="82">
        <f>SUM(E49:F49)</f>
        <v>0</v>
      </c>
      <c r="H49" s="82"/>
      <c r="I49" s="82">
        <f>SUM(G49:H49)</f>
        <v>0</v>
      </c>
      <c r="J49" s="82"/>
      <c r="K49" s="82">
        <f>SUM(I49:J49)</f>
        <v>0</v>
      </c>
      <c r="L49" s="82">
        <v>38250</v>
      </c>
      <c r="M49" s="82">
        <f>SUM(K49:L49)</f>
        <v>38250</v>
      </c>
      <c r="N49" s="145"/>
      <c r="O49" s="145"/>
      <c r="P49" s="146"/>
      <c r="Q49" s="145"/>
    </row>
    <row r="50" spans="1:17" s="43" customFormat="1" ht="22.5" customHeight="1">
      <c r="A50" s="114"/>
      <c r="B50" s="114"/>
      <c r="C50" s="114"/>
      <c r="D50" s="7" t="s">
        <v>70</v>
      </c>
      <c r="E50" s="19">
        <f aca="true" t="shared" si="17" ref="E50:M50">E31+E18+E47+E15</f>
        <v>330000</v>
      </c>
      <c r="F50" s="19">
        <f t="shared" si="17"/>
        <v>0</v>
      </c>
      <c r="G50" s="19">
        <f t="shared" si="17"/>
        <v>330000</v>
      </c>
      <c r="H50" s="19">
        <f t="shared" si="17"/>
        <v>0</v>
      </c>
      <c r="I50" s="19">
        <f t="shared" si="17"/>
        <v>330000</v>
      </c>
      <c r="J50" s="19">
        <f t="shared" si="17"/>
        <v>0</v>
      </c>
      <c r="K50" s="19">
        <f t="shared" si="17"/>
        <v>330000</v>
      </c>
      <c r="L50" s="19">
        <f t="shared" si="17"/>
        <v>0</v>
      </c>
      <c r="M50" s="19">
        <f t="shared" si="17"/>
        <v>330000</v>
      </c>
      <c r="N50" s="145"/>
      <c r="O50" s="145"/>
      <c r="P50" s="146"/>
      <c r="Q50" s="145"/>
    </row>
  </sheetData>
  <sheetProtection/>
  <mergeCells count="14">
    <mergeCell ref="A5:M5"/>
    <mergeCell ref="A6:M6"/>
    <mergeCell ref="A13:M13"/>
    <mergeCell ref="Q14:U14"/>
    <mergeCell ref="Q18:U18"/>
    <mergeCell ref="Q19:U19"/>
    <mergeCell ref="Q20:U20"/>
    <mergeCell ref="Q7:U7"/>
    <mergeCell ref="Q8:U8"/>
    <mergeCell ref="Q9:U9"/>
    <mergeCell ref="Q10:U10"/>
    <mergeCell ref="Q11:U11"/>
    <mergeCell ref="Q12:U12"/>
    <mergeCell ref="Q13:U13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3"/>
  <headerFooter alignWithMargins="0">
    <oddFooter>&amp;CStrona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6"/>
  <sheetViews>
    <sheetView zoomScalePageLayoutView="0" workbookViewId="0" topLeftCell="A1">
      <selection activeCell="O252" sqref="A1:O252"/>
    </sheetView>
  </sheetViews>
  <sheetFormatPr defaultColWidth="9.00390625" defaultRowHeight="12.75"/>
  <cols>
    <col min="1" max="1" width="7.125" style="0" customWidth="1"/>
    <col min="2" max="2" width="6.375" style="0" customWidth="1"/>
    <col min="3" max="3" width="5.00390625" style="0" customWidth="1"/>
    <col min="4" max="4" width="32.75390625" style="0" customWidth="1"/>
    <col min="5" max="5" width="14.875" style="0" hidden="1" customWidth="1"/>
    <col min="6" max="6" width="13.25390625" style="0" hidden="1" customWidth="1"/>
    <col min="7" max="7" width="13.875" style="0" hidden="1" customWidth="1"/>
    <col min="8" max="9" width="13.00390625" style="0" hidden="1" customWidth="1"/>
    <col min="10" max="10" width="7.625" style="0" hidden="1" customWidth="1"/>
    <col min="11" max="12" width="13.00390625" style="0" hidden="1" customWidth="1"/>
    <col min="13" max="15" width="13.00390625" style="0" customWidth="1"/>
  </cols>
  <sheetData>
    <row r="1" spans="1:15" s="8" customFormat="1" ht="15" customHeight="1">
      <c r="A1" s="255"/>
      <c r="B1" s="256"/>
      <c r="C1" s="256" t="s">
        <v>217</v>
      </c>
      <c r="D1" s="255" t="s">
        <v>290</v>
      </c>
      <c r="E1" s="55" t="s">
        <v>411</v>
      </c>
      <c r="F1" s="55"/>
      <c r="G1" s="55" t="s">
        <v>423</v>
      </c>
      <c r="H1" s="55"/>
      <c r="I1" s="55" t="s">
        <v>443</v>
      </c>
      <c r="J1" s="55"/>
      <c r="K1" s="55" t="s">
        <v>459</v>
      </c>
      <c r="L1" s="55"/>
      <c r="M1" s="55" t="s">
        <v>475</v>
      </c>
      <c r="N1" s="55"/>
      <c r="O1" s="55"/>
    </row>
    <row r="2" spans="1:15" s="8" customFormat="1" ht="15" customHeight="1">
      <c r="A2" s="255"/>
      <c r="B2" s="256"/>
      <c r="C2" s="256"/>
      <c r="D2" s="255"/>
      <c r="E2" s="55" t="s">
        <v>407</v>
      </c>
      <c r="F2" s="55"/>
      <c r="G2" s="55" t="s">
        <v>424</v>
      </c>
      <c r="H2" s="55"/>
      <c r="I2" s="55" t="s">
        <v>439</v>
      </c>
      <c r="J2" s="55"/>
      <c r="K2" s="55" t="s">
        <v>460</v>
      </c>
      <c r="L2" s="55"/>
      <c r="M2" s="55" t="s">
        <v>468</v>
      </c>
      <c r="N2" s="55"/>
      <c r="O2" s="55"/>
    </row>
    <row r="3" spans="1:15" s="8" customFormat="1" ht="15" customHeight="1">
      <c r="A3" s="255"/>
      <c r="B3" s="256"/>
      <c r="C3" s="256"/>
      <c r="D3" s="255"/>
      <c r="E3" s="55" t="s">
        <v>395</v>
      </c>
      <c r="F3" s="55"/>
      <c r="G3" s="55" t="s">
        <v>411</v>
      </c>
      <c r="H3" s="55"/>
      <c r="I3" s="55" t="s">
        <v>423</v>
      </c>
      <c r="J3" s="55"/>
      <c r="K3" s="55" t="s">
        <v>443</v>
      </c>
      <c r="L3" s="55"/>
      <c r="M3" s="55" t="s">
        <v>459</v>
      </c>
      <c r="N3" s="55"/>
      <c r="O3" s="55"/>
    </row>
    <row r="4" spans="1:15" s="8" customFormat="1" ht="15" customHeight="1">
      <c r="A4" s="255"/>
      <c r="B4" s="256"/>
      <c r="C4" s="256"/>
      <c r="D4" s="255"/>
      <c r="E4" s="55" t="s">
        <v>350</v>
      </c>
      <c r="F4" s="55"/>
      <c r="G4" s="55" t="s">
        <v>412</v>
      </c>
      <c r="H4" s="55"/>
      <c r="I4" s="55" t="s">
        <v>425</v>
      </c>
      <c r="J4" s="55"/>
      <c r="K4" s="55" t="s">
        <v>446</v>
      </c>
      <c r="L4" s="55"/>
      <c r="M4" s="55" t="s">
        <v>474</v>
      </c>
      <c r="N4" s="55"/>
      <c r="O4" s="55"/>
    </row>
    <row r="5" spans="1:15" ht="18">
      <c r="A5" s="257" t="s">
        <v>396</v>
      </c>
      <c r="B5" s="258"/>
      <c r="C5" s="258"/>
      <c r="D5" s="259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s="26" customFormat="1" ht="25.5" customHeight="1">
      <c r="A6" s="154" t="s">
        <v>0</v>
      </c>
      <c r="B6" s="154" t="s">
        <v>1</v>
      </c>
      <c r="C6" s="154" t="s">
        <v>2</v>
      </c>
      <c r="D6" s="154" t="s">
        <v>3</v>
      </c>
      <c r="E6" s="261" t="s">
        <v>146</v>
      </c>
      <c r="F6" s="261" t="s">
        <v>340</v>
      </c>
      <c r="G6" s="261" t="s">
        <v>147</v>
      </c>
      <c r="H6" s="261" t="s">
        <v>340</v>
      </c>
      <c r="I6" s="261" t="s">
        <v>147</v>
      </c>
      <c r="J6" s="261" t="s">
        <v>340</v>
      </c>
      <c r="K6" s="261" t="s">
        <v>147</v>
      </c>
      <c r="L6" s="261" t="s">
        <v>340</v>
      </c>
      <c r="M6" s="261" t="s">
        <v>147</v>
      </c>
      <c r="N6" s="261" t="s">
        <v>340</v>
      </c>
      <c r="O6" s="261" t="s">
        <v>347</v>
      </c>
    </row>
    <row r="7" spans="1:15" s="9" customFormat="1" ht="21" customHeight="1">
      <c r="A7" s="155" t="s">
        <v>77</v>
      </c>
      <c r="B7" s="156"/>
      <c r="C7" s="156"/>
      <c r="D7" s="157" t="s">
        <v>78</v>
      </c>
      <c r="E7" s="158">
        <f aca="true" t="shared" si="0" ref="E7:O7">E8</f>
        <v>129925</v>
      </c>
      <c r="F7" s="158">
        <f t="shared" si="0"/>
        <v>0</v>
      </c>
      <c r="G7" s="158">
        <f t="shared" si="0"/>
        <v>129925</v>
      </c>
      <c r="H7" s="158">
        <f t="shared" si="0"/>
        <v>0</v>
      </c>
      <c r="I7" s="158">
        <f t="shared" si="0"/>
        <v>129925</v>
      </c>
      <c r="J7" s="158">
        <f t="shared" si="0"/>
        <v>300</v>
      </c>
      <c r="K7" s="158">
        <f t="shared" si="0"/>
        <v>130225</v>
      </c>
      <c r="L7" s="158">
        <f t="shared" si="0"/>
        <v>-300</v>
      </c>
      <c r="M7" s="158">
        <f t="shared" si="0"/>
        <v>129925</v>
      </c>
      <c r="N7" s="158">
        <f t="shared" si="0"/>
        <v>0</v>
      </c>
      <c r="O7" s="158">
        <f t="shared" si="0"/>
        <v>129925</v>
      </c>
    </row>
    <row r="8" spans="1:15" s="9" customFormat="1" ht="21" customHeight="1">
      <c r="A8" s="159"/>
      <c r="B8" s="159" t="s">
        <v>79</v>
      </c>
      <c r="C8" s="160"/>
      <c r="D8" s="161" t="s">
        <v>80</v>
      </c>
      <c r="E8" s="158">
        <f aca="true" t="shared" si="1" ref="E8:K8">SUM(E9,E22,E33,E37)</f>
        <v>129925</v>
      </c>
      <c r="F8" s="158">
        <f t="shared" si="1"/>
        <v>0</v>
      </c>
      <c r="G8" s="158">
        <f t="shared" si="1"/>
        <v>129925</v>
      </c>
      <c r="H8" s="158">
        <f t="shared" si="1"/>
        <v>0</v>
      </c>
      <c r="I8" s="158">
        <f t="shared" si="1"/>
        <v>129925</v>
      </c>
      <c r="J8" s="158">
        <f t="shared" si="1"/>
        <v>300</v>
      </c>
      <c r="K8" s="158">
        <f t="shared" si="1"/>
        <v>130225</v>
      </c>
      <c r="L8" s="158">
        <f>SUM(L9,L22,L33,L37)</f>
        <v>-300</v>
      </c>
      <c r="M8" s="158">
        <f>SUM(M9,M22,M33,M37)</f>
        <v>129925</v>
      </c>
      <c r="N8" s="158">
        <f>SUM(N9,N22,N33,N37)</f>
        <v>0</v>
      </c>
      <c r="O8" s="158">
        <f>SUM(O9,O22,O33,O37)</f>
        <v>129925</v>
      </c>
    </row>
    <row r="9" spans="1:15" s="26" customFormat="1" ht="21" customHeight="1">
      <c r="A9" s="162"/>
      <c r="B9" s="163"/>
      <c r="C9" s="162">
        <v>4210</v>
      </c>
      <c r="D9" s="164" t="s">
        <v>75</v>
      </c>
      <c r="E9" s="165">
        <f aca="true" t="shared" si="2" ref="E9:K9">SUM(E10:E21)</f>
        <v>57205</v>
      </c>
      <c r="F9" s="165">
        <f t="shared" si="2"/>
        <v>0</v>
      </c>
      <c r="G9" s="165">
        <f t="shared" si="2"/>
        <v>57205</v>
      </c>
      <c r="H9" s="165">
        <f t="shared" si="2"/>
        <v>0</v>
      </c>
      <c r="I9" s="165">
        <f t="shared" si="2"/>
        <v>57205</v>
      </c>
      <c r="J9" s="165">
        <f t="shared" si="2"/>
        <v>300</v>
      </c>
      <c r="K9" s="165">
        <f t="shared" si="2"/>
        <v>57505</v>
      </c>
      <c r="L9" s="165">
        <f>SUM(L10:L21)</f>
        <v>-440</v>
      </c>
      <c r="M9" s="165">
        <f>SUM(M10:M21)</f>
        <v>57065</v>
      </c>
      <c r="N9" s="165">
        <f>SUM(N10:N21)</f>
        <v>-11220</v>
      </c>
      <c r="O9" s="165">
        <f>SUM(O10:O21)</f>
        <v>45845</v>
      </c>
    </row>
    <row r="10" spans="1:15" s="26" customFormat="1" ht="21" customHeight="1">
      <c r="A10" s="166"/>
      <c r="B10" s="166"/>
      <c r="C10" s="162"/>
      <c r="D10" s="167" t="s">
        <v>291</v>
      </c>
      <c r="E10" s="168">
        <v>5480</v>
      </c>
      <c r="F10" s="168"/>
      <c r="G10" s="168">
        <f>SUM(E10:F10)</f>
        <v>5480</v>
      </c>
      <c r="H10" s="168"/>
      <c r="I10" s="168">
        <f>SUM(G10:H10)</f>
        <v>5480</v>
      </c>
      <c r="J10" s="168"/>
      <c r="K10" s="168">
        <f>SUM(I10:J10)</f>
        <v>5480</v>
      </c>
      <c r="L10" s="168"/>
      <c r="M10" s="168">
        <f>SUM(K10:L10)</f>
        <v>5480</v>
      </c>
      <c r="N10" s="168">
        <f>500-5480</f>
        <v>-4980</v>
      </c>
      <c r="O10" s="168">
        <f>SUM(M10:N10)</f>
        <v>500</v>
      </c>
    </row>
    <row r="11" spans="1:15" s="26" customFormat="1" ht="21" customHeight="1">
      <c r="A11" s="166"/>
      <c r="B11" s="166"/>
      <c r="C11" s="162"/>
      <c r="D11" s="167" t="s">
        <v>292</v>
      </c>
      <c r="E11" s="168">
        <v>1000</v>
      </c>
      <c r="F11" s="168"/>
      <c r="G11" s="168">
        <f aca="true" t="shared" si="3" ref="G11:G21">SUM(E11:F11)</f>
        <v>1000</v>
      </c>
      <c r="H11" s="168"/>
      <c r="I11" s="168">
        <f aca="true" t="shared" si="4" ref="I11:I21">SUM(G11:H11)</f>
        <v>1000</v>
      </c>
      <c r="J11" s="168"/>
      <c r="K11" s="168">
        <f aca="true" t="shared" si="5" ref="K11:K21">SUM(I11:J11)</f>
        <v>1000</v>
      </c>
      <c r="L11" s="168"/>
      <c r="M11" s="168">
        <f aca="true" t="shared" si="6" ref="M11:M21">SUM(K11:L11)</f>
        <v>1000</v>
      </c>
      <c r="N11" s="168"/>
      <c r="O11" s="168">
        <f aca="true" t="shared" si="7" ref="O11:O21">SUM(M11:N11)</f>
        <v>1000</v>
      </c>
    </row>
    <row r="12" spans="1:15" s="26" customFormat="1" ht="21" customHeight="1">
      <c r="A12" s="166"/>
      <c r="B12" s="166"/>
      <c r="C12" s="162"/>
      <c r="D12" s="167" t="s">
        <v>293</v>
      </c>
      <c r="E12" s="168">
        <v>1100</v>
      </c>
      <c r="F12" s="168"/>
      <c r="G12" s="168">
        <f t="shared" si="3"/>
        <v>1100</v>
      </c>
      <c r="H12" s="168"/>
      <c r="I12" s="168">
        <f t="shared" si="4"/>
        <v>1100</v>
      </c>
      <c r="J12" s="168"/>
      <c r="K12" s="168">
        <f t="shared" si="5"/>
        <v>1100</v>
      </c>
      <c r="L12" s="168">
        <v>1000</v>
      </c>
      <c r="M12" s="168">
        <f t="shared" si="6"/>
        <v>2100</v>
      </c>
      <c r="N12" s="168"/>
      <c r="O12" s="168">
        <f t="shared" si="7"/>
        <v>2100</v>
      </c>
    </row>
    <row r="13" spans="1:15" s="26" customFormat="1" ht="21" customHeight="1">
      <c r="A13" s="166"/>
      <c r="B13" s="166"/>
      <c r="C13" s="162"/>
      <c r="D13" s="167" t="s">
        <v>294</v>
      </c>
      <c r="E13" s="168">
        <v>6240</v>
      </c>
      <c r="F13" s="168"/>
      <c r="G13" s="168">
        <f t="shared" si="3"/>
        <v>6240</v>
      </c>
      <c r="H13" s="168"/>
      <c r="I13" s="168">
        <f t="shared" si="4"/>
        <v>6240</v>
      </c>
      <c r="J13" s="168"/>
      <c r="K13" s="168">
        <f t="shared" si="5"/>
        <v>6240</v>
      </c>
      <c r="L13" s="168"/>
      <c r="M13" s="168">
        <f t="shared" si="6"/>
        <v>6240</v>
      </c>
      <c r="N13" s="168">
        <v>-6240</v>
      </c>
      <c r="O13" s="168">
        <f t="shared" si="7"/>
        <v>0</v>
      </c>
    </row>
    <row r="14" spans="1:15" s="26" customFormat="1" ht="21" customHeight="1">
      <c r="A14" s="166"/>
      <c r="B14" s="166"/>
      <c r="C14" s="162"/>
      <c r="D14" s="167" t="s">
        <v>295</v>
      </c>
      <c r="E14" s="168">
        <v>6000</v>
      </c>
      <c r="F14" s="168"/>
      <c r="G14" s="168">
        <f t="shared" si="3"/>
        <v>6000</v>
      </c>
      <c r="H14" s="168"/>
      <c r="I14" s="168">
        <f t="shared" si="4"/>
        <v>6000</v>
      </c>
      <c r="J14" s="168"/>
      <c r="K14" s="168">
        <f t="shared" si="5"/>
        <v>6000</v>
      </c>
      <c r="L14" s="168"/>
      <c r="M14" s="168">
        <f t="shared" si="6"/>
        <v>6000</v>
      </c>
      <c r="N14" s="168"/>
      <c r="O14" s="168">
        <f t="shared" si="7"/>
        <v>6000</v>
      </c>
    </row>
    <row r="15" spans="1:15" s="26" customFormat="1" ht="21" customHeight="1">
      <c r="A15" s="166"/>
      <c r="B15" s="166"/>
      <c r="C15" s="162"/>
      <c r="D15" s="167" t="s">
        <v>296</v>
      </c>
      <c r="E15" s="168">
        <v>1000</v>
      </c>
      <c r="F15" s="168"/>
      <c r="G15" s="168">
        <f t="shared" si="3"/>
        <v>1000</v>
      </c>
      <c r="H15" s="168"/>
      <c r="I15" s="168">
        <f t="shared" si="4"/>
        <v>1000</v>
      </c>
      <c r="J15" s="168"/>
      <c r="K15" s="168">
        <f t="shared" si="5"/>
        <v>1000</v>
      </c>
      <c r="L15" s="168"/>
      <c r="M15" s="168">
        <f t="shared" si="6"/>
        <v>1000</v>
      </c>
      <c r="N15" s="168"/>
      <c r="O15" s="168">
        <f t="shared" si="7"/>
        <v>1000</v>
      </c>
    </row>
    <row r="16" spans="1:15" s="26" customFormat="1" ht="21" customHeight="1">
      <c r="A16" s="166"/>
      <c r="B16" s="166"/>
      <c r="C16" s="162"/>
      <c r="D16" s="167" t="s">
        <v>297</v>
      </c>
      <c r="E16" s="168">
        <v>8745</v>
      </c>
      <c r="F16" s="168"/>
      <c r="G16" s="168">
        <f t="shared" si="3"/>
        <v>8745</v>
      </c>
      <c r="H16" s="168"/>
      <c r="I16" s="168">
        <f t="shared" si="4"/>
        <v>8745</v>
      </c>
      <c r="J16" s="168"/>
      <c r="K16" s="168">
        <f t="shared" si="5"/>
        <v>8745</v>
      </c>
      <c r="L16" s="168"/>
      <c r="M16" s="168">
        <f t="shared" si="6"/>
        <v>8745</v>
      </c>
      <c r="N16" s="168"/>
      <c r="O16" s="168">
        <f t="shared" si="7"/>
        <v>8745</v>
      </c>
    </row>
    <row r="17" spans="1:15" s="26" customFormat="1" ht="21" customHeight="1">
      <c r="A17" s="166"/>
      <c r="B17" s="166"/>
      <c r="C17" s="162"/>
      <c r="D17" s="167" t="s">
        <v>298</v>
      </c>
      <c r="E17" s="168">
        <v>5180</v>
      </c>
      <c r="F17" s="168"/>
      <c r="G17" s="168">
        <f t="shared" si="3"/>
        <v>5180</v>
      </c>
      <c r="H17" s="168"/>
      <c r="I17" s="168">
        <f t="shared" si="4"/>
        <v>5180</v>
      </c>
      <c r="J17" s="168"/>
      <c r="K17" s="168">
        <f t="shared" si="5"/>
        <v>5180</v>
      </c>
      <c r="L17" s="168"/>
      <c r="M17" s="168">
        <f t="shared" si="6"/>
        <v>5180</v>
      </c>
      <c r="N17" s="168"/>
      <c r="O17" s="168">
        <f t="shared" si="7"/>
        <v>5180</v>
      </c>
    </row>
    <row r="18" spans="1:15" s="26" customFormat="1" ht="21" customHeight="1">
      <c r="A18" s="166"/>
      <c r="B18" s="166"/>
      <c r="C18" s="162"/>
      <c r="D18" s="167" t="s">
        <v>299</v>
      </c>
      <c r="E18" s="168">
        <v>14500</v>
      </c>
      <c r="F18" s="168"/>
      <c r="G18" s="168">
        <f t="shared" si="3"/>
        <v>14500</v>
      </c>
      <c r="H18" s="168"/>
      <c r="I18" s="168">
        <f t="shared" si="4"/>
        <v>14500</v>
      </c>
      <c r="J18" s="168">
        <v>300</v>
      </c>
      <c r="K18" s="168">
        <f t="shared" si="5"/>
        <v>14800</v>
      </c>
      <c r="L18" s="168"/>
      <c r="M18" s="168">
        <f t="shared" si="6"/>
        <v>14800</v>
      </c>
      <c r="N18" s="168"/>
      <c r="O18" s="168">
        <f t="shared" si="7"/>
        <v>14800</v>
      </c>
    </row>
    <row r="19" spans="1:15" s="26" customFormat="1" ht="21" customHeight="1">
      <c r="A19" s="166"/>
      <c r="B19" s="166"/>
      <c r="C19" s="162"/>
      <c r="D19" s="167" t="s">
        <v>300</v>
      </c>
      <c r="E19" s="168">
        <v>1440</v>
      </c>
      <c r="F19" s="168"/>
      <c r="G19" s="168">
        <f t="shared" si="3"/>
        <v>1440</v>
      </c>
      <c r="H19" s="168"/>
      <c r="I19" s="168">
        <f t="shared" si="4"/>
        <v>1440</v>
      </c>
      <c r="J19" s="168"/>
      <c r="K19" s="168">
        <f t="shared" si="5"/>
        <v>1440</v>
      </c>
      <c r="L19" s="168">
        <v>-1440</v>
      </c>
      <c r="M19" s="168">
        <f t="shared" si="6"/>
        <v>0</v>
      </c>
      <c r="N19" s="168"/>
      <c r="O19" s="168">
        <f t="shared" si="7"/>
        <v>0</v>
      </c>
    </row>
    <row r="20" spans="1:15" s="26" customFormat="1" ht="21" customHeight="1">
      <c r="A20" s="166"/>
      <c r="B20" s="166"/>
      <c r="C20" s="162"/>
      <c r="D20" s="167" t="s">
        <v>301</v>
      </c>
      <c r="E20" s="168">
        <v>600</v>
      </c>
      <c r="F20" s="168"/>
      <c r="G20" s="168">
        <f t="shared" si="3"/>
        <v>600</v>
      </c>
      <c r="H20" s="168"/>
      <c r="I20" s="168">
        <f t="shared" si="4"/>
        <v>600</v>
      </c>
      <c r="J20" s="168"/>
      <c r="K20" s="168">
        <f t="shared" si="5"/>
        <v>600</v>
      </c>
      <c r="L20" s="168"/>
      <c r="M20" s="168">
        <f t="shared" si="6"/>
        <v>600</v>
      </c>
      <c r="N20" s="168"/>
      <c r="O20" s="168">
        <f t="shared" si="7"/>
        <v>600</v>
      </c>
    </row>
    <row r="21" spans="1:15" s="26" customFormat="1" ht="21" customHeight="1">
      <c r="A21" s="166"/>
      <c r="B21" s="166"/>
      <c r="C21" s="162"/>
      <c r="D21" s="167" t="s">
        <v>308</v>
      </c>
      <c r="E21" s="168">
        <v>5920</v>
      </c>
      <c r="F21" s="168"/>
      <c r="G21" s="168">
        <f t="shared" si="3"/>
        <v>5920</v>
      </c>
      <c r="H21" s="168"/>
      <c r="I21" s="168">
        <f t="shared" si="4"/>
        <v>5920</v>
      </c>
      <c r="J21" s="168"/>
      <c r="K21" s="168">
        <f t="shared" si="5"/>
        <v>5920</v>
      </c>
      <c r="L21" s="168"/>
      <c r="M21" s="168">
        <f t="shared" si="6"/>
        <v>5920</v>
      </c>
      <c r="N21" s="168"/>
      <c r="O21" s="168">
        <f t="shared" si="7"/>
        <v>5920</v>
      </c>
    </row>
    <row r="22" spans="1:15" s="26" customFormat="1" ht="21" customHeight="1">
      <c r="A22" s="162"/>
      <c r="B22" s="163"/>
      <c r="C22" s="162">
        <v>4300</v>
      </c>
      <c r="D22" s="164" t="s">
        <v>82</v>
      </c>
      <c r="E22" s="165">
        <f aca="true" t="shared" si="8" ref="E22:K22">SUM(E23:E32)</f>
        <v>21800</v>
      </c>
      <c r="F22" s="165">
        <f t="shared" si="8"/>
        <v>0</v>
      </c>
      <c r="G22" s="165">
        <f t="shared" si="8"/>
        <v>21800</v>
      </c>
      <c r="H22" s="165">
        <f t="shared" si="8"/>
        <v>0</v>
      </c>
      <c r="I22" s="165">
        <f t="shared" si="8"/>
        <v>21800</v>
      </c>
      <c r="J22" s="165">
        <f t="shared" si="8"/>
        <v>0</v>
      </c>
      <c r="K22" s="165">
        <f t="shared" si="8"/>
        <v>21800</v>
      </c>
      <c r="L22" s="165">
        <f>SUM(L23:L32)</f>
        <v>140</v>
      </c>
      <c r="M22" s="165">
        <f>SUM(M23:M32)</f>
        <v>21940</v>
      </c>
      <c r="N22" s="165">
        <f>SUM(N23:N32)</f>
        <v>11220</v>
      </c>
      <c r="O22" s="165">
        <f>SUM(O23:O32)</f>
        <v>33160</v>
      </c>
    </row>
    <row r="23" spans="1:15" s="26" customFormat="1" ht="21" customHeight="1">
      <c r="A23" s="166"/>
      <c r="B23" s="166"/>
      <c r="C23" s="166"/>
      <c r="D23" s="167" t="s">
        <v>302</v>
      </c>
      <c r="E23" s="168">
        <v>6000</v>
      </c>
      <c r="F23" s="168"/>
      <c r="G23" s="168">
        <f>SUM(E23:F23)</f>
        <v>6000</v>
      </c>
      <c r="H23" s="168"/>
      <c r="I23" s="168">
        <f>SUM(G23:H23)</f>
        <v>6000</v>
      </c>
      <c r="J23" s="168"/>
      <c r="K23" s="168">
        <f>SUM(I23:J23)</f>
        <v>6000</v>
      </c>
      <c r="L23" s="168"/>
      <c r="M23" s="168">
        <f>SUM(K23:L23)</f>
        <v>6000</v>
      </c>
      <c r="N23" s="168"/>
      <c r="O23" s="168">
        <f>SUM(M23:N23)</f>
        <v>6000</v>
      </c>
    </row>
    <row r="24" spans="1:15" s="107" customFormat="1" ht="21" customHeight="1">
      <c r="A24" s="169"/>
      <c r="B24" s="169"/>
      <c r="C24" s="169"/>
      <c r="D24" s="170" t="s">
        <v>292</v>
      </c>
      <c r="E24" s="168">
        <v>7000</v>
      </c>
      <c r="F24" s="168"/>
      <c r="G24" s="168">
        <f aca="true" t="shared" si="9" ref="G24:G32">SUM(E24:F24)</f>
        <v>7000</v>
      </c>
      <c r="H24" s="168"/>
      <c r="I24" s="168">
        <f aca="true" t="shared" si="10" ref="I24:I32">SUM(G24:H24)</f>
        <v>7000</v>
      </c>
      <c r="J24" s="168"/>
      <c r="K24" s="168">
        <f aca="true" t="shared" si="11" ref="K24:K32">SUM(I24:J24)</f>
        <v>7000</v>
      </c>
      <c r="L24" s="168"/>
      <c r="M24" s="168">
        <f aca="true" t="shared" si="12" ref="M24:M32">SUM(K24:L24)</f>
        <v>7000</v>
      </c>
      <c r="N24" s="168"/>
      <c r="O24" s="168">
        <f aca="true" t="shared" si="13" ref="O24:O32">SUM(M24:N24)</f>
        <v>7000</v>
      </c>
    </row>
    <row r="25" spans="1:15" s="107" customFormat="1" ht="21" customHeight="1">
      <c r="A25" s="169"/>
      <c r="B25" s="169"/>
      <c r="C25" s="169"/>
      <c r="D25" s="167" t="s">
        <v>291</v>
      </c>
      <c r="E25" s="168"/>
      <c r="F25" s="168"/>
      <c r="G25" s="168"/>
      <c r="H25" s="168"/>
      <c r="I25" s="168"/>
      <c r="J25" s="168"/>
      <c r="K25" s="168"/>
      <c r="L25" s="168"/>
      <c r="M25" s="168">
        <v>0</v>
      </c>
      <c r="N25" s="168">
        <v>4980</v>
      </c>
      <c r="O25" s="168">
        <f t="shared" si="13"/>
        <v>4980</v>
      </c>
    </row>
    <row r="26" spans="1:15" s="107" customFormat="1" ht="21" customHeight="1">
      <c r="A26" s="169"/>
      <c r="B26" s="169"/>
      <c r="C26" s="169"/>
      <c r="D26" s="167" t="s">
        <v>294</v>
      </c>
      <c r="E26" s="168"/>
      <c r="F26" s="168"/>
      <c r="G26" s="168"/>
      <c r="H26" s="168"/>
      <c r="I26" s="168"/>
      <c r="J26" s="168"/>
      <c r="K26" s="168"/>
      <c r="L26" s="168"/>
      <c r="M26" s="168">
        <v>0</v>
      </c>
      <c r="N26" s="168">
        <v>6240</v>
      </c>
      <c r="O26" s="168">
        <f t="shared" si="13"/>
        <v>6240</v>
      </c>
    </row>
    <row r="27" spans="1:15" s="107" customFormat="1" ht="21" customHeight="1">
      <c r="A27" s="169"/>
      <c r="B27" s="169"/>
      <c r="C27" s="169"/>
      <c r="D27" s="170" t="s">
        <v>304</v>
      </c>
      <c r="E27" s="168">
        <v>3000</v>
      </c>
      <c r="F27" s="168"/>
      <c r="G27" s="168">
        <f t="shared" si="9"/>
        <v>3000</v>
      </c>
      <c r="H27" s="168"/>
      <c r="I27" s="168">
        <f t="shared" si="10"/>
        <v>3000</v>
      </c>
      <c r="J27" s="168"/>
      <c r="K27" s="168">
        <f t="shared" si="11"/>
        <v>3000</v>
      </c>
      <c r="L27" s="168"/>
      <c r="M27" s="168">
        <f t="shared" si="12"/>
        <v>3000</v>
      </c>
      <c r="N27" s="168"/>
      <c r="O27" s="168">
        <f t="shared" si="13"/>
        <v>3000</v>
      </c>
    </row>
    <row r="28" spans="1:15" s="107" customFormat="1" ht="21" customHeight="1">
      <c r="A28" s="169"/>
      <c r="B28" s="169"/>
      <c r="C28" s="169"/>
      <c r="D28" s="170" t="s">
        <v>293</v>
      </c>
      <c r="E28" s="168">
        <v>1000</v>
      </c>
      <c r="F28" s="168"/>
      <c r="G28" s="168">
        <f t="shared" si="9"/>
        <v>1000</v>
      </c>
      <c r="H28" s="168"/>
      <c r="I28" s="168">
        <f t="shared" si="10"/>
        <v>1000</v>
      </c>
      <c r="J28" s="168"/>
      <c r="K28" s="168">
        <f t="shared" si="11"/>
        <v>1000</v>
      </c>
      <c r="L28" s="168">
        <v>-1000</v>
      </c>
      <c r="M28" s="168">
        <f t="shared" si="12"/>
        <v>0</v>
      </c>
      <c r="N28" s="168"/>
      <c r="O28" s="168">
        <f t="shared" si="13"/>
        <v>0</v>
      </c>
    </row>
    <row r="29" spans="1:15" s="107" customFormat="1" ht="21" customHeight="1">
      <c r="A29" s="169"/>
      <c r="B29" s="169"/>
      <c r="C29" s="169"/>
      <c r="D29" s="170" t="s">
        <v>305</v>
      </c>
      <c r="E29" s="168">
        <v>2000</v>
      </c>
      <c r="F29" s="168"/>
      <c r="G29" s="168">
        <f t="shared" si="9"/>
        <v>2000</v>
      </c>
      <c r="H29" s="168"/>
      <c r="I29" s="168">
        <f t="shared" si="10"/>
        <v>2000</v>
      </c>
      <c r="J29" s="168"/>
      <c r="K29" s="168">
        <f t="shared" si="11"/>
        <v>2000</v>
      </c>
      <c r="L29" s="168"/>
      <c r="M29" s="168">
        <f t="shared" si="12"/>
        <v>2000</v>
      </c>
      <c r="N29" s="168"/>
      <c r="O29" s="168">
        <f t="shared" si="13"/>
        <v>2000</v>
      </c>
    </row>
    <row r="30" spans="1:15" s="107" customFormat="1" ht="21" customHeight="1">
      <c r="A30" s="169"/>
      <c r="B30" s="169"/>
      <c r="C30" s="169"/>
      <c r="D30" s="170" t="s">
        <v>300</v>
      </c>
      <c r="E30" s="168">
        <v>300</v>
      </c>
      <c r="F30" s="168"/>
      <c r="G30" s="168">
        <f t="shared" si="9"/>
        <v>300</v>
      </c>
      <c r="H30" s="168"/>
      <c r="I30" s="168">
        <f t="shared" si="10"/>
        <v>300</v>
      </c>
      <c r="J30" s="168"/>
      <c r="K30" s="168">
        <f t="shared" si="11"/>
        <v>300</v>
      </c>
      <c r="L30" s="168">
        <f>1440-300</f>
        <v>1140</v>
      </c>
      <c r="M30" s="168">
        <f t="shared" si="12"/>
        <v>1440</v>
      </c>
      <c r="N30" s="168"/>
      <c r="O30" s="168">
        <f t="shared" si="13"/>
        <v>1440</v>
      </c>
    </row>
    <row r="31" spans="1:15" s="107" customFormat="1" ht="21" customHeight="1">
      <c r="A31" s="169"/>
      <c r="B31" s="169"/>
      <c r="C31" s="169"/>
      <c r="D31" s="170" t="s">
        <v>306</v>
      </c>
      <c r="E31" s="168">
        <v>1500</v>
      </c>
      <c r="F31" s="168"/>
      <c r="G31" s="168">
        <f t="shared" si="9"/>
        <v>1500</v>
      </c>
      <c r="H31" s="168"/>
      <c r="I31" s="168">
        <f t="shared" si="10"/>
        <v>1500</v>
      </c>
      <c r="J31" s="168"/>
      <c r="K31" s="168">
        <f t="shared" si="11"/>
        <v>1500</v>
      </c>
      <c r="L31" s="168"/>
      <c r="M31" s="168">
        <f t="shared" si="12"/>
        <v>1500</v>
      </c>
      <c r="N31" s="168"/>
      <c r="O31" s="168">
        <f t="shared" si="13"/>
        <v>1500</v>
      </c>
    </row>
    <row r="32" spans="1:15" s="107" customFormat="1" ht="21" customHeight="1">
      <c r="A32" s="169"/>
      <c r="B32" s="169"/>
      <c r="C32" s="169"/>
      <c r="D32" s="170" t="s">
        <v>307</v>
      </c>
      <c r="E32" s="168">
        <v>1000</v>
      </c>
      <c r="F32" s="168"/>
      <c r="G32" s="168">
        <f t="shared" si="9"/>
        <v>1000</v>
      </c>
      <c r="H32" s="168"/>
      <c r="I32" s="168">
        <f t="shared" si="10"/>
        <v>1000</v>
      </c>
      <c r="J32" s="168"/>
      <c r="K32" s="168">
        <f t="shared" si="11"/>
        <v>1000</v>
      </c>
      <c r="L32" s="168"/>
      <c r="M32" s="168">
        <f t="shared" si="12"/>
        <v>1000</v>
      </c>
      <c r="N32" s="168"/>
      <c r="O32" s="168">
        <f t="shared" si="13"/>
        <v>1000</v>
      </c>
    </row>
    <row r="33" spans="1:15" s="26" customFormat="1" ht="21" customHeight="1">
      <c r="A33" s="162"/>
      <c r="B33" s="163"/>
      <c r="C33" s="162">
        <v>6050</v>
      </c>
      <c r="D33" s="164" t="s">
        <v>76</v>
      </c>
      <c r="E33" s="165">
        <f aca="true" t="shared" si="14" ref="E33:K33">SUM(E34:E36)</f>
        <v>35920</v>
      </c>
      <c r="F33" s="165">
        <f t="shared" si="14"/>
        <v>0</v>
      </c>
      <c r="G33" s="165">
        <f t="shared" si="14"/>
        <v>35920</v>
      </c>
      <c r="H33" s="165">
        <f t="shared" si="14"/>
        <v>0</v>
      </c>
      <c r="I33" s="165">
        <f t="shared" si="14"/>
        <v>35920</v>
      </c>
      <c r="J33" s="165">
        <f t="shared" si="14"/>
        <v>0</v>
      </c>
      <c r="K33" s="165">
        <f t="shared" si="14"/>
        <v>35920</v>
      </c>
      <c r="L33" s="165">
        <f>SUM(L34:L36)</f>
        <v>0</v>
      </c>
      <c r="M33" s="165">
        <f>SUM(M34:M36)</f>
        <v>35920</v>
      </c>
      <c r="N33" s="165">
        <f>SUM(N34:N36)</f>
        <v>0</v>
      </c>
      <c r="O33" s="165">
        <f>SUM(O34:O36)</f>
        <v>35920</v>
      </c>
    </row>
    <row r="34" spans="1:15" s="26" customFormat="1" ht="21" customHeight="1">
      <c r="A34" s="166"/>
      <c r="B34" s="166"/>
      <c r="C34" s="166"/>
      <c r="D34" s="167" t="s">
        <v>302</v>
      </c>
      <c r="E34" s="168">
        <v>14120</v>
      </c>
      <c r="F34" s="168"/>
      <c r="G34" s="168">
        <f>SUM(E34:F34)</f>
        <v>14120</v>
      </c>
      <c r="H34" s="168"/>
      <c r="I34" s="168">
        <f>SUM(G34:H34)</f>
        <v>14120</v>
      </c>
      <c r="J34" s="168"/>
      <c r="K34" s="168">
        <f>SUM(I34:J34)</f>
        <v>14120</v>
      </c>
      <c r="L34" s="168"/>
      <c r="M34" s="168">
        <f>SUM(K34:L34)</f>
        <v>14120</v>
      </c>
      <c r="N34" s="168"/>
      <c r="O34" s="168">
        <f>SUM(M34:N34)</f>
        <v>14120</v>
      </c>
    </row>
    <row r="35" spans="1:15" s="26" customFormat="1" ht="21" customHeight="1">
      <c r="A35" s="166"/>
      <c r="B35" s="166"/>
      <c r="C35" s="166"/>
      <c r="D35" s="167" t="s">
        <v>305</v>
      </c>
      <c r="E35" s="168">
        <v>3800</v>
      </c>
      <c r="F35" s="168"/>
      <c r="G35" s="168">
        <f>SUM(E35:F35)</f>
        <v>3800</v>
      </c>
      <c r="H35" s="168"/>
      <c r="I35" s="168">
        <f>SUM(G35:H35)</f>
        <v>3800</v>
      </c>
      <c r="J35" s="168"/>
      <c r="K35" s="168">
        <f>SUM(I35:J35)</f>
        <v>3800</v>
      </c>
      <c r="L35" s="168"/>
      <c r="M35" s="168">
        <f>SUM(K35:L35)</f>
        <v>3800</v>
      </c>
      <c r="N35" s="168"/>
      <c r="O35" s="168">
        <f>SUM(M35:N35)</f>
        <v>3800</v>
      </c>
    </row>
    <row r="36" spans="1:15" s="26" customFormat="1" ht="21" customHeight="1">
      <c r="A36" s="166"/>
      <c r="B36" s="166"/>
      <c r="C36" s="166"/>
      <c r="D36" s="167" t="s">
        <v>299</v>
      </c>
      <c r="E36" s="168">
        <v>18000</v>
      </c>
      <c r="F36" s="168"/>
      <c r="G36" s="168">
        <f>SUM(E36:F36)</f>
        <v>18000</v>
      </c>
      <c r="H36" s="168"/>
      <c r="I36" s="168">
        <f>SUM(G36:H36)</f>
        <v>18000</v>
      </c>
      <c r="J36" s="168"/>
      <c r="K36" s="168">
        <f>SUM(I36:J36)</f>
        <v>18000</v>
      </c>
      <c r="L36" s="168"/>
      <c r="M36" s="168">
        <f>SUM(K36:L36)</f>
        <v>18000</v>
      </c>
      <c r="N36" s="168"/>
      <c r="O36" s="168">
        <f>SUM(M36:N36)</f>
        <v>18000</v>
      </c>
    </row>
    <row r="37" spans="1:15" s="26" customFormat="1" ht="21" customHeight="1">
      <c r="A37" s="162"/>
      <c r="B37" s="163"/>
      <c r="C37" s="162">
        <v>6060</v>
      </c>
      <c r="D37" s="164" t="s">
        <v>99</v>
      </c>
      <c r="E37" s="165">
        <f aca="true" t="shared" si="15" ref="E37:O37">SUM(E38:E38)</f>
        <v>15000</v>
      </c>
      <c r="F37" s="165">
        <f t="shared" si="15"/>
        <v>0</v>
      </c>
      <c r="G37" s="165">
        <f t="shared" si="15"/>
        <v>15000</v>
      </c>
      <c r="H37" s="165">
        <f t="shared" si="15"/>
        <v>0</v>
      </c>
      <c r="I37" s="165">
        <f t="shared" si="15"/>
        <v>15000</v>
      </c>
      <c r="J37" s="165">
        <f t="shared" si="15"/>
        <v>0</v>
      </c>
      <c r="K37" s="165">
        <f t="shared" si="15"/>
        <v>15000</v>
      </c>
      <c r="L37" s="165">
        <f t="shared" si="15"/>
        <v>0</v>
      </c>
      <c r="M37" s="165">
        <f t="shared" si="15"/>
        <v>15000</v>
      </c>
      <c r="N37" s="165">
        <f t="shared" si="15"/>
        <v>0</v>
      </c>
      <c r="O37" s="165">
        <f t="shared" si="15"/>
        <v>15000</v>
      </c>
    </row>
    <row r="38" spans="1:15" s="26" customFormat="1" ht="21" customHeight="1">
      <c r="A38" s="166"/>
      <c r="B38" s="166"/>
      <c r="C38" s="162"/>
      <c r="D38" s="167" t="s">
        <v>293</v>
      </c>
      <c r="E38" s="168">
        <v>15000</v>
      </c>
      <c r="F38" s="168"/>
      <c r="G38" s="168">
        <f>SUM(E38:F38)</f>
        <v>15000</v>
      </c>
      <c r="H38" s="168"/>
      <c r="I38" s="168">
        <f>SUM(G38:H38)</f>
        <v>15000</v>
      </c>
      <c r="J38" s="168"/>
      <c r="K38" s="168">
        <f>SUM(I38:J38)</f>
        <v>15000</v>
      </c>
      <c r="L38" s="168"/>
      <c r="M38" s="168">
        <f>SUM(K38:L38)</f>
        <v>15000</v>
      </c>
      <c r="N38" s="168"/>
      <c r="O38" s="168">
        <f>SUM(M38:N38)</f>
        <v>15000</v>
      </c>
    </row>
    <row r="39" spans="1:15" s="9" customFormat="1" ht="21" customHeight="1">
      <c r="A39" s="155">
        <v>700</v>
      </c>
      <c r="B39" s="156"/>
      <c r="C39" s="156"/>
      <c r="D39" s="157" t="s">
        <v>9</v>
      </c>
      <c r="E39" s="158">
        <f aca="true" t="shared" si="16" ref="E39:O39">SUM(E40)</f>
        <v>580</v>
      </c>
      <c r="F39" s="158">
        <f t="shared" si="16"/>
        <v>0</v>
      </c>
      <c r="G39" s="158">
        <f t="shared" si="16"/>
        <v>580</v>
      </c>
      <c r="H39" s="158">
        <f t="shared" si="16"/>
        <v>0</v>
      </c>
      <c r="I39" s="158">
        <f t="shared" si="16"/>
        <v>580</v>
      </c>
      <c r="J39" s="158">
        <f t="shared" si="16"/>
        <v>0</v>
      </c>
      <c r="K39" s="158">
        <f t="shared" si="16"/>
        <v>580</v>
      </c>
      <c r="L39" s="158">
        <f t="shared" si="16"/>
        <v>0</v>
      </c>
      <c r="M39" s="158">
        <f t="shared" si="16"/>
        <v>580</v>
      </c>
      <c r="N39" s="158">
        <f t="shared" si="16"/>
        <v>0</v>
      </c>
      <c r="O39" s="158">
        <f t="shared" si="16"/>
        <v>580</v>
      </c>
    </row>
    <row r="40" spans="1:15" s="9" customFormat="1" ht="21" customHeight="1">
      <c r="A40" s="160"/>
      <c r="B40" s="159">
        <v>70095</v>
      </c>
      <c r="C40" s="160"/>
      <c r="D40" s="161" t="s">
        <v>6</v>
      </c>
      <c r="E40" s="158">
        <f aca="true" t="shared" si="17" ref="E40:K40">SUM(E41,E43)</f>
        <v>580</v>
      </c>
      <c r="F40" s="158">
        <f t="shared" si="17"/>
        <v>0</v>
      </c>
      <c r="G40" s="158">
        <f t="shared" si="17"/>
        <v>580</v>
      </c>
      <c r="H40" s="158">
        <f t="shared" si="17"/>
        <v>0</v>
      </c>
      <c r="I40" s="158">
        <f t="shared" si="17"/>
        <v>580</v>
      </c>
      <c r="J40" s="158">
        <f t="shared" si="17"/>
        <v>0</v>
      </c>
      <c r="K40" s="158">
        <f t="shared" si="17"/>
        <v>580</v>
      </c>
      <c r="L40" s="158">
        <f>SUM(L41,L43)</f>
        <v>0</v>
      </c>
      <c r="M40" s="158">
        <f>SUM(M41,M43)</f>
        <v>580</v>
      </c>
      <c r="N40" s="158">
        <f>SUM(N41,N43)</f>
        <v>0</v>
      </c>
      <c r="O40" s="158">
        <f>SUM(O41,O43)</f>
        <v>580</v>
      </c>
    </row>
    <row r="41" spans="1:15" s="26" customFormat="1" ht="21" customHeight="1">
      <c r="A41" s="163"/>
      <c r="B41" s="162"/>
      <c r="C41" s="162">
        <v>4260</v>
      </c>
      <c r="D41" s="164" t="s">
        <v>98</v>
      </c>
      <c r="E41" s="165">
        <f aca="true" t="shared" si="18" ref="E41:O41">SUM(E42)</f>
        <v>500</v>
      </c>
      <c r="F41" s="165">
        <f t="shared" si="18"/>
        <v>0</v>
      </c>
      <c r="G41" s="165">
        <f t="shared" si="18"/>
        <v>500</v>
      </c>
      <c r="H41" s="165">
        <f t="shared" si="18"/>
        <v>0</v>
      </c>
      <c r="I41" s="165">
        <f t="shared" si="18"/>
        <v>500</v>
      </c>
      <c r="J41" s="165">
        <f t="shared" si="18"/>
        <v>0</v>
      </c>
      <c r="K41" s="165">
        <f t="shared" si="18"/>
        <v>500</v>
      </c>
      <c r="L41" s="165">
        <f t="shared" si="18"/>
        <v>0</v>
      </c>
      <c r="M41" s="165">
        <f t="shared" si="18"/>
        <v>500</v>
      </c>
      <c r="N41" s="165">
        <f t="shared" si="18"/>
        <v>0</v>
      </c>
      <c r="O41" s="165">
        <f t="shared" si="18"/>
        <v>500</v>
      </c>
    </row>
    <row r="42" spans="1:15" s="26" customFormat="1" ht="21" customHeight="1">
      <c r="A42" s="166"/>
      <c r="B42" s="166"/>
      <c r="C42" s="166"/>
      <c r="D42" s="167" t="s">
        <v>306</v>
      </c>
      <c r="E42" s="168">
        <v>500</v>
      </c>
      <c r="F42" s="168"/>
      <c r="G42" s="168">
        <f>SUM(E42:F42)</f>
        <v>500</v>
      </c>
      <c r="H42" s="168"/>
      <c r="I42" s="168">
        <f>SUM(G42:H42)</f>
        <v>500</v>
      </c>
      <c r="J42" s="168"/>
      <c r="K42" s="168">
        <f>SUM(I42:J42)</f>
        <v>500</v>
      </c>
      <c r="L42" s="168"/>
      <c r="M42" s="168">
        <f>SUM(K42:L42)</f>
        <v>500</v>
      </c>
      <c r="N42" s="168"/>
      <c r="O42" s="168">
        <f>SUM(M42:N42)</f>
        <v>500</v>
      </c>
    </row>
    <row r="43" spans="1:15" s="26" customFormat="1" ht="21" customHeight="1">
      <c r="A43" s="171"/>
      <c r="B43" s="171"/>
      <c r="C43" s="162">
        <v>4300</v>
      </c>
      <c r="D43" s="164" t="s">
        <v>82</v>
      </c>
      <c r="E43" s="165">
        <f aca="true" t="shared" si="19" ref="E43:O43">SUM(E44)</f>
        <v>80</v>
      </c>
      <c r="F43" s="165">
        <f t="shared" si="19"/>
        <v>0</v>
      </c>
      <c r="G43" s="165">
        <f t="shared" si="19"/>
        <v>80</v>
      </c>
      <c r="H43" s="165">
        <f t="shared" si="19"/>
        <v>0</v>
      </c>
      <c r="I43" s="165">
        <f t="shared" si="19"/>
        <v>80</v>
      </c>
      <c r="J43" s="165">
        <f t="shared" si="19"/>
        <v>0</v>
      </c>
      <c r="K43" s="165">
        <f t="shared" si="19"/>
        <v>80</v>
      </c>
      <c r="L43" s="165">
        <f t="shared" si="19"/>
        <v>0</v>
      </c>
      <c r="M43" s="165">
        <f t="shared" si="19"/>
        <v>80</v>
      </c>
      <c r="N43" s="165">
        <f t="shared" si="19"/>
        <v>0</v>
      </c>
      <c r="O43" s="165">
        <f t="shared" si="19"/>
        <v>80</v>
      </c>
    </row>
    <row r="44" spans="1:15" s="26" customFormat="1" ht="21" customHeight="1">
      <c r="A44" s="166"/>
      <c r="B44" s="166"/>
      <c r="C44" s="166"/>
      <c r="D44" s="167" t="s">
        <v>306</v>
      </c>
      <c r="E44" s="168">
        <v>80</v>
      </c>
      <c r="F44" s="168"/>
      <c r="G44" s="168">
        <f>SUM(E44:F44)</f>
        <v>80</v>
      </c>
      <c r="H44" s="168"/>
      <c r="I44" s="168">
        <f>SUM(G44:H44)</f>
        <v>80</v>
      </c>
      <c r="J44" s="168"/>
      <c r="K44" s="168">
        <f>SUM(I44:J44)</f>
        <v>80</v>
      </c>
      <c r="L44" s="168"/>
      <c r="M44" s="168">
        <f>SUM(K44:L44)</f>
        <v>80</v>
      </c>
      <c r="N44" s="168"/>
      <c r="O44" s="168">
        <f>SUM(M44:N44)</f>
        <v>80</v>
      </c>
    </row>
    <row r="45" spans="1:15" s="9" customFormat="1" ht="21" customHeight="1">
      <c r="A45" s="155">
        <v>710</v>
      </c>
      <c r="B45" s="156"/>
      <c r="C45" s="156"/>
      <c r="D45" s="157" t="s">
        <v>83</v>
      </c>
      <c r="E45" s="158">
        <f aca="true" t="shared" si="20" ref="E45:O45">SUM(E46)</f>
        <v>500</v>
      </c>
      <c r="F45" s="158">
        <f t="shared" si="20"/>
        <v>0</v>
      </c>
      <c r="G45" s="158">
        <f t="shared" si="20"/>
        <v>500</v>
      </c>
      <c r="H45" s="158">
        <f t="shared" si="20"/>
        <v>0</v>
      </c>
      <c r="I45" s="158">
        <f t="shared" si="20"/>
        <v>500</v>
      </c>
      <c r="J45" s="158">
        <f t="shared" si="20"/>
        <v>0</v>
      </c>
      <c r="K45" s="158">
        <f t="shared" si="20"/>
        <v>500</v>
      </c>
      <c r="L45" s="158">
        <f t="shared" si="20"/>
        <v>0</v>
      </c>
      <c r="M45" s="158">
        <f t="shared" si="20"/>
        <v>500</v>
      </c>
      <c r="N45" s="158">
        <f t="shared" si="20"/>
        <v>0</v>
      </c>
      <c r="O45" s="158">
        <f t="shared" si="20"/>
        <v>500</v>
      </c>
    </row>
    <row r="46" spans="1:15" s="9" customFormat="1" ht="21" customHeight="1">
      <c r="A46" s="160"/>
      <c r="B46" s="159">
        <v>71035</v>
      </c>
      <c r="C46" s="160"/>
      <c r="D46" s="161" t="s">
        <v>14</v>
      </c>
      <c r="E46" s="158">
        <f aca="true" t="shared" si="21" ref="E46:O46">SUM(E47,)</f>
        <v>500</v>
      </c>
      <c r="F46" s="158">
        <f t="shared" si="21"/>
        <v>0</v>
      </c>
      <c r="G46" s="158">
        <f t="shared" si="21"/>
        <v>500</v>
      </c>
      <c r="H46" s="158">
        <f t="shared" si="21"/>
        <v>0</v>
      </c>
      <c r="I46" s="158">
        <f t="shared" si="21"/>
        <v>500</v>
      </c>
      <c r="J46" s="158">
        <f t="shared" si="21"/>
        <v>0</v>
      </c>
      <c r="K46" s="158">
        <f t="shared" si="21"/>
        <v>500</v>
      </c>
      <c r="L46" s="158">
        <f t="shared" si="21"/>
        <v>0</v>
      </c>
      <c r="M46" s="158">
        <f t="shared" si="21"/>
        <v>500</v>
      </c>
      <c r="N46" s="158">
        <f t="shared" si="21"/>
        <v>0</v>
      </c>
      <c r="O46" s="158">
        <f t="shared" si="21"/>
        <v>500</v>
      </c>
    </row>
    <row r="47" spans="1:15" s="26" customFormat="1" ht="21" customHeight="1">
      <c r="A47" s="163"/>
      <c r="B47" s="162"/>
      <c r="C47" s="162">
        <v>4260</v>
      </c>
      <c r="D47" s="164" t="s">
        <v>98</v>
      </c>
      <c r="E47" s="165">
        <f aca="true" t="shared" si="22" ref="E47:K47">SUM(E48:E49)</f>
        <v>500</v>
      </c>
      <c r="F47" s="165">
        <f t="shared" si="22"/>
        <v>0</v>
      </c>
      <c r="G47" s="165">
        <f t="shared" si="22"/>
        <v>500</v>
      </c>
      <c r="H47" s="165">
        <f t="shared" si="22"/>
        <v>0</v>
      </c>
      <c r="I47" s="165">
        <f t="shared" si="22"/>
        <v>500</v>
      </c>
      <c r="J47" s="165">
        <f t="shared" si="22"/>
        <v>0</v>
      </c>
      <c r="K47" s="165">
        <f t="shared" si="22"/>
        <v>500</v>
      </c>
      <c r="L47" s="165">
        <f>SUM(L48:L49)</f>
        <v>0</v>
      </c>
      <c r="M47" s="165">
        <f>SUM(M48:M49)</f>
        <v>500</v>
      </c>
      <c r="N47" s="165">
        <f>SUM(N48:N49)</f>
        <v>0</v>
      </c>
      <c r="O47" s="165">
        <f>SUM(O48:O49)</f>
        <v>500</v>
      </c>
    </row>
    <row r="48" spans="1:15" s="28" customFormat="1" ht="21" customHeight="1">
      <c r="A48" s="172"/>
      <c r="B48" s="173"/>
      <c r="C48" s="173"/>
      <c r="D48" s="167" t="s">
        <v>302</v>
      </c>
      <c r="E48" s="168">
        <v>200</v>
      </c>
      <c r="F48" s="168"/>
      <c r="G48" s="168">
        <f>SUM(E48:F48)</f>
        <v>200</v>
      </c>
      <c r="H48" s="168"/>
      <c r="I48" s="168">
        <f>SUM(G48:H48)</f>
        <v>200</v>
      </c>
      <c r="J48" s="168"/>
      <c r="K48" s="168">
        <f>SUM(I48:J48)</f>
        <v>200</v>
      </c>
      <c r="L48" s="168"/>
      <c r="M48" s="168">
        <f>SUM(K48:L48)</f>
        <v>200</v>
      </c>
      <c r="N48" s="168"/>
      <c r="O48" s="168">
        <f>SUM(M48:N48)</f>
        <v>200</v>
      </c>
    </row>
    <row r="49" spans="1:15" s="28" customFormat="1" ht="21" customHeight="1">
      <c r="A49" s="166"/>
      <c r="B49" s="166"/>
      <c r="C49" s="166"/>
      <c r="D49" s="167" t="s">
        <v>306</v>
      </c>
      <c r="E49" s="168">
        <v>300</v>
      </c>
      <c r="F49" s="168"/>
      <c r="G49" s="168">
        <f>SUM(E49:F49)</f>
        <v>300</v>
      </c>
      <c r="H49" s="168"/>
      <c r="I49" s="168">
        <f>SUM(G49:H49)</f>
        <v>300</v>
      </c>
      <c r="J49" s="168"/>
      <c r="K49" s="168">
        <f>SUM(I49:J49)</f>
        <v>300</v>
      </c>
      <c r="L49" s="168"/>
      <c r="M49" s="168">
        <f>SUM(K49:L49)</f>
        <v>300</v>
      </c>
      <c r="N49" s="168"/>
      <c r="O49" s="168">
        <f>SUM(M49:N49)</f>
        <v>300</v>
      </c>
    </row>
    <row r="50" spans="1:15" s="9" customFormat="1" ht="21" customHeight="1">
      <c r="A50" s="155" t="s">
        <v>15</v>
      </c>
      <c r="B50" s="156"/>
      <c r="C50" s="156"/>
      <c r="D50" s="157" t="s">
        <v>86</v>
      </c>
      <c r="E50" s="158">
        <f aca="true" t="shared" si="23" ref="E50:O50">SUM(E51)</f>
        <v>28480</v>
      </c>
      <c r="F50" s="158">
        <f t="shared" si="23"/>
        <v>0</v>
      </c>
      <c r="G50" s="158">
        <f t="shared" si="23"/>
        <v>28480</v>
      </c>
      <c r="H50" s="158">
        <f t="shared" si="23"/>
        <v>0</v>
      </c>
      <c r="I50" s="158">
        <f t="shared" si="23"/>
        <v>28480</v>
      </c>
      <c r="J50" s="158">
        <f t="shared" si="23"/>
        <v>-800</v>
      </c>
      <c r="K50" s="158">
        <f t="shared" si="23"/>
        <v>27680</v>
      </c>
      <c r="L50" s="158">
        <f t="shared" si="23"/>
        <v>0</v>
      </c>
      <c r="M50" s="158">
        <f t="shared" si="23"/>
        <v>27680</v>
      </c>
      <c r="N50" s="158">
        <f t="shared" si="23"/>
        <v>0</v>
      </c>
      <c r="O50" s="158">
        <f t="shared" si="23"/>
        <v>27680</v>
      </c>
    </row>
    <row r="51" spans="1:15" s="9" customFormat="1" ht="21" customHeight="1">
      <c r="A51" s="160"/>
      <c r="B51" s="159">
        <v>75095</v>
      </c>
      <c r="C51" s="160"/>
      <c r="D51" s="161" t="s">
        <v>6</v>
      </c>
      <c r="E51" s="158">
        <f aca="true" t="shared" si="24" ref="E51:K51">SUM(E52,E73)</f>
        <v>28480</v>
      </c>
      <c r="F51" s="158">
        <f t="shared" si="24"/>
        <v>0</v>
      </c>
      <c r="G51" s="158">
        <f t="shared" si="24"/>
        <v>28480</v>
      </c>
      <c r="H51" s="158">
        <f t="shared" si="24"/>
        <v>0</v>
      </c>
      <c r="I51" s="158">
        <f t="shared" si="24"/>
        <v>28480</v>
      </c>
      <c r="J51" s="158">
        <f t="shared" si="24"/>
        <v>-800</v>
      </c>
      <c r="K51" s="158">
        <f t="shared" si="24"/>
        <v>27680</v>
      </c>
      <c r="L51" s="158">
        <f>SUM(L52,L73)</f>
        <v>0</v>
      </c>
      <c r="M51" s="158">
        <f>SUM(M52,M73)</f>
        <v>27680</v>
      </c>
      <c r="N51" s="158">
        <f>SUM(N52,N73)</f>
        <v>0</v>
      </c>
      <c r="O51" s="158">
        <f>SUM(O52,O73)</f>
        <v>27680</v>
      </c>
    </row>
    <row r="52" spans="1:15" s="26" customFormat="1" ht="21" customHeight="1">
      <c r="A52" s="162"/>
      <c r="B52" s="162"/>
      <c r="C52" s="162" t="s">
        <v>309</v>
      </c>
      <c r="D52" s="164" t="s">
        <v>95</v>
      </c>
      <c r="E52" s="165">
        <f aca="true" t="shared" si="25" ref="E52:K52">SUM(E53:E72)</f>
        <v>22980</v>
      </c>
      <c r="F52" s="165">
        <f t="shared" si="25"/>
        <v>0</v>
      </c>
      <c r="G52" s="165">
        <f t="shared" si="25"/>
        <v>22980</v>
      </c>
      <c r="H52" s="165">
        <f t="shared" si="25"/>
        <v>0</v>
      </c>
      <c r="I52" s="165">
        <f t="shared" si="25"/>
        <v>22980</v>
      </c>
      <c r="J52" s="165">
        <f t="shared" si="25"/>
        <v>-800</v>
      </c>
      <c r="K52" s="165">
        <f t="shared" si="25"/>
        <v>22180</v>
      </c>
      <c r="L52" s="165">
        <f>SUM(L53:L72)</f>
        <v>0</v>
      </c>
      <c r="M52" s="165">
        <f>SUM(M53:M72)</f>
        <v>22180</v>
      </c>
      <c r="N52" s="165">
        <f>SUM(N53:N72)</f>
        <v>0</v>
      </c>
      <c r="O52" s="165">
        <f>SUM(O53:O72)</f>
        <v>22180</v>
      </c>
    </row>
    <row r="53" spans="1:15" s="26" customFormat="1" ht="21" customHeight="1">
      <c r="A53" s="166"/>
      <c r="B53" s="166"/>
      <c r="C53" s="166"/>
      <c r="D53" s="167" t="s">
        <v>302</v>
      </c>
      <c r="E53" s="168">
        <v>80</v>
      </c>
      <c r="F53" s="168"/>
      <c r="G53" s="168">
        <f>SUM(E53:F53)</f>
        <v>80</v>
      </c>
      <c r="H53" s="168"/>
      <c r="I53" s="168">
        <f>SUM(G53:H53)</f>
        <v>80</v>
      </c>
      <c r="J53" s="168"/>
      <c r="K53" s="168">
        <f>SUM(I53:J53)</f>
        <v>80</v>
      </c>
      <c r="L53" s="168"/>
      <c r="M53" s="168">
        <f>SUM(K53:L53)</f>
        <v>80</v>
      </c>
      <c r="N53" s="168"/>
      <c r="O53" s="168">
        <f>SUM(M53:N53)</f>
        <v>80</v>
      </c>
    </row>
    <row r="54" spans="1:15" s="26" customFormat="1" ht="21" customHeight="1">
      <c r="A54" s="166"/>
      <c r="B54" s="166"/>
      <c r="C54" s="166"/>
      <c r="D54" s="167" t="s">
        <v>303</v>
      </c>
      <c r="E54" s="168">
        <v>1800</v>
      </c>
      <c r="F54" s="168"/>
      <c r="G54" s="168">
        <f aca="true" t="shared" si="26" ref="G54:G72">SUM(E54:F54)</f>
        <v>1800</v>
      </c>
      <c r="H54" s="168"/>
      <c r="I54" s="168">
        <f aca="true" t="shared" si="27" ref="I54:I72">SUM(G54:H54)</f>
        <v>1800</v>
      </c>
      <c r="J54" s="168"/>
      <c r="K54" s="168">
        <f aca="true" t="shared" si="28" ref="K54:K72">SUM(I54:J54)</f>
        <v>1800</v>
      </c>
      <c r="L54" s="168"/>
      <c r="M54" s="168">
        <f aca="true" t="shared" si="29" ref="M54:M72">SUM(K54:L54)</f>
        <v>1800</v>
      </c>
      <c r="N54" s="168"/>
      <c r="O54" s="168">
        <f aca="true" t="shared" si="30" ref="O54:O72">SUM(M54:N54)</f>
        <v>1800</v>
      </c>
    </row>
    <row r="55" spans="1:15" s="26" customFormat="1" ht="21" customHeight="1">
      <c r="A55" s="166"/>
      <c r="B55" s="166"/>
      <c r="C55" s="166"/>
      <c r="D55" s="167" t="s">
        <v>291</v>
      </c>
      <c r="E55" s="168">
        <v>880</v>
      </c>
      <c r="F55" s="168"/>
      <c r="G55" s="168">
        <f t="shared" si="26"/>
        <v>880</v>
      </c>
      <c r="H55" s="168"/>
      <c r="I55" s="168">
        <f t="shared" si="27"/>
        <v>880</v>
      </c>
      <c r="J55" s="168">
        <v>-800</v>
      </c>
      <c r="K55" s="168">
        <f t="shared" si="28"/>
        <v>80</v>
      </c>
      <c r="L55" s="168"/>
      <c r="M55" s="168">
        <f t="shared" si="29"/>
        <v>80</v>
      </c>
      <c r="N55" s="168"/>
      <c r="O55" s="168">
        <f t="shared" si="30"/>
        <v>80</v>
      </c>
    </row>
    <row r="56" spans="1:15" s="26" customFormat="1" ht="21" customHeight="1">
      <c r="A56" s="166"/>
      <c r="B56" s="166"/>
      <c r="C56" s="166"/>
      <c r="D56" s="167" t="s">
        <v>292</v>
      </c>
      <c r="E56" s="168">
        <v>1500</v>
      </c>
      <c r="F56" s="168"/>
      <c r="G56" s="168">
        <f t="shared" si="26"/>
        <v>1500</v>
      </c>
      <c r="H56" s="168"/>
      <c r="I56" s="168">
        <f t="shared" si="27"/>
        <v>1500</v>
      </c>
      <c r="J56" s="168"/>
      <c r="K56" s="168">
        <f t="shared" si="28"/>
        <v>1500</v>
      </c>
      <c r="L56" s="168"/>
      <c r="M56" s="168">
        <f t="shared" si="29"/>
        <v>1500</v>
      </c>
      <c r="N56" s="168"/>
      <c r="O56" s="168">
        <f t="shared" si="30"/>
        <v>1500</v>
      </c>
    </row>
    <row r="57" spans="1:15" s="26" customFormat="1" ht="21" customHeight="1">
      <c r="A57" s="166"/>
      <c r="B57" s="166"/>
      <c r="C57" s="166"/>
      <c r="D57" s="167" t="s">
        <v>304</v>
      </c>
      <c r="E57" s="168">
        <v>1800</v>
      </c>
      <c r="F57" s="168"/>
      <c r="G57" s="168">
        <f t="shared" si="26"/>
        <v>1800</v>
      </c>
      <c r="H57" s="168"/>
      <c r="I57" s="168">
        <f t="shared" si="27"/>
        <v>1800</v>
      </c>
      <c r="J57" s="168"/>
      <c r="K57" s="168">
        <f t="shared" si="28"/>
        <v>1800</v>
      </c>
      <c r="L57" s="168"/>
      <c r="M57" s="168">
        <f t="shared" si="29"/>
        <v>1800</v>
      </c>
      <c r="N57" s="168"/>
      <c r="O57" s="168">
        <f t="shared" si="30"/>
        <v>1800</v>
      </c>
    </row>
    <row r="58" spans="1:15" s="26" customFormat="1" ht="21" customHeight="1">
      <c r="A58" s="166"/>
      <c r="B58" s="166"/>
      <c r="C58" s="166"/>
      <c r="D58" s="167" t="s">
        <v>293</v>
      </c>
      <c r="E58" s="168">
        <v>80</v>
      </c>
      <c r="F58" s="168"/>
      <c r="G58" s="168">
        <f t="shared" si="26"/>
        <v>80</v>
      </c>
      <c r="H58" s="168"/>
      <c r="I58" s="168">
        <f t="shared" si="27"/>
        <v>80</v>
      </c>
      <c r="J58" s="168"/>
      <c r="K58" s="168">
        <f t="shared" si="28"/>
        <v>80</v>
      </c>
      <c r="L58" s="168"/>
      <c r="M58" s="168">
        <f t="shared" si="29"/>
        <v>80</v>
      </c>
      <c r="N58" s="168"/>
      <c r="O58" s="168">
        <f t="shared" si="30"/>
        <v>80</v>
      </c>
    </row>
    <row r="59" spans="1:15" s="26" customFormat="1" ht="21" customHeight="1">
      <c r="A59" s="166"/>
      <c r="B59" s="166"/>
      <c r="C59" s="166"/>
      <c r="D59" s="167" t="s">
        <v>294</v>
      </c>
      <c r="E59" s="168">
        <v>2100</v>
      </c>
      <c r="F59" s="168"/>
      <c r="G59" s="168">
        <f t="shared" si="26"/>
        <v>2100</v>
      </c>
      <c r="H59" s="168"/>
      <c r="I59" s="168">
        <f t="shared" si="27"/>
        <v>2100</v>
      </c>
      <c r="J59" s="168"/>
      <c r="K59" s="168">
        <f t="shared" si="28"/>
        <v>2100</v>
      </c>
      <c r="L59" s="168"/>
      <c r="M59" s="168">
        <f t="shared" si="29"/>
        <v>2100</v>
      </c>
      <c r="N59" s="168"/>
      <c r="O59" s="168">
        <f t="shared" si="30"/>
        <v>2100</v>
      </c>
    </row>
    <row r="60" spans="1:15" s="26" customFormat="1" ht="21" customHeight="1">
      <c r="A60" s="166"/>
      <c r="B60" s="166"/>
      <c r="C60" s="166"/>
      <c r="D60" s="167" t="s">
        <v>295</v>
      </c>
      <c r="E60" s="168">
        <v>1180</v>
      </c>
      <c r="F60" s="168"/>
      <c r="G60" s="168">
        <f t="shared" si="26"/>
        <v>1180</v>
      </c>
      <c r="H60" s="168"/>
      <c r="I60" s="168">
        <f t="shared" si="27"/>
        <v>1180</v>
      </c>
      <c r="J60" s="168"/>
      <c r="K60" s="168">
        <f t="shared" si="28"/>
        <v>1180</v>
      </c>
      <c r="L60" s="168"/>
      <c r="M60" s="168">
        <f t="shared" si="29"/>
        <v>1180</v>
      </c>
      <c r="N60" s="168"/>
      <c r="O60" s="168">
        <f t="shared" si="30"/>
        <v>1180</v>
      </c>
    </row>
    <row r="61" spans="1:15" s="26" customFormat="1" ht="21" customHeight="1">
      <c r="A61" s="166"/>
      <c r="B61" s="166"/>
      <c r="C61" s="166"/>
      <c r="D61" s="167" t="s">
        <v>305</v>
      </c>
      <c r="E61" s="168">
        <v>2100</v>
      </c>
      <c r="F61" s="168"/>
      <c r="G61" s="168">
        <f t="shared" si="26"/>
        <v>2100</v>
      </c>
      <c r="H61" s="168"/>
      <c r="I61" s="168">
        <f t="shared" si="27"/>
        <v>2100</v>
      </c>
      <c r="J61" s="168"/>
      <c r="K61" s="168">
        <f t="shared" si="28"/>
        <v>2100</v>
      </c>
      <c r="L61" s="168"/>
      <c r="M61" s="168">
        <f t="shared" si="29"/>
        <v>2100</v>
      </c>
      <c r="N61" s="168"/>
      <c r="O61" s="168">
        <f t="shared" si="30"/>
        <v>2100</v>
      </c>
    </row>
    <row r="62" spans="1:15" s="26" customFormat="1" ht="21" customHeight="1">
      <c r="A62" s="166"/>
      <c r="B62" s="166"/>
      <c r="C62" s="166"/>
      <c r="D62" s="167" t="s">
        <v>296</v>
      </c>
      <c r="E62" s="168">
        <v>530</v>
      </c>
      <c r="F62" s="168"/>
      <c r="G62" s="168">
        <f t="shared" si="26"/>
        <v>530</v>
      </c>
      <c r="H62" s="168"/>
      <c r="I62" s="168">
        <f t="shared" si="27"/>
        <v>530</v>
      </c>
      <c r="J62" s="168"/>
      <c r="K62" s="168">
        <f t="shared" si="28"/>
        <v>530</v>
      </c>
      <c r="L62" s="168"/>
      <c r="M62" s="168">
        <f t="shared" si="29"/>
        <v>530</v>
      </c>
      <c r="N62" s="168"/>
      <c r="O62" s="168">
        <f t="shared" si="30"/>
        <v>530</v>
      </c>
    </row>
    <row r="63" spans="1:15" s="26" customFormat="1" ht="21" customHeight="1">
      <c r="A63" s="166"/>
      <c r="B63" s="166"/>
      <c r="C63" s="166"/>
      <c r="D63" s="167" t="s">
        <v>297</v>
      </c>
      <c r="E63" s="168">
        <v>2730</v>
      </c>
      <c r="F63" s="168"/>
      <c r="G63" s="168">
        <f t="shared" si="26"/>
        <v>2730</v>
      </c>
      <c r="H63" s="168"/>
      <c r="I63" s="168">
        <f t="shared" si="27"/>
        <v>2730</v>
      </c>
      <c r="J63" s="168"/>
      <c r="K63" s="168">
        <f t="shared" si="28"/>
        <v>2730</v>
      </c>
      <c r="L63" s="168"/>
      <c r="M63" s="168">
        <f t="shared" si="29"/>
        <v>2730</v>
      </c>
      <c r="N63" s="168"/>
      <c r="O63" s="168">
        <f t="shared" si="30"/>
        <v>2730</v>
      </c>
    </row>
    <row r="64" spans="1:15" s="26" customFormat="1" ht="21" customHeight="1">
      <c r="A64" s="166"/>
      <c r="B64" s="166"/>
      <c r="C64" s="166"/>
      <c r="D64" s="167" t="s">
        <v>298</v>
      </c>
      <c r="E64" s="168">
        <v>80</v>
      </c>
      <c r="F64" s="168"/>
      <c r="G64" s="168">
        <f t="shared" si="26"/>
        <v>80</v>
      </c>
      <c r="H64" s="168"/>
      <c r="I64" s="168">
        <f t="shared" si="27"/>
        <v>80</v>
      </c>
      <c r="J64" s="168"/>
      <c r="K64" s="168">
        <f t="shared" si="28"/>
        <v>80</v>
      </c>
      <c r="L64" s="168"/>
      <c r="M64" s="168">
        <f t="shared" si="29"/>
        <v>80</v>
      </c>
      <c r="N64" s="168"/>
      <c r="O64" s="168">
        <f t="shared" si="30"/>
        <v>80</v>
      </c>
    </row>
    <row r="65" spans="1:15" s="26" customFormat="1" ht="21" customHeight="1">
      <c r="A65" s="166"/>
      <c r="B65" s="166"/>
      <c r="C65" s="166"/>
      <c r="D65" s="167" t="s">
        <v>299</v>
      </c>
      <c r="E65" s="168">
        <v>1400</v>
      </c>
      <c r="F65" s="168"/>
      <c r="G65" s="168">
        <f t="shared" si="26"/>
        <v>1400</v>
      </c>
      <c r="H65" s="168"/>
      <c r="I65" s="168">
        <f t="shared" si="27"/>
        <v>1400</v>
      </c>
      <c r="J65" s="168"/>
      <c r="K65" s="168">
        <f t="shared" si="28"/>
        <v>1400</v>
      </c>
      <c r="L65" s="168"/>
      <c r="M65" s="168">
        <f t="shared" si="29"/>
        <v>1400</v>
      </c>
      <c r="N65" s="168"/>
      <c r="O65" s="168">
        <f t="shared" si="30"/>
        <v>1400</v>
      </c>
    </row>
    <row r="66" spans="1:15" s="26" customFormat="1" ht="21" customHeight="1">
      <c r="A66" s="166"/>
      <c r="B66" s="166"/>
      <c r="C66" s="166"/>
      <c r="D66" s="167" t="s">
        <v>300</v>
      </c>
      <c r="E66" s="168">
        <v>580</v>
      </c>
      <c r="F66" s="168"/>
      <c r="G66" s="168">
        <f t="shared" si="26"/>
        <v>580</v>
      </c>
      <c r="H66" s="168"/>
      <c r="I66" s="168">
        <f t="shared" si="27"/>
        <v>580</v>
      </c>
      <c r="J66" s="168"/>
      <c r="K66" s="168">
        <f t="shared" si="28"/>
        <v>580</v>
      </c>
      <c r="L66" s="168">
        <f>100-100</f>
        <v>0</v>
      </c>
      <c r="M66" s="168">
        <f t="shared" si="29"/>
        <v>580</v>
      </c>
      <c r="N66" s="168">
        <f>100-100</f>
        <v>0</v>
      </c>
      <c r="O66" s="168">
        <f t="shared" si="30"/>
        <v>580</v>
      </c>
    </row>
    <row r="67" spans="1:15" s="26" customFormat="1" ht="21" customHeight="1">
      <c r="A67" s="166"/>
      <c r="B67" s="166"/>
      <c r="C67" s="166"/>
      <c r="D67" s="167" t="s">
        <v>306</v>
      </c>
      <c r="E67" s="168">
        <v>80</v>
      </c>
      <c r="F67" s="168"/>
      <c r="G67" s="168">
        <f t="shared" si="26"/>
        <v>80</v>
      </c>
      <c r="H67" s="168"/>
      <c r="I67" s="168">
        <f t="shared" si="27"/>
        <v>80</v>
      </c>
      <c r="J67" s="168"/>
      <c r="K67" s="168">
        <f t="shared" si="28"/>
        <v>80</v>
      </c>
      <c r="L67" s="168"/>
      <c r="M67" s="168">
        <f t="shared" si="29"/>
        <v>80</v>
      </c>
      <c r="N67" s="168"/>
      <c r="O67" s="168">
        <f t="shared" si="30"/>
        <v>80</v>
      </c>
    </row>
    <row r="68" spans="1:15" s="26" customFormat="1" ht="21" customHeight="1">
      <c r="A68" s="166"/>
      <c r="B68" s="166"/>
      <c r="C68" s="166"/>
      <c r="D68" s="167" t="s">
        <v>307</v>
      </c>
      <c r="E68" s="168">
        <v>2080</v>
      </c>
      <c r="F68" s="168"/>
      <c r="G68" s="168">
        <f t="shared" si="26"/>
        <v>2080</v>
      </c>
      <c r="H68" s="168"/>
      <c r="I68" s="168">
        <f t="shared" si="27"/>
        <v>2080</v>
      </c>
      <c r="J68" s="168"/>
      <c r="K68" s="168">
        <f t="shared" si="28"/>
        <v>2080</v>
      </c>
      <c r="L68" s="168"/>
      <c r="M68" s="168">
        <f t="shared" si="29"/>
        <v>2080</v>
      </c>
      <c r="N68" s="168"/>
      <c r="O68" s="168">
        <f t="shared" si="30"/>
        <v>2080</v>
      </c>
    </row>
    <row r="69" spans="1:15" s="26" customFormat="1" ht="21" customHeight="1">
      <c r="A69" s="166"/>
      <c r="B69" s="166"/>
      <c r="C69" s="166"/>
      <c r="D69" s="167" t="s">
        <v>310</v>
      </c>
      <c r="E69" s="168">
        <v>3080</v>
      </c>
      <c r="F69" s="168"/>
      <c r="G69" s="168">
        <f t="shared" si="26"/>
        <v>3080</v>
      </c>
      <c r="H69" s="168"/>
      <c r="I69" s="168">
        <f t="shared" si="27"/>
        <v>3080</v>
      </c>
      <c r="J69" s="168"/>
      <c r="K69" s="168">
        <f t="shared" si="28"/>
        <v>3080</v>
      </c>
      <c r="L69" s="168"/>
      <c r="M69" s="168">
        <f t="shared" si="29"/>
        <v>3080</v>
      </c>
      <c r="N69" s="168"/>
      <c r="O69" s="168">
        <f t="shared" si="30"/>
        <v>3080</v>
      </c>
    </row>
    <row r="70" spans="1:15" s="26" customFormat="1" ht="21" customHeight="1">
      <c r="A70" s="166"/>
      <c r="B70" s="166"/>
      <c r="C70" s="166"/>
      <c r="D70" s="167" t="s">
        <v>301</v>
      </c>
      <c r="E70" s="168">
        <v>80</v>
      </c>
      <c r="F70" s="168"/>
      <c r="G70" s="168">
        <f t="shared" si="26"/>
        <v>80</v>
      </c>
      <c r="H70" s="168"/>
      <c r="I70" s="168">
        <f t="shared" si="27"/>
        <v>80</v>
      </c>
      <c r="J70" s="168"/>
      <c r="K70" s="168">
        <f t="shared" si="28"/>
        <v>80</v>
      </c>
      <c r="L70" s="168"/>
      <c r="M70" s="168">
        <f t="shared" si="29"/>
        <v>80</v>
      </c>
      <c r="N70" s="168"/>
      <c r="O70" s="168">
        <f t="shared" si="30"/>
        <v>80</v>
      </c>
    </row>
    <row r="71" spans="1:15" s="26" customFormat="1" ht="21" customHeight="1">
      <c r="A71" s="166"/>
      <c r="B71" s="166"/>
      <c r="C71" s="166"/>
      <c r="D71" s="167" t="s">
        <v>308</v>
      </c>
      <c r="E71" s="168">
        <v>240</v>
      </c>
      <c r="F71" s="168"/>
      <c r="G71" s="168">
        <f t="shared" si="26"/>
        <v>240</v>
      </c>
      <c r="H71" s="168"/>
      <c r="I71" s="168">
        <f t="shared" si="27"/>
        <v>240</v>
      </c>
      <c r="J71" s="168"/>
      <c r="K71" s="168">
        <f t="shared" si="28"/>
        <v>240</v>
      </c>
      <c r="L71" s="168"/>
      <c r="M71" s="168">
        <f t="shared" si="29"/>
        <v>240</v>
      </c>
      <c r="N71" s="168"/>
      <c r="O71" s="168">
        <f t="shared" si="30"/>
        <v>240</v>
      </c>
    </row>
    <row r="72" spans="1:15" s="26" customFormat="1" ht="21" customHeight="1">
      <c r="A72" s="166"/>
      <c r="B72" s="166"/>
      <c r="C72" s="166"/>
      <c r="D72" s="167" t="s">
        <v>311</v>
      </c>
      <c r="E72" s="168">
        <v>580</v>
      </c>
      <c r="F72" s="168"/>
      <c r="G72" s="168">
        <f t="shared" si="26"/>
        <v>580</v>
      </c>
      <c r="H72" s="168"/>
      <c r="I72" s="168">
        <f t="shared" si="27"/>
        <v>580</v>
      </c>
      <c r="J72" s="168"/>
      <c r="K72" s="168">
        <f t="shared" si="28"/>
        <v>580</v>
      </c>
      <c r="L72" s="168"/>
      <c r="M72" s="168">
        <f t="shared" si="29"/>
        <v>580</v>
      </c>
      <c r="N72" s="168"/>
      <c r="O72" s="168">
        <f t="shared" si="30"/>
        <v>580</v>
      </c>
    </row>
    <row r="73" spans="1:15" s="26" customFormat="1" ht="21" customHeight="1">
      <c r="A73" s="162"/>
      <c r="B73" s="162"/>
      <c r="C73" s="162">
        <v>4300</v>
      </c>
      <c r="D73" s="164" t="s">
        <v>82</v>
      </c>
      <c r="E73" s="165">
        <f aca="true" t="shared" si="31" ref="E73:K73">SUM(E74:E77)</f>
        <v>5500</v>
      </c>
      <c r="F73" s="165">
        <f t="shared" si="31"/>
        <v>0</v>
      </c>
      <c r="G73" s="165">
        <f t="shared" si="31"/>
        <v>5500</v>
      </c>
      <c r="H73" s="165">
        <f t="shared" si="31"/>
        <v>0</v>
      </c>
      <c r="I73" s="165">
        <f t="shared" si="31"/>
        <v>5500</v>
      </c>
      <c r="J73" s="165">
        <f t="shared" si="31"/>
        <v>0</v>
      </c>
      <c r="K73" s="165">
        <f t="shared" si="31"/>
        <v>5500</v>
      </c>
      <c r="L73" s="165">
        <f>SUM(L74:L77)</f>
        <v>0</v>
      </c>
      <c r="M73" s="165">
        <f>SUM(M74:M77)</f>
        <v>5500</v>
      </c>
      <c r="N73" s="165">
        <f>SUM(N74:N77)</f>
        <v>0</v>
      </c>
      <c r="O73" s="165">
        <f>SUM(O74:O77)</f>
        <v>5500</v>
      </c>
    </row>
    <row r="74" spans="1:15" s="26" customFormat="1" ht="21" customHeight="1">
      <c r="A74" s="154"/>
      <c r="B74" s="174"/>
      <c r="C74" s="166"/>
      <c r="D74" s="167" t="s">
        <v>305</v>
      </c>
      <c r="E74" s="168">
        <v>1500</v>
      </c>
      <c r="F74" s="168"/>
      <c r="G74" s="168">
        <f>SUM(E74:F74)</f>
        <v>1500</v>
      </c>
      <c r="H74" s="168"/>
      <c r="I74" s="168">
        <f>SUM(G74:H74)</f>
        <v>1500</v>
      </c>
      <c r="J74" s="168"/>
      <c r="K74" s="168">
        <f>SUM(I74:J74)</f>
        <v>1500</v>
      </c>
      <c r="L74" s="168"/>
      <c r="M74" s="168">
        <f>SUM(K74:L74)</f>
        <v>1500</v>
      </c>
      <c r="N74" s="168"/>
      <c r="O74" s="168">
        <f>SUM(M74:N74)</f>
        <v>1500</v>
      </c>
    </row>
    <row r="75" spans="1:15" s="26" customFormat="1" ht="21" customHeight="1">
      <c r="A75" s="166"/>
      <c r="B75" s="166"/>
      <c r="C75" s="166"/>
      <c r="D75" s="167" t="s">
        <v>296</v>
      </c>
      <c r="E75" s="168">
        <v>2000</v>
      </c>
      <c r="F75" s="168"/>
      <c r="G75" s="168">
        <f>SUM(E75:F75)</f>
        <v>2000</v>
      </c>
      <c r="H75" s="168"/>
      <c r="I75" s="168">
        <f>SUM(G75:H75)</f>
        <v>2000</v>
      </c>
      <c r="J75" s="168"/>
      <c r="K75" s="168">
        <f>SUM(I75:J75)</f>
        <v>2000</v>
      </c>
      <c r="L75" s="168"/>
      <c r="M75" s="168">
        <f>SUM(K75:L75)</f>
        <v>2000</v>
      </c>
      <c r="N75" s="168"/>
      <c r="O75" s="168">
        <f>SUM(M75:N75)</f>
        <v>2000</v>
      </c>
    </row>
    <row r="76" spans="1:15" s="26" customFormat="1" ht="21" customHeight="1">
      <c r="A76" s="166"/>
      <c r="B76" s="166"/>
      <c r="C76" s="166"/>
      <c r="D76" s="167" t="s">
        <v>297</v>
      </c>
      <c r="E76" s="168">
        <v>800</v>
      </c>
      <c r="F76" s="168"/>
      <c r="G76" s="168">
        <f>SUM(E76:F76)</f>
        <v>800</v>
      </c>
      <c r="H76" s="168"/>
      <c r="I76" s="168">
        <f>SUM(G76:H76)</f>
        <v>800</v>
      </c>
      <c r="J76" s="168"/>
      <c r="K76" s="168">
        <f>SUM(I76:J76)</f>
        <v>800</v>
      </c>
      <c r="L76" s="168"/>
      <c r="M76" s="168">
        <f>SUM(K76:L76)</f>
        <v>800</v>
      </c>
      <c r="N76" s="168"/>
      <c r="O76" s="168">
        <f>SUM(M76:N76)</f>
        <v>800</v>
      </c>
    </row>
    <row r="77" spans="1:15" s="26" customFormat="1" ht="21" customHeight="1">
      <c r="A77" s="154"/>
      <c r="B77" s="174"/>
      <c r="C77" s="166"/>
      <c r="D77" s="167" t="s">
        <v>299</v>
      </c>
      <c r="E77" s="168">
        <v>1200</v>
      </c>
      <c r="F77" s="168"/>
      <c r="G77" s="168">
        <f>SUM(E77:F77)</f>
        <v>1200</v>
      </c>
      <c r="H77" s="168"/>
      <c r="I77" s="168">
        <f>SUM(G77:H77)</f>
        <v>1200</v>
      </c>
      <c r="J77" s="168"/>
      <c r="K77" s="168">
        <f>SUM(I77:J77)</f>
        <v>1200</v>
      </c>
      <c r="L77" s="168"/>
      <c r="M77" s="168">
        <f>SUM(K77:L77)</f>
        <v>1200</v>
      </c>
      <c r="N77" s="168"/>
      <c r="O77" s="168">
        <f>SUM(M77:N77)</f>
        <v>1200</v>
      </c>
    </row>
    <row r="78" spans="1:15" s="9" customFormat="1" ht="24">
      <c r="A78" s="155">
        <v>754</v>
      </c>
      <c r="B78" s="156"/>
      <c r="C78" s="156"/>
      <c r="D78" s="157" t="s">
        <v>23</v>
      </c>
      <c r="E78" s="158">
        <f aca="true" t="shared" si="32" ref="E78:O79">SUM(E79)</f>
        <v>9000</v>
      </c>
      <c r="F78" s="158">
        <f t="shared" si="32"/>
        <v>0</v>
      </c>
      <c r="G78" s="158">
        <f t="shared" si="32"/>
        <v>9000</v>
      </c>
      <c r="H78" s="158">
        <f t="shared" si="32"/>
        <v>0</v>
      </c>
      <c r="I78" s="158">
        <f t="shared" si="32"/>
        <v>9000</v>
      </c>
      <c r="J78" s="158">
        <f t="shared" si="32"/>
        <v>0</v>
      </c>
      <c r="K78" s="158">
        <f t="shared" si="32"/>
        <v>9000</v>
      </c>
      <c r="L78" s="158">
        <f t="shared" si="32"/>
        <v>0</v>
      </c>
      <c r="M78" s="158">
        <f t="shared" si="32"/>
        <v>9000</v>
      </c>
      <c r="N78" s="158">
        <f t="shared" si="32"/>
        <v>0</v>
      </c>
      <c r="O78" s="158">
        <f t="shared" si="32"/>
        <v>9000</v>
      </c>
    </row>
    <row r="79" spans="1:15" s="9" customFormat="1" ht="21" customHeight="1">
      <c r="A79" s="159"/>
      <c r="B79" s="159">
        <v>75412</v>
      </c>
      <c r="C79" s="160"/>
      <c r="D79" s="161" t="s">
        <v>103</v>
      </c>
      <c r="E79" s="158">
        <f t="shared" si="32"/>
        <v>9000</v>
      </c>
      <c r="F79" s="158">
        <f t="shared" si="32"/>
        <v>0</v>
      </c>
      <c r="G79" s="158">
        <f t="shared" si="32"/>
        <v>9000</v>
      </c>
      <c r="H79" s="158">
        <f t="shared" si="32"/>
        <v>0</v>
      </c>
      <c r="I79" s="158">
        <f t="shared" si="32"/>
        <v>9000</v>
      </c>
      <c r="J79" s="158">
        <f t="shared" si="32"/>
        <v>0</v>
      </c>
      <c r="K79" s="158">
        <f t="shared" si="32"/>
        <v>9000</v>
      </c>
      <c r="L79" s="158">
        <f t="shared" si="32"/>
        <v>0</v>
      </c>
      <c r="M79" s="158">
        <f t="shared" si="32"/>
        <v>9000</v>
      </c>
      <c r="N79" s="158">
        <f t="shared" si="32"/>
        <v>0</v>
      </c>
      <c r="O79" s="158">
        <f t="shared" si="32"/>
        <v>9000</v>
      </c>
    </row>
    <row r="80" spans="1:15" s="26" customFormat="1" ht="21" customHeight="1">
      <c r="A80" s="162"/>
      <c r="B80" s="163"/>
      <c r="C80" s="162">
        <v>4210</v>
      </c>
      <c r="D80" s="164" t="s">
        <v>312</v>
      </c>
      <c r="E80" s="165">
        <f aca="true" t="shared" si="33" ref="E80:K80">SUM(E81:E86)</f>
        <v>9000</v>
      </c>
      <c r="F80" s="165">
        <f t="shared" si="33"/>
        <v>0</v>
      </c>
      <c r="G80" s="165">
        <f t="shared" si="33"/>
        <v>9000</v>
      </c>
      <c r="H80" s="165">
        <f t="shared" si="33"/>
        <v>0</v>
      </c>
      <c r="I80" s="165">
        <f t="shared" si="33"/>
        <v>9000</v>
      </c>
      <c r="J80" s="165">
        <f t="shared" si="33"/>
        <v>0</v>
      </c>
      <c r="K80" s="165">
        <f t="shared" si="33"/>
        <v>9000</v>
      </c>
      <c r="L80" s="165">
        <f>SUM(L81:L86)</f>
        <v>0</v>
      </c>
      <c r="M80" s="165">
        <f>SUM(M81:M86)</f>
        <v>9000</v>
      </c>
      <c r="N80" s="165">
        <f>SUM(N81:N86)</f>
        <v>0</v>
      </c>
      <c r="O80" s="165">
        <f>SUM(O81:O86)</f>
        <v>9000</v>
      </c>
    </row>
    <row r="81" spans="1:15" s="26" customFormat="1" ht="21" customHeight="1">
      <c r="A81" s="166"/>
      <c r="B81" s="166"/>
      <c r="C81" s="166"/>
      <c r="D81" s="167" t="s">
        <v>304</v>
      </c>
      <c r="E81" s="168">
        <v>3500</v>
      </c>
      <c r="F81" s="168"/>
      <c r="G81" s="168">
        <f aca="true" t="shared" si="34" ref="G81:G86">SUM(E81:F81)</f>
        <v>3500</v>
      </c>
      <c r="H81" s="168"/>
      <c r="I81" s="168">
        <f aca="true" t="shared" si="35" ref="I81:I86">SUM(G81:H81)</f>
        <v>3500</v>
      </c>
      <c r="J81" s="168"/>
      <c r="K81" s="168">
        <f aca="true" t="shared" si="36" ref="K81:K86">SUM(I81:J81)</f>
        <v>3500</v>
      </c>
      <c r="L81" s="168"/>
      <c r="M81" s="168">
        <f aca="true" t="shared" si="37" ref="M81:M86">SUM(K81:L81)</f>
        <v>3500</v>
      </c>
      <c r="N81" s="168"/>
      <c r="O81" s="168">
        <f aca="true" t="shared" si="38" ref="O81:O86">SUM(M81:N81)</f>
        <v>3500</v>
      </c>
    </row>
    <row r="82" spans="1:15" s="26" customFormat="1" ht="21" customHeight="1">
      <c r="A82" s="166"/>
      <c r="B82" s="166"/>
      <c r="C82" s="166"/>
      <c r="D82" s="167" t="s">
        <v>293</v>
      </c>
      <c r="E82" s="168">
        <v>500</v>
      </c>
      <c r="F82" s="168"/>
      <c r="G82" s="168">
        <f t="shared" si="34"/>
        <v>500</v>
      </c>
      <c r="H82" s="168"/>
      <c r="I82" s="168">
        <f t="shared" si="35"/>
        <v>500</v>
      </c>
      <c r="J82" s="168"/>
      <c r="K82" s="168">
        <f t="shared" si="36"/>
        <v>500</v>
      </c>
      <c r="L82" s="168"/>
      <c r="M82" s="168">
        <f t="shared" si="37"/>
        <v>500</v>
      </c>
      <c r="N82" s="168"/>
      <c r="O82" s="168">
        <f t="shared" si="38"/>
        <v>500</v>
      </c>
    </row>
    <row r="83" spans="1:15" s="26" customFormat="1" ht="21" customHeight="1">
      <c r="A83" s="166"/>
      <c r="B83" s="166"/>
      <c r="C83" s="166"/>
      <c r="D83" s="167" t="s">
        <v>296</v>
      </c>
      <c r="E83" s="168">
        <v>500</v>
      </c>
      <c r="F83" s="168"/>
      <c r="G83" s="168">
        <f t="shared" si="34"/>
        <v>500</v>
      </c>
      <c r="H83" s="168"/>
      <c r="I83" s="168">
        <f t="shared" si="35"/>
        <v>500</v>
      </c>
      <c r="J83" s="168"/>
      <c r="K83" s="168">
        <f t="shared" si="36"/>
        <v>500</v>
      </c>
      <c r="L83" s="168"/>
      <c r="M83" s="168">
        <f t="shared" si="37"/>
        <v>500</v>
      </c>
      <c r="N83" s="168"/>
      <c r="O83" s="168">
        <f t="shared" si="38"/>
        <v>500</v>
      </c>
    </row>
    <row r="84" spans="1:15" s="26" customFormat="1" ht="21" customHeight="1">
      <c r="A84" s="166"/>
      <c r="B84" s="166"/>
      <c r="C84" s="166"/>
      <c r="D84" s="167" t="s">
        <v>297</v>
      </c>
      <c r="E84" s="168">
        <v>500</v>
      </c>
      <c r="F84" s="168"/>
      <c r="G84" s="168">
        <f t="shared" si="34"/>
        <v>500</v>
      </c>
      <c r="H84" s="168"/>
      <c r="I84" s="168">
        <f t="shared" si="35"/>
        <v>500</v>
      </c>
      <c r="J84" s="168"/>
      <c r="K84" s="168">
        <f t="shared" si="36"/>
        <v>500</v>
      </c>
      <c r="L84" s="168"/>
      <c r="M84" s="168">
        <f t="shared" si="37"/>
        <v>500</v>
      </c>
      <c r="N84" s="168"/>
      <c r="O84" s="168">
        <f t="shared" si="38"/>
        <v>500</v>
      </c>
    </row>
    <row r="85" spans="1:15" s="26" customFormat="1" ht="21" customHeight="1">
      <c r="A85" s="166"/>
      <c r="B85" s="166"/>
      <c r="C85" s="166"/>
      <c r="D85" s="167" t="s">
        <v>306</v>
      </c>
      <c r="E85" s="168">
        <v>1000</v>
      </c>
      <c r="F85" s="168"/>
      <c r="G85" s="168">
        <f t="shared" si="34"/>
        <v>1000</v>
      </c>
      <c r="H85" s="168"/>
      <c r="I85" s="168">
        <f t="shared" si="35"/>
        <v>1000</v>
      </c>
      <c r="J85" s="168"/>
      <c r="K85" s="168">
        <f t="shared" si="36"/>
        <v>1000</v>
      </c>
      <c r="L85" s="168"/>
      <c r="M85" s="168">
        <f t="shared" si="37"/>
        <v>1000</v>
      </c>
      <c r="N85" s="168"/>
      <c r="O85" s="168">
        <f t="shared" si="38"/>
        <v>1000</v>
      </c>
    </row>
    <row r="86" spans="1:15" s="26" customFormat="1" ht="21" customHeight="1">
      <c r="A86" s="166"/>
      <c r="B86" s="166"/>
      <c r="C86" s="166"/>
      <c r="D86" s="167" t="s">
        <v>299</v>
      </c>
      <c r="E86" s="168">
        <v>3000</v>
      </c>
      <c r="F86" s="168"/>
      <c r="G86" s="168">
        <f t="shared" si="34"/>
        <v>3000</v>
      </c>
      <c r="H86" s="168"/>
      <c r="I86" s="168">
        <f t="shared" si="35"/>
        <v>3000</v>
      </c>
      <c r="J86" s="168"/>
      <c r="K86" s="168">
        <f t="shared" si="36"/>
        <v>3000</v>
      </c>
      <c r="L86" s="168"/>
      <c r="M86" s="168">
        <f t="shared" si="37"/>
        <v>3000</v>
      </c>
      <c r="N86" s="168"/>
      <c r="O86" s="168">
        <f t="shared" si="38"/>
        <v>3000</v>
      </c>
    </row>
    <row r="87" spans="1:15" s="9" customFormat="1" ht="21" customHeight="1">
      <c r="A87" s="155" t="s">
        <v>112</v>
      </c>
      <c r="B87" s="156"/>
      <c r="C87" s="156"/>
      <c r="D87" s="157" t="s">
        <v>113</v>
      </c>
      <c r="E87" s="158">
        <f aca="true" t="shared" si="39" ref="E87:K87">SUM(E88,E102,E111,E114)</f>
        <v>10500</v>
      </c>
      <c r="F87" s="158">
        <f t="shared" si="39"/>
        <v>-500</v>
      </c>
      <c r="G87" s="158">
        <f t="shared" si="39"/>
        <v>10000</v>
      </c>
      <c r="H87" s="158">
        <f t="shared" si="39"/>
        <v>0</v>
      </c>
      <c r="I87" s="158">
        <f t="shared" si="39"/>
        <v>10000</v>
      </c>
      <c r="J87" s="158">
        <f t="shared" si="39"/>
        <v>0</v>
      </c>
      <c r="K87" s="158">
        <f t="shared" si="39"/>
        <v>10000</v>
      </c>
      <c r="L87" s="158">
        <f>SUM(L88,L102,L111,L114)</f>
        <v>0</v>
      </c>
      <c r="M87" s="158">
        <f>SUM(M88,M102,M111,M114)</f>
        <v>10000</v>
      </c>
      <c r="N87" s="158">
        <f>SUM(N88,N102,N111,N114)</f>
        <v>0</v>
      </c>
      <c r="O87" s="158">
        <f>SUM(O88,O102,O111,O114)</f>
        <v>10000</v>
      </c>
    </row>
    <row r="88" spans="1:15" s="26" customFormat="1" ht="21" customHeight="1">
      <c r="A88" s="162"/>
      <c r="B88" s="162" t="s">
        <v>114</v>
      </c>
      <c r="C88" s="163"/>
      <c r="D88" s="164" t="s">
        <v>53</v>
      </c>
      <c r="E88" s="165">
        <f aca="true" t="shared" si="40" ref="E88:K88">SUM(E89,E98)</f>
        <v>7300</v>
      </c>
      <c r="F88" s="165">
        <f t="shared" si="40"/>
        <v>0</v>
      </c>
      <c r="G88" s="165">
        <f t="shared" si="40"/>
        <v>7300</v>
      </c>
      <c r="H88" s="165">
        <f t="shared" si="40"/>
        <v>0</v>
      </c>
      <c r="I88" s="165">
        <f t="shared" si="40"/>
        <v>7300</v>
      </c>
      <c r="J88" s="165">
        <f t="shared" si="40"/>
        <v>0</v>
      </c>
      <c r="K88" s="165">
        <f t="shared" si="40"/>
        <v>7300</v>
      </c>
      <c r="L88" s="165">
        <f>SUM(L89,L98)</f>
        <v>0</v>
      </c>
      <c r="M88" s="165">
        <f>SUM(M89,M98)</f>
        <v>7300</v>
      </c>
      <c r="N88" s="165">
        <f>SUM(N89,N98)</f>
        <v>0</v>
      </c>
      <c r="O88" s="165">
        <f>SUM(O89,O98)</f>
        <v>7300</v>
      </c>
    </row>
    <row r="89" spans="1:15" s="26" customFormat="1" ht="21" customHeight="1">
      <c r="A89" s="174"/>
      <c r="B89" s="174"/>
      <c r="C89" s="162">
        <v>4210</v>
      </c>
      <c r="D89" s="164" t="s">
        <v>312</v>
      </c>
      <c r="E89" s="165">
        <f aca="true" t="shared" si="41" ref="E89:K89">SUM(E90:E97)</f>
        <v>6800</v>
      </c>
      <c r="F89" s="165">
        <f t="shared" si="41"/>
        <v>-1700</v>
      </c>
      <c r="G89" s="165">
        <f t="shared" si="41"/>
        <v>5100</v>
      </c>
      <c r="H89" s="165">
        <f t="shared" si="41"/>
        <v>0</v>
      </c>
      <c r="I89" s="165">
        <f t="shared" si="41"/>
        <v>5100</v>
      </c>
      <c r="J89" s="165">
        <f t="shared" si="41"/>
        <v>0</v>
      </c>
      <c r="K89" s="165">
        <f t="shared" si="41"/>
        <v>5100</v>
      </c>
      <c r="L89" s="165">
        <f>SUM(L90:L97)</f>
        <v>0</v>
      </c>
      <c r="M89" s="165">
        <f>SUM(M90:M97)</f>
        <v>5100</v>
      </c>
      <c r="N89" s="165">
        <f>SUM(N90:N97)</f>
        <v>0</v>
      </c>
      <c r="O89" s="165">
        <f>SUM(O90:O97)</f>
        <v>5100</v>
      </c>
    </row>
    <row r="90" spans="1:15" s="26" customFormat="1" ht="21" customHeight="1">
      <c r="A90" s="174"/>
      <c r="B90" s="174"/>
      <c r="C90" s="162"/>
      <c r="D90" s="167" t="s">
        <v>303</v>
      </c>
      <c r="E90" s="165">
        <v>200</v>
      </c>
      <c r="F90" s="165"/>
      <c r="G90" s="165">
        <f>SUM(E90:F90)</f>
        <v>200</v>
      </c>
      <c r="H90" s="165"/>
      <c r="I90" s="165">
        <f>SUM(G90:H90)</f>
        <v>200</v>
      </c>
      <c r="J90" s="165"/>
      <c r="K90" s="165">
        <f>SUM(I90:J90)</f>
        <v>200</v>
      </c>
      <c r="L90" s="165"/>
      <c r="M90" s="165">
        <f>SUM(K90:L90)</f>
        <v>200</v>
      </c>
      <c r="N90" s="165"/>
      <c r="O90" s="165">
        <f>SUM(M90:N90)</f>
        <v>200</v>
      </c>
    </row>
    <row r="91" spans="1:15" s="26" customFormat="1" ht="21" customHeight="1">
      <c r="A91" s="174"/>
      <c r="B91" s="174"/>
      <c r="C91" s="162"/>
      <c r="D91" s="167" t="s">
        <v>291</v>
      </c>
      <c r="E91" s="165">
        <v>200</v>
      </c>
      <c r="F91" s="165"/>
      <c r="G91" s="165">
        <f aca="true" t="shared" si="42" ref="G91:G97">SUM(E91:F91)</f>
        <v>200</v>
      </c>
      <c r="H91" s="165"/>
      <c r="I91" s="165">
        <f aca="true" t="shared" si="43" ref="I91:I97">SUM(G91:H91)</f>
        <v>200</v>
      </c>
      <c r="J91" s="165"/>
      <c r="K91" s="165">
        <f aca="true" t="shared" si="44" ref="K91:K97">SUM(I91:J91)</f>
        <v>200</v>
      </c>
      <c r="L91" s="165"/>
      <c r="M91" s="165">
        <f aca="true" t="shared" si="45" ref="M91:M97">SUM(K91:L91)</f>
        <v>200</v>
      </c>
      <c r="N91" s="165"/>
      <c r="O91" s="165">
        <f aca="true" t="shared" si="46" ref="O91:O97">SUM(M91:N91)</f>
        <v>200</v>
      </c>
    </row>
    <row r="92" spans="1:15" s="26" customFormat="1" ht="21" customHeight="1">
      <c r="A92" s="174"/>
      <c r="B92" s="174"/>
      <c r="C92" s="166"/>
      <c r="D92" s="167" t="s">
        <v>292</v>
      </c>
      <c r="E92" s="168">
        <v>2000</v>
      </c>
      <c r="F92" s="168"/>
      <c r="G92" s="165">
        <f t="shared" si="42"/>
        <v>2000</v>
      </c>
      <c r="H92" s="168"/>
      <c r="I92" s="165">
        <f t="shared" si="43"/>
        <v>2000</v>
      </c>
      <c r="J92" s="168"/>
      <c r="K92" s="165">
        <f t="shared" si="44"/>
        <v>2000</v>
      </c>
      <c r="L92" s="168"/>
      <c r="M92" s="165">
        <f t="shared" si="45"/>
        <v>2000</v>
      </c>
      <c r="N92" s="168"/>
      <c r="O92" s="165">
        <f t="shared" si="46"/>
        <v>2000</v>
      </c>
    </row>
    <row r="93" spans="1:15" s="26" customFormat="1" ht="21" customHeight="1">
      <c r="A93" s="166"/>
      <c r="B93" s="166"/>
      <c r="C93" s="166"/>
      <c r="D93" s="167" t="s">
        <v>304</v>
      </c>
      <c r="E93" s="168">
        <v>2000</v>
      </c>
      <c r="F93" s="168">
        <v>-1500</v>
      </c>
      <c r="G93" s="165">
        <f t="shared" si="42"/>
        <v>500</v>
      </c>
      <c r="H93" s="168"/>
      <c r="I93" s="165">
        <f t="shared" si="43"/>
        <v>500</v>
      </c>
      <c r="J93" s="168"/>
      <c r="K93" s="165">
        <f t="shared" si="44"/>
        <v>500</v>
      </c>
      <c r="L93" s="168"/>
      <c r="M93" s="165">
        <f t="shared" si="45"/>
        <v>500</v>
      </c>
      <c r="N93" s="168"/>
      <c r="O93" s="165">
        <f t="shared" si="46"/>
        <v>500</v>
      </c>
    </row>
    <row r="94" spans="1:15" s="26" customFormat="1" ht="21" customHeight="1">
      <c r="A94" s="166"/>
      <c r="B94" s="166"/>
      <c r="C94" s="166"/>
      <c r="D94" s="167" t="s">
        <v>293</v>
      </c>
      <c r="E94" s="168">
        <v>200</v>
      </c>
      <c r="F94" s="168">
        <v>-200</v>
      </c>
      <c r="G94" s="165">
        <f t="shared" si="42"/>
        <v>0</v>
      </c>
      <c r="H94" s="168"/>
      <c r="I94" s="165">
        <f t="shared" si="43"/>
        <v>0</v>
      </c>
      <c r="J94" s="168"/>
      <c r="K94" s="165">
        <f t="shared" si="44"/>
        <v>0</v>
      </c>
      <c r="L94" s="168"/>
      <c r="M94" s="165">
        <f t="shared" si="45"/>
        <v>0</v>
      </c>
      <c r="N94" s="168"/>
      <c r="O94" s="165">
        <f t="shared" si="46"/>
        <v>0</v>
      </c>
    </row>
    <row r="95" spans="1:15" s="26" customFormat="1" ht="21" customHeight="1">
      <c r="A95" s="166"/>
      <c r="B95" s="166"/>
      <c r="C95" s="166"/>
      <c r="D95" s="167" t="s">
        <v>294</v>
      </c>
      <c r="E95" s="168">
        <v>1000</v>
      </c>
      <c r="F95" s="168"/>
      <c r="G95" s="165">
        <f t="shared" si="42"/>
        <v>1000</v>
      </c>
      <c r="H95" s="168"/>
      <c r="I95" s="165">
        <f t="shared" si="43"/>
        <v>1000</v>
      </c>
      <c r="J95" s="168"/>
      <c r="K95" s="165">
        <f t="shared" si="44"/>
        <v>1000</v>
      </c>
      <c r="L95" s="168"/>
      <c r="M95" s="165">
        <f t="shared" si="45"/>
        <v>1000</v>
      </c>
      <c r="N95" s="168"/>
      <c r="O95" s="165">
        <f t="shared" si="46"/>
        <v>1000</v>
      </c>
    </row>
    <row r="96" spans="1:15" s="26" customFormat="1" ht="21" customHeight="1">
      <c r="A96" s="166"/>
      <c r="B96" s="166"/>
      <c r="C96" s="166"/>
      <c r="D96" s="167" t="s">
        <v>295</v>
      </c>
      <c r="E96" s="168">
        <v>200</v>
      </c>
      <c r="F96" s="168"/>
      <c r="G96" s="165">
        <f t="shared" si="42"/>
        <v>200</v>
      </c>
      <c r="H96" s="168"/>
      <c r="I96" s="165">
        <f t="shared" si="43"/>
        <v>200</v>
      </c>
      <c r="J96" s="168"/>
      <c r="K96" s="165">
        <f t="shared" si="44"/>
        <v>200</v>
      </c>
      <c r="L96" s="168"/>
      <c r="M96" s="165">
        <f t="shared" si="45"/>
        <v>200</v>
      </c>
      <c r="N96" s="168"/>
      <c r="O96" s="165">
        <f t="shared" si="46"/>
        <v>200</v>
      </c>
    </row>
    <row r="97" spans="1:15" s="26" customFormat="1" ht="21" customHeight="1">
      <c r="A97" s="166"/>
      <c r="B97" s="166"/>
      <c r="C97" s="166"/>
      <c r="D97" s="167" t="s">
        <v>299</v>
      </c>
      <c r="E97" s="168">
        <v>1000</v>
      </c>
      <c r="F97" s="168"/>
      <c r="G97" s="165">
        <f t="shared" si="42"/>
        <v>1000</v>
      </c>
      <c r="H97" s="168"/>
      <c r="I97" s="165">
        <f t="shared" si="43"/>
        <v>1000</v>
      </c>
      <c r="J97" s="168"/>
      <c r="K97" s="165">
        <f t="shared" si="44"/>
        <v>1000</v>
      </c>
      <c r="L97" s="168"/>
      <c r="M97" s="165">
        <f t="shared" si="45"/>
        <v>1000</v>
      </c>
      <c r="N97" s="168"/>
      <c r="O97" s="165">
        <f t="shared" si="46"/>
        <v>1000</v>
      </c>
    </row>
    <row r="98" spans="1:15" s="185" customFormat="1" ht="21" customHeight="1">
      <c r="A98" s="183"/>
      <c r="B98" s="183"/>
      <c r="C98" s="183">
        <v>4240</v>
      </c>
      <c r="D98" s="41" t="s">
        <v>126</v>
      </c>
      <c r="E98" s="184">
        <f aca="true" t="shared" si="47" ref="E98:K98">SUM(E99:E101)</f>
        <v>500</v>
      </c>
      <c r="F98" s="184">
        <f t="shared" si="47"/>
        <v>1700</v>
      </c>
      <c r="G98" s="184">
        <f t="shared" si="47"/>
        <v>2200</v>
      </c>
      <c r="H98" s="184">
        <f t="shared" si="47"/>
        <v>0</v>
      </c>
      <c r="I98" s="184">
        <f t="shared" si="47"/>
        <v>2200</v>
      </c>
      <c r="J98" s="184">
        <f t="shared" si="47"/>
        <v>0</v>
      </c>
      <c r="K98" s="184">
        <f t="shared" si="47"/>
        <v>2200</v>
      </c>
      <c r="L98" s="184">
        <f>SUM(L99:L101)</f>
        <v>0</v>
      </c>
      <c r="M98" s="184">
        <f>SUM(M99:M101)</f>
        <v>2200</v>
      </c>
      <c r="N98" s="184">
        <f>SUM(N99:N101)</f>
        <v>0</v>
      </c>
      <c r="O98" s="184">
        <f>SUM(O99:O101)</f>
        <v>2200</v>
      </c>
    </row>
    <row r="99" spans="1:15" s="185" customFormat="1" ht="21" customHeight="1">
      <c r="A99" s="183"/>
      <c r="B99" s="183"/>
      <c r="C99" s="183"/>
      <c r="D99" s="167" t="s">
        <v>293</v>
      </c>
      <c r="E99" s="184">
        <v>0</v>
      </c>
      <c r="F99" s="184">
        <v>200</v>
      </c>
      <c r="G99" s="168">
        <f>SUM(E99:F99)</f>
        <v>200</v>
      </c>
      <c r="H99" s="184"/>
      <c r="I99" s="168">
        <f>SUM(G99:H99)</f>
        <v>200</v>
      </c>
      <c r="J99" s="184"/>
      <c r="K99" s="168">
        <f>SUM(I99:J99)</f>
        <v>200</v>
      </c>
      <c r="L99" s="184"/>
      <c r="M99" s="168">
        <f>SUM(K99:L99)</f>
        <v>200</v>
      </c>
      <c r="N99" s="184"/>
      <c r="O99" s="168">
        <f>SUM(M99:N99)</f>
        <v>200</v>
      </c>
    </row>
    <row r="100" spans="1:15" s="185" customFormat="1" ht="21" customHeight="1">
      <c r="A100" s="183"/>
      <c r="B100" s="183"/>
      <c r="C100" s="183"/>
      <c r="D100" s="167" t="s">
        <v>304</v>
      </c>
      <c r="E100" s="184">
        <v>0</v>
      </c>
      <c r="F100" s="184">
        <v>1500</v>
      </c>
      <c r="G100" s="168">
        <f>SUM(E100:F100)</f>
        <v>1500</v>
      </c>
      <c r="H100" s="184"/>
      <c r="I100" s="168">
        <f>SUM(G100:H100)</f>
        <v>1500</v>
      </c>
      <c r="J100" s="184"/>
      <c r="K100" s="168">
        <f>SUM(I100:J100)</f>
        <v>1500</v>
      </c>
      <c r="L100" s="184"/>
      <c r="M100" s="168">
        <f>SUM(K100:L100)</f>
        <v>1500</v>
      </c>
      <c r="N100" s="184"/>
      <c r="O100" s="168">
        <f>SUM(M100:N100)</f>
        <v>1500</v>
      </c>
    </row>
    <row r="101" spans="1:15" s="26" customFormat="1" ht="21" customHeight="1">
      <c r="A101" s="166"/>
      <c r="B101" s="166"/>
      <c r="C101" s="166"/>
      <c r="D101" s="167" t="s">
        <v>305</v>
      </c>
      <c r="E101" s="168">
        <v>500</v>
      </c>
      <c r="F101" s="168"/>
      <c r="G101" s="168">
        <f>SUM(E101:F101)</f>
        <v>500</v>
      </c>
      <c r="H101" s="168"/>
      <c r="I101" s="168">
        <f>SUM(G101:H101)</f>
        <v>500</v>
      </c>
      <c r="J101" s="168"/>
      <c r="K101" s="168">
        <f>SUM(I101:J101)</f>
        <v>500</v>
      </c>
      <c r="L101" s="168"/>
      <c r="M101" s="168">
        <f>SUM(K101:L101)</f>
        <v>500</v>
      </c>
      <c r="N101" s="168"/>
      <c r="O101" s="168">
        <f>SUM(M101:N101)</f>
        <v>500</v>
      </c>
    </row>
    <row r="102" spans="1:15" s="26" customFormat="1" ht="21" customHeight="1">
      <c r="A102" s="162"/>
      <c r="B102" s="162">
        <v>80103</v>
      </c>
      <c r="C102" s="163"/>
      <c r="D102" s="164" t="s">
        <v>212</v>
      </c>
      <c r="E102" s="165">
        <f aca="true" t="shared" si="48" ref="E102:K102">SUM(E103,E107)</f>
        <v>1700</v>
      </c>
      <c r="F102" s="165">
        <f t="shared" si="48"/>
        <v>0</v>
      </c>
      <c r="G102" s="165">
        <f t="shared" si="48"/>
        <v>1700</v>
      </c>
      <c r="H102" s="165">
        <f t="shared" si="48"/>
        <v>0</v>
      </c>
      <c r="I102" s="165">
        <f t="shared" si="48"/>
        <v>1700</v>
      </c>
      <c r="J102" s="165">
        <f t="shared" si="48"/>
        <v>0</v>
      </c>
      <c r="K102" s="165">
        <f t="shared" si="48"/>
        <v>1700</v>
      </c>
      <c r="L102" s="165">
        <f>SUM(L103,L107)</f>
        <v>0</v>
      </c>
      <c r="M102" s="165">
        <f>SUM(M103,M107)</f>
        <v>1700</v>
      </c>
      <c r="N102" s="165">
        <f>SUM(N103,N107)</f>
        <v>0</v>
      </c>
      <c r="O102" s="165">
        <f>SUM(O103,O107)</f>
        <v>1700</v>
      </c>
    </row>
    <row r="103" spans="1:15" s="26" customFormat="1" ht="21" customHeight="1">
      <c r="A103" s="162"/>
      <c r="B103" s="162"/>
      <c r="C103" s="163">
        <v>4210</v>
      </c>
      <c r="D103" s="164" t="s">
        <v>95</v>
      </c>
      <c r="E103" s="165">
        <f aca="true" t="shared" si="49" ref="E103:K103">SUM(E104:E106)</f>
        <v>1700</v>
      </c>
      <c r="F103" s="165">
        <f t="shared" si="49"/>
        <v>-1400</v>
      </c>
      <c r="G103" s="165">
        <f t="shared" si="49"/>
        <v>300</v>
      </c>
      <c r="H103" s="165">
        <f t="shared" si="49"/>
        <v>0</v>
      </c>
      <c r="I103" s="165">
        <f t="shared" si="49"/>
        <v>300</v>
      </c>
      <c r="J103" s="165">
        <f t="shared" si="49"/>
        <v>0</v>
      </c>
      <c r="K103" s="165">
        <f t="shared" si="49"/>
        <v>300</v>
      </c>
      <c r="L103" s="165">
        <f>SUM(L104:L106)</f>
        <v>0</v>
      </c>
      <c r="M103" s="165">
        <f>SUM(M104:M106)</f>
        <v>300</v>
      </c>
      <c r="N103" s="165">
        <f>SUM(N104:N106)</f>
        <v>0</v>
      </c>
      <c r="O103" s="165">
        <f>SUM(O104:O106)</f>
        <v>300</v>
      </c>
    </row>
    <row r="104" spans="1:15" s="26" customFormat="1" ht="21" customHeight="1">
      <c r="A104" s="173"/>
      <c r="B104" s="173"/>
      <c r="C104" s="172"/>
      <c r="D104" s="167" t="s">
        <v>304</v>
      </c>
      <c r="E104" s="168">
        <v>1000</v>
      </c>
      <c r="F104" s="168">
        <v>-700</v>
      </c>
      <c r="G104" s="168">
        <f>SUM(E104:F104)</f>
        <v>300</v>
      </c>
      <c r="H104" s="168"/>
      <c r="I104" s="168">
        <f>SUM(G104:H104)</f>
        <v>300</v>
      </c>
      <c r="J104" s="168"/>
      <c r="K104" s="168">
        <f>SUM(I104:J104)</f>
        <v>300</v>
      </c>
      <c r="L104" s="168"/>
      <c r="M104" s="168">
        <f>SUM(K104:L104)</f>
        <v>300</v>
      </c>
      <c r="N104" s="168"/>
      <c r="O104" s="168">
        <f>SUM(M104:N104)</f>
        <v>300</v>
      </c>
    </row>
    <row r="105" spans="1:15" s="26" customFormat="1" ht="21" customHeight="1">
      <c r="A105" s="173"/>
      <c r="B105" s="173"/>
      <c r="C105" s="172"/>
      <c r="D105" s="167" t="s">
        <v>293</v>
      </c>
      <c r="E105" s="168">
        <v>200</v>
      </c>
      <c r="F105" s="168">
        <v>-200</v>
      </c>
      <c r="G105" s="168">
        <f>SUM(E105:F105)</f>
        <v>0</v>
      </c>
      <c r="H105" s="168"/>
      <c r="I105" s="168">
        <f>SUM(G105:H105)</f>
        <v>0</v>
      </c>
      <c r="J105" s="168"/>
      <c r="K105" s="168">
        <f>SUM(I105:J105)</f>
        <v>0</v>
      </c>
      <c r="L105" s="168"/>
      <c r="M105" s="168">
        <f>SUM(K105:L105)</f>
        <v>0</v>
      </c>
      <c r="N105" s="168"/>
      <c r="O105" s="168">
        <f>SUM(M105:N105)</f>
        <v>0</v>
      </c>
    </row>
    <row r="106" spans="1:15" s="26" customFormat="1" ht="21" customHeight="1">
      <c r="A106" s="173"/>
      <c r="B106" s="173"/>
      <c r="C106" s="172"/>
      <c r="D106" s="167" t="s">
        <v>305</v>
      </c>
      <c r="E106" s="168">
        <v>500</v>
      </c>
      <c r="F106" s="168">
        <v>-500</v>
      </c>
      <c r="G106" s="168">
        <f>SUM(E106:F106)</f>
        <v>0</v>
      </c>
      <c r="H106" s="168"/>
      <c r="I106" s="168">
        <f>SUM(G106:H106)</f>
        <v>0</v>
      </c>
      <c r="J106" s="168"/>
      <c r="K106" s="168">
        <f>SUM(I106:J106)</f>
        <v>0</v>
      </c>
      <c r="L106" s="168"/>
      <c r="M106" s="168">
        <f>SUM(K106:L106)</f>
        <v>0</v>
      </c>
      <c r="N106" s="168"/>
      <c r="O106" s="168">
        <f>SUM(M106:N106)</f>
        <v>0</v>
      </c>
    </row>
    <row r="107" spans="1:15" s="185" customFormat="1" ht="21" customHeight="1">
      <c r="A107" s="262"/>
      <c r="B107" s="262"/>
      <c r="C107" s="263">
        <v>4240</v>
      </c>
      <c r="D107" s="41" t="s">
        <v>126</v>
      </c>
      <c r="E107" s="184">
        <f aca="true" t="shared" si="50" ref="E107:K107">SUM(E108:E110)</f>
        <v>0</v>
      </c>
      <c r="F107" s="184">
        <f t="shared" si="50"/>
        <v>1400</v>
      </c>
      <c r="G107" s="184">
        <f t="shared" si="50"/>
        <v>1400</v>
      </c>
      <c r="H107" s="184">
        <f t="shared" si="50"/>
        <v>0</v>
      </c>
      <c r="I107" s="184">
        <f t="shared" si="50"/>
        <v>1400</v>
      </c>
      <c r="J107" s="184">
        <f t="shared" si="50"/>
        <v>0</v>
      </c>
      <c r="K107" s="184">
        <f t="shared" si="50"/>
        <v>1400</v>
      </c>
      <c r="L107" s="184">
        <f>SUM(L108:L110)</f>
        <v>0</v>
      </c>
      <c r="M107" s="184">
        <f>SUM(M108:M110)</f>
        <v>1400</v>
      </c>
      <c r="N107" s="184">
        <f>SUM(N108:N110)</f>
        <v>0</v>
      </c>
      <c r="O107" s="184">
        <f>SUM(O108:O110)</f>
        <v>1400</v>
      </c>
    </row>
    <row r="108" spans="1:15" s="199" customFormat="1" ht="21" customHeight="1">
      <c r="A108" s="264"/>
      <c r="B108" s="264"/>
      <c r="C108" s="265"/>
      <c r="D108" s="167" t="s">
        <v>293</v>
      </c>
      <c r="E108" s="266">
        <v>0</v>
      </c>
      <c r="F108" s="266">
        <v>200</v>
      </c>
      <c r="G108" s="266">
        <f>SUM(E108:F108)</f>
        <v>200</v>
      </c>
      <c r="H108" s="266"/>
      <c r="I108" s="266">
        <f>SUM(G108:H108)</f>
        <v>200</v>
      </c>
      <c r="J108" s="266"/>
      <c r="K108" s="266">
        <f>SUM(I108:J108)</f>
        <v>200</v>
      </c>
      <c r="L108" s="266"/>
      <c r="M108" s="266">
        <f>SUM(K108:L108)</f>
        <v>200</v>
      </c>
      <c r="N108" s="266"/>
      <c r="O108" s="266">
        <f>SUM(M108:N108)</f>
        <v>200</v>
      </c>
    </row>
    <row r="109" spans="1:15" s="199" customFormat="1" ht="21" customHeight="1">
      <c r="A109" s="264"/>
      <c r="B109" s="264"/>
      <c r="C109" s="265"/>
      <c r="D109" s="167" t="s">
        <v>305</v>
      </c>
      <c r="E109" s="266">
        <v>0</v>
      </c>
      <c r="F109" s="266">
        <v>500</v>
      </c>
      <c r="G109" s="266">
        <f>SUM(E109:F109)</f>
        <v>500</v>
      </c>
      <c r="H109" s="266"/>
      <c r="I109" s="266">
        <f>SUM(G109:H109)</f>
        <v>500</v>
      </c>
      <c r="J109" s="266"/>
      <c r="K109" s="266">
        <f>SUM(I109:J109)</f>
        <v>500</v>
      </c>
      <c r="L109" s="266"/>
      <c r="M109" s="266">
        <f>SUM(K109:L109)</f>
        <v>500</v>
      </c>
      <c r="N109" s="266"/>
      <c r="O109" s="266">
        <f>SUM(M109:N109)</f>
        <v>500</v>
      </c>
    </row>
    <row r="110" spans="1:15" s="199" customFormat="1" ht="21" customHeight="1">
      <c r="A110" s="264"/>
      <c r="B110" s="264"/>
      <c r="C110" s="265"/>
      <c r="D110" s="267" t="s">
        <v>304</v>
      </c>
      <c r="E110" s="266">
        <v>0</v>
      </c>
      <c r="F110" s="266">
        <v>700</v>
      </c>
      <c r="G110" s="266">
        <f>SUM(E110:F110)</f>
        <v>700</v>
      </c>
      <c r="H110" s="266"/>
      <c r="I110" s="266">
        <f>SUM(G110:H110)</f>
        <v>700</v>
      </c>
      <c r="J110" s="266"/>
      <c r="K110" s="266">
        <f>SUM(I110:J110)</f>
        <v>700</v>
      </c>
      <c r="L110" s="266"/>
      <c r="M110" s="266">
        <f>SUM(K110:L110)</f>
        <v>700</v>
      </c>
      <c r="N110" s="266"/>
      <c r="O110" s="266">
        <f>SUM(M110:N110)</f>
        <v>700</v>
      </c>
    </row>
    <row r="111" spans="1:15" s="26" customFormat="1" ht="21" customHeight="1">
      <c r="A111" s="162"/>
      <c r="B111" s="162">
        <v>80104</v>
      </c>
      <c r="C111" s="163"/>
      <c r="D111" s="164" t="s">
        <v>273</v>
      </c>
      <c r="E111" s="165">
        <f aca="true" t="shared" si="51" ref="E111:O111">SUM(E112)</f>
        <v>500</v>
      </c>
      <c r="F111" s="165">
        <f t="shared" si="51"/>
        <v>-500</v>
      </c>
      <c r="G111" s="165">
        <f t="shared" si="51"/>
        <v>0</v>
      </c>
      <c r="H111" s="165">
        <f t="shared" si="51"/>
        <v>0</v>
      </c>
      <c r="I111" s="165">
        <f t="shared" si="51"/>
        <v>0</v>
      </c>
      <c r="J111" s="165">
        <f t="shared" si="51"/>
        <v>0</v>
      </c>
      <c r="K111" s="165">
        <f t="shared" si="51"/>
        <v>0</v>
      </c>
      <c r="L111" s="165">
        <f t="shared" si="51"/>
        <v>0</v>
      </c>
      <c r="M111" s="165">
        <f t="shared" si="51"/>
        <v>0</v>
      </c>
      <c r="N111" s="165">
        <f t="shared" si="51"/>
        <v>0</v>
      </c>
      <c r="O111" s="165">
        <f t="shared" si="51"/>
        <v>0</v>
      </c>
    </row>
    <row r="112" spans="1:15" s="26" customFormat="1" ht="21" customHeight="1">
      <c r="A112" s="162"/>
      <c r="B112" s="162"/>
      <c r="C112" s="163">
        <v>4210</v>
      </c>
      <c r="D112" s="164" t="s">
        <v>95</v>
      </c>
      <c r="E112" s="165">
        <f aca="true" t="shared" si="52" ref="E112:O112">SUM(E113:E113)</f>
        <v>500</v>
      </c>
      <c r="F112" s="165">
        <f t="shared" si="52"/>
        <v>-500</v>
      </c>
      <c r="G112" s="165">
        <f t="shared" si="52"/>
        <v>0</v>
      </c>
      <c r="H112" s="165">
        <f t="shared" si="52"/>
        <v>0</v>
      </c>
      <c r="I112" s="165">
        <f t="shared" si="52"/>
        <v>0</v>
      </c>
      <c r="J112" s="165">
        <f t="shared" si="52"/>
        <v>0</v>
      </c>
      <c r="K112" s="165">
        <f t="shared" si="52"/>
        <v>0</v>
      </c>
      <c r="L112" s="165">
        <f t="shared" si="52"/>
        <v>0</v>
      </c>
      <c r="M112" s="165">
        <f t="shared" si="52"/>
        <v>0</v>
      </c>
      <c r="N112" s="165">
        <f t="shared" si="52"/>
        <v>0</v>
      </c>
      <c r="O112" s="165">
        <f t="shared" si="52"/>
        <v>0</v>
      </c>
    </row>
    <row r="113" spans="1:15" s="26" customFormat="1" ht="21" customHeight="1">
      <c r="A113" s="173"/>
      <c r="B113" s="173"/>
      <c r="C113" s="172"/>
      <c r="D113" s="167" t="s">
        <v>299</v>
      </c>
      <c r="E113" s="168">
        <v>500</v>
      </c>
      <c r="F113" s="168">
        <v>-500</v>
      </c>
      <c r="G113" s="168">
        <f>SUM(E113:F113)</f>
        <v>0</v>
      </c>
      <c r="H113" s="168"/>
      <c r="I113" s="168">
        <f>SUM(G113:H113)</f>
        <v>0</v>
      </c>
      <c r="J113" s="168"/>
      <c r="K113" s="168">
        <f>SUM(I113:J113)</f>
        <v>0</v>
      </c>
      <c r="L113" s="168"/>
      <c r="M113" s="168">
        <f>SUM(K113:L113)</f>
        <v>0</v>
      </c>
      <c r="N113" s="168"/>
      <c r="O113" s="168">
        <f>SUM(M113:N113)</f>
        <v>0</v>
      </c>
    </row>
    <row r="114" spans="1:15" s="26" customFormat="1" ht="21" customHeight="1">
      <c r="A114" s="162"/>
      <c r="B114" s="162">
        <v>80110</v>
      </c>
      <c r="C114" s="163"/>
      <c r="D114" s="164" t="s">
        <v>54</v>
      </c>
      <c r="E114" s="165">
        <f aca="true" t="shared" si="53" ref="E114:O114">E115</f>
        <v>1000</v>
      </c>
      <c r="F114" s="165">
        <f t="shared" si="53"/>
        <v>0</v>
      </c>
      <c r="G114" s="165">
        <f t="shared" si="53"/>
        <v>1000</v>
      </c>
      <c r="H114" s="165">
        <f t="shared" si="53"/>
        <v>0</v>
      </c>
      <c r="I114" s="165">
        <f t="shared" si="53"/>
        <v>1000</v>
      </c>
      <c r="J114" s="165">
        <f t="shared" si="53"/>
        <v>0</v>
      </c>
      <c r="K114" s="165">
        <f t="shared" si="53"/>
        <v>1000</v>
      </c>
      <c r="L114" s="165">
        <f t="shared" si="53"/>
        <v>0</v>
      </c>
      <c r="M114" s="165">
        <f t="shared" si="53"/>
        <v>1000</v>
      </c>
      <c r="N114" s="165">
        <f t="shared" si="53"/>
        <v>0</v>
      </c>
      <c r="O114" s="165">
        <f t="shared" si="53"/>
        <v>1000</v>
      </c>
    </row>
    <row r="115" spans="1:15" s="26" customFormat="1" ht="21" customHeight="1">
      <c r="A115" s="162"/>
      <c r="B115" s="162"/>
      <c r="C115" s="163">
        <v>4210</v>
      </c>
      <c r="D115" s="164" t="s">
        <v>95</v>
      </c>
      <c r="E115" s="165">
        <f aca="true" t="shared" si="54" ref="E115:O115">SUM(E116)</f>
        <v>1000</v>
      </c>
      <c r="F115" s="165">
        <f t="shared" si="54"/>
        <v>0</v>
      </c>
      <c r="G115" s="165">
        <f t="shared" si="54"/>
        <v>1000</v>
      </c>
      <c r="H115" s="165">
        <f t="shared" si="54"/>
        <v>0</v>
      </c>
      <c r="I115" s="165">
        <f t="shared" si="54"/>
        <v>1000</v>
      </c>
      <c r="J115" s="165">
        <f t="shared" si="54"/>
        <v>0</v>
      </c>
      <c r="K115" s="165">
        <f t="shared" si="54"/>
        <v>1000</v>
      </c>
      <c r="L115" s="165">
        <f t="shared" si="54"/>
        <v>0</v>
      </c>
      <c r="M115" s="165">
        <f t="shared" si="54"/>
        <v>1000</v>
      </c>
      <c r="N115" s="165">
        <f t="shared" si="54"/>
        <v>0</v>
      </c>
      <c r="O115" s="165">
        <f t="shared" si="54"/>
        <v>1000</v>
      </c>
    </row>
    <row r="116" spans="1:15" s="26" customFormat="1" ht="21" customHeight="1">
      <c r="A116" s="173"/>
      <c r="B116" s="173"/>
      <c r="C116" s="172"/>
      <c r="D116" s="167" t="s">
        <v>299</v>
      </c>
      <c r="E116" s="168">
        <v>1000</v>
      </c>
      <c r="F116" s="168"/>
      <c r="G116" s="168">
        <f>SUM(E116:F116)</f>
        <v>1000</v>
      </c>
      <c r="H116" s="168"/>
      <c r="I116" s="168">
        <f>SUM(G116:H116)</f>
        <v>1000</v>
      </c>
      <c r="J116" s="168"/>
      <c r="K116" s="168">
        <f>SUM(I116:J116)</f>
        <v>1000</v>
      </c>
      <c r="L116" s="168"/>
      <c r="M116" s="168">
        <f>SUM(K116:L116)</f>
        <v>1000</v>
      </c>
      <c r="N116" s="168"/>
      <c r="O116" s="168">
        <f>SUM(M116:N116)</f>
        <v>1000</v>
      </c>
    </row>
    <row r="117" spans="1:15" s="43" customFormat="1" ht="21" customHeight="1">
      <c r="A117" s="159">
        <v>851</v>
      </c>
      <c r="B117" s="159"/>
      <c r="C117" s="160"/>
      <c r="D117" s="161" t="s">
        <v>55</v>
      </c>
      <c r="E117" s="158">
        <f aca="true" t="shared" si="55" ref="E117:O119">SUM(E118)</f>
        <v>1200</v>
      </c>
      <c r="F117" s="158">
        <f t="shared" si="55"/>
        <v>0</v>
      </c>
      <c r="G117" s="158">
        <f t="shared" si="55"/>
        <v>1200</v>
      </c>
      <c r="H117" s="158">
        <f t="shared" si="55"/>
        <v>0</v>
      </c>
      <c r="I117" s="158">
        <f t="shared" si="55"/>
        <v>1200</v>
      </c>
      <c r="J117" s="158">
        <f t="shared" si="55"/>
        <v>0</v>
      </c>
      <c r="K117" s="158">
        <f t="shared" si="55"/>
        <v>1200</v>
      </c>
      <c r="L117" s="158">
        <f t="shared" si="55"/>
        <v>0</v>
      </c>
      <c r="M117" s="158">
        <f t="shared" si="55"/>
        <v>1200</v>
      </c>
      <c r="N117" s="158">
        <f t="shared" si="55"/>
        <v>0</v>
      </c>
      <c r="O117" s="158">
        <f t="shared" si="55"/>
        <v>1200</v>
      </c>
    </row>
    <row r="118" spans="1:15" s="26" customFormat="1" ht="21" customHeight="1">
      <c r="A118" s="162"/>
      <c r="B118" s="162">
        <v>85154</v>
      </c>
      <c r="C118" s="163"/>
      <c r="D118" s="164" t="s">
        <v>56</v>
      </c>
      <c r="E118" s="165">
        <f t="shared" si="55"/>
        <v>1200</v>
      </c>
      <c r="F118" s="165">
        <f t="shared" si="55"/>
        <v>0</v>
      </c>
      <c r="G118" s="165">
        <f t="shared" si="55"/>
        <v>1200</v>
      </c>
      <c r="H118" s="165">
        <f t="shared" si="55"/>
        <v>0</v>
      </c>
      <c r="I118" s="165">
        <f t="shared" si="55"/>
        <v>1200</v>
      </c>
      <c r="J118" s="165">
        <f t="shared" si="55"/>
        <v>0</v>
      </c>
      <c r="K118" s="165">
        <f t="shared" si="55"/>
        <v>1200</v>
      </c>
      <c r="L118" s="165">
        <f t="shared" si="55"/>
        <v>0</v>
      </c>
      <c r="M118" s="165">
        <f t="shared" si="55"/>
        <v>1200</v>
      </c>
      <c r="N118" s="165">
        <f t="shared" si="55"/>
        <v>0</v>
      </c>
      <c r="O118" s="165">
        <f t="shared" si="55"/>
        <v>1200</v>
      </c>
    </row>
    <row r="119" spans="1:15" s="26" customFormat="1" ht="21" customHeight="1">
      <c r="A119" s="162"/>
      <c r="B119" s="162"/>
      <c r="C119" s="163">
        <v>4350</v>
      </c>
      <c r="D119" s="164" t="s">
        <v>313</v>
      </c>
      <c r="E119" s="165">
        <f t="shared" si="55"/>
        <v>1200</v>
      </c>
      <c r="F119" s="165">
        <f t="shared" si="55"/>
        <v>0</v>
      </c>
      <c r="G119" s="165">
        <f t="shared" si="55"/>
        <v>1200</v>
      </c>
      <c r="H119" s="165">
        <f t="shared" si="55"/>
        <v>0</v>
      </c>
      <c r="I119" s="165">
        <f t="shared" si="55"/>
        <v>1200</v>
      </c>
      <c r="J119" s="165">
        <f t="shared" si="55"/>
        <v>0</v>
      </c>
      <c r="K119" s="165">
        <f t="shared" si="55"/>
        <v>1200</v>
      </c>
      <c r="L119" s="165">
        <f t="shared" si="55"/>
        <v>0</v>
      </c>
      <c r="M119" s="165">
        <f t="shared" si="55"/>
        <v>1200</v>
      </c>
      <c r="N119" s="165">
        <f t="shared" si="55"/>
        <v>0</v>
      </c>
      <c r="O119" s="165">
        <f t="shared" si="55"/>
        <v>1200</v>
      </c>
    </row>
    <row r="120" spans="1:15" s="28" customFormat="1" ht="21" customHeight="1">
      <c r="A120" s="173"/>
      <c r="B120" s="173"/>
      <c r="C120" s="172"/>
      <c r="D120" s="167" t="s">
        <v>299</v>
      </c>
      <c r="E120" s="168">
        <v>1200</v>
      </c>
      <c r="F120" s="168"/>
      <c r="G120" s="168">
        <f>SUM(E120:F120)</f>
        <v>1200</v>
      </c>
      <c r="H120" s="168"/>
      <c r="I120" s="168">
        <f>SUM(G120:H120)</f>
        <v>1200</v>
      </c>
      <c r="J120" s="168"/>
      <c r="K120" s="168">
        <f>SUM(I120:J120)</f>
        <v>1200</v>
      </c>
      <c r="L120" s="168"/>
      <c r="M120" s="168">
        <f>SUM(K120:L120)</f>
        <v>1200</v>
      </c>
      <c r="N120" s="168"/>
      <c r="O120" s="168">
        <f>SUM(M120:N120)</f>
        <v>1200</v>
      </c>
    </row>
    <row r="121" spans="1:15" s="9" customFormat="1" ht="21" customHeight="1">
      <c r="A121" s="155">
        <v>854</v>
      </c>
      <c r="B121" s="156"/>
      <c r="C121" s="156"/>
      <c r="D121" s="157" t="s">
        <v>61</v>
      </c>
      <c r="E121" s="158">
        <f aca="true" t="shared" si="56" ref="E121:O121">E122</f>
        <v>25890</v>
      </c>
      <c r="F121" s="158">
        <f t="shared" si="56"/>
        <v>0</v>
      </c>
      <c r="G121" s="158">
        <f t="shared" si="56"/>
        <v>25890</v>
      </c>
      <c r="H121" s="158">
        <f t="shared" si="56"/>
        <v>0</v>
      </c>
      <c r="I121" s="158">
        <f t="shared" si="56"/>
        <v>25890</v>
      </c>
      <c r="J121" s="158">
        <f t="shared" si="56"/>
        <v>0</v>
      </c>
      <c r="K121" s="158">
        <f t="shared" si="56"/>
        <v>25890</v>
      </c>
      <c r="L121" s="158">
        <f t="shared" si="56"/>
        <v>0</v>
      </c>
      <c r="M121" s="158">
        <f t="shared" si="56"/>
        <v>25890</v>
      </c>
      <c r="N121" s="158">
        <f t="shared" si="56"/>
        <v>0</v>
      </c>
      <c r="O121" s="158">
        <f t="shared" si="56"/>
        <v>25890</v>
      </c>
    </row>
    <row r="122" spans="1:15" s="26" customFormat="1" ht="22.5">
      <c r="A122" s="162"/>
      <c r="B122" s="162">
        <v>85412</v>
      </c>
      <c r="C122" s="163"/>
      <c r="D122" s="164" t="s">
        <v>314</v>
      </c>
      <c r="E122" s="165">
        <f aca="true" t="shared" si="57" ref="E122:K122">SUM(E123,E127,E133)</f>
        <v>25890</v>
      </c>
      <c r="F122" s="165">
        <f t="shared" si="57"/>
        <v>0</v>
      </c>
      <c r="G122" s="165">
        <f t="shared" si="57"/>
        <v>25890</v>
      </c>
      <c r="H122" s="165">
        <f t="shared" si="57"/>
        <v>0</v>
      </c>
      <c r="I122" s="165">
        <f t="shared" si="57"/>
        <v>25890</v>
      </c>
      <c r="J122" s="165">
        <f t="shared" si="57"/>
        <v>0</v>
      </c>
      <c r="K122" s="165">
        <f t="shared" si="57"/>
        <v>25890</v>
      </c>
      <c r="L122" s="165">
        <f>SUM(L123,L127,L133)</f>
        <v>0</v>
      </c>
      <c r="M122" s="165">
        <f>SUM(M123,M127,M133)</f>
        <v>25890</v>
      </c>
      <c r="N122" s="165">
        <f>SUM(N123,N127,N133)</f>
        <v>0</v>
      </c>
      <c r="O122" s="165">
        <f>SUM(O123,O127,O133)</f>
        <v>25890</v>
      </c>
    </row>
    <row r="123" spans="1:15" s="26" customFormat="1" ht="21" customHeight="1">
      <c r="A123" s="174"/>
      <c r="B123" s="174"/>
      <c r="C123" s="163">
        <v>4210</v>
      </c>
      <c r="D123" s="164" t="s">
        <v>95</v>
      </c>
      <c r="E123" s="165">
        <f aca="true" t="shared" si="58" ref="E123:K123">SUM(E124:E126)</f>
        <v>2390</v>
      </c>
      <c r="F123" s="165">
        <f t="shared" si="58"/>
        <v>0</v>
      </c>
      <c r="G123" s="165">
        <f t="shared" si="58"/>
        <v>2390</v>
      </c>
      <c r="H123" s="165">
        <f t="shared" si="58"/>
        <v>0</v>
      </c>
      <c r="I123" s="165">
        <f t="shared" si="58"/>
        <v>2390</v>
      </c>
      <c r="J123" s="165">
        <f t="shared" si="58"/>
        <v>0</v>
      </c>
      <c r="K123" s="165">
        <f t="shared" si="58"/>
        <v>2390</v>
      </c>
      <c r="L123" s="165">
        <f>SUM(L124:L126)</f>
        <v>0</v>
      </c>
      <c r="M123" s="165">
        <f>SUM(M124:M126)</f>
        <v>2390</v>
      </c>
      <c r="N123" s="165">
        <f>SUM(N124:N126)</f>
        <v>0</v>
      </c>
      <c r="O123" s="165">
        <f>SUM(O124:O126)</f>
        <v>2390</v>
      </c>
    </row>
    <row r="124" spans="1:15" s="26" customFormat="1" ht="21" customHeight="1">
      <c r="A124" s="174"/>
      <c r="B124" s="174"/>
      <c r="C124" s="172"/>
      <c r="D124" s="167" t="s">
        <v>297</v>
      </c>
      <c r="E124" s="168">
        <v>2000</v>
      </c>
      <c r="F124" s="168"/>
      <c r="G124" s="168">
        <f>SUM(E124:F124)</f>
        <v>2000</v>
      </c>
      <c r="H124" s="168"/>
      <c r="I124" s="168">
        <f>SUM(G124:H124)</f>
        <v>2000</v>
      </c>
      <c r="J124" s="168"/>
      <c r="K124" s="168">
        <f>SUM(I124:J124)</f>
        <v>2000</v>
      </c>
      <c r="L124" s="168"/>
      <c r="M124" s="168">
        <f>SUM(K124:L124)</f>
        <v>2000</v>
      </c>
      <c r="N124" s="168"/>
      <c r="O124" s="168">
        <f>SUM(M124:N124)</f>
        <v>2000</v>
      </c>
    </row>
    <row r="125" spans="1:15" s="26" customFormat="1" ht="21" customHeight="1">
      <c r="A125" s="174"/>
      <c r="B125" s="174"/>
      <c r="C125" s="172"/>
      <c r="D125" s="167" t="s">
        <v>299</v>
      </c>
      <c r="E125" s="168">
        <v>190</v>
      </c>
      <c r="F125" s="168"/>
      <c r="G125" s="168">
        <f>SUM(E125:F125)</f>
        <v>190</v>
      </c>
      <c r="H125" s="168"/>
      <c r="I125" s="168">
        <f>SUM(G125:H125)</f>
        <v>190</v>
      </c>
      <c r="J125" s="168"/>
      <c r="K125" s="168">
        <f>SUM(I125:J125)</f>
        <v>190</v>
      </c>
      <c r="L125" s="168"/>
      <c r="M125" s="168">
        <f>SUM(K125:L125)</f>
        <v>190</v>
      </c>
      <c r="N125" s="168"/>
      <c r="O125" s="168">
        <f>SUM(M125:N125)</f>
        <v>190</v>
      </c>
    </row>
    <row r="126" spans="1:15" s="26" customFormat="1" ht="21" customHeight="1">
      <c r="A126" s="174"/>
      <c r="B126" s="174"/>
      <c r="C126" s="172"/>
      <c r="D126" s="167" t="s">
        <v>300</v>
      </c>
      <c r="E126" s="168">
        <v>200</v>
      </c>
      <c r="F126" s="168"/>
      <c r="G126" s="168">
        <f>SUM(E126:F126)</f>
        <v>200</v>
      </c>
      <c r="H126" s="168"/>
      <c r="I126" s="168">
        <f>SUM(G126:H126)</f>
        <v>200</v>
      </c>
      <c r="J126" s="168"/>
      <c r="K126" s="168">
        <f>SUM(I126:J126)</f>
        <v>200</v>
      </c>
      <c r="L126" s="168"/>
      <c r="M126" s="168">
        <f>SUM(K126:L126)</f>
        <v>200</v>
      </c>
      <c r="N126" s="168"/>
      <c r="O126" s="168">
        <f>SUM(M126:N126)</f>
        <v>200</v>
      </c>
    </row>
    <row r="127" spans="1:15" s="26" customFormat="1" ht="21" customHeight="1">
      <c r="A127" s="162"/>
      <c r="B127" s="162"/>
      <c r="C127" s="163">
        <v>4300</v>
      </c>
      <c r="D127" s="164" t="s">
        <v>82</v>
      </c>
      <c r="E127" s="165">
        <f aca="true" t="shared" si="59" ref="E127:K127">SUM(E128:E132)</f>
        <v>7500</v>
      </c>
      <c r="F127" s="165">
        <f t="shared" si="59"/>
        <v>0</v>
      </c>
      <c r="G127" s="165">
        <f t="shared" si="59"/>
        <v>7500</v>
      </c>
      <c r="H127" s="165">
        <f t="shared" si="59"/>
        <v>0</v>
      </c>
      <c r="I127" s="165">
        <f t="shared" si="59"/>
        <v>7500</v>
      </c>
      <c r="J127" s="165">
        <f t="shared" si="59"/>
        <v>0</v>
      </c>
      <c r="K127" s="165">
        <f t="shared" si="59"/>
        <v>7500</v>
      </c>
      <c r="L127" s="165">
        <f>SUM(L128:L132)</f>
        <v>0</v>
      </c>
      <c r="M127" s="165">
        <f>SUM(M128:M132)</f>
        <v>7500</v>
      </c>
      <c r="N127" s="165">
        <f>SUM(N128:N132)</f>
        <v>0</v>
      </c>
      <c r="O127" s="165">
        <f>SUM(O128:O132)</f>
        <v>7500</v>
      </c>
    </row>
    <row r="128" spans="1:15" s="28" customFormat="1" ht="21" customHeight="1">
      <c r="A128" s="173"/>
      <c r="B128" s="173"/>
      <c r="C128" s="172"/>
      <c r="D128" s="167" t="s">
        <v>293</v>
      </c>
      <c r="E128" s="168">
        <v>700</v>
      </c>
      <c r="F128" s="168"/>
      <c r="G128" s="168">
        <f>SUM(E128:F128)</f>
        <v>700</v>
      </c>
      <c r="H128" s="168"/>
      <c r="I128" s="168">
        <f>SUM(G128:H128)</f>
        <v>700</v>
      </c>
      <c r="J128" s="168"/>
      <c r="K128" s="168">
        <f>SUM(I128:J128)</f>
        <v>700</v>
      </c>
      <c r="L128" s="168"/>
      <c r="M128" s="168">
        <f>SUM(K128:L128)</f>
        <v>700</v>
      </c>
      <c r="N128" s="168"/>
      <c r="O128" s="168">
        <f>SUM(M128:N128)</f>
        <v>700</v>
      </c>
    </row>
    <row r="129" spans="1:15" s="28" customFormat="1" ht="21" customHeight="1">
      <c r="A129" s="173"/>
      <c r="B129" s="173"/>
      <c r="C129" s="172"/>
      <c r="D129" s="167" t="s">
        <v>296</v>
      </c>
      <c r="E129" s="168">
        <v>2000</v>
      </c>
      <c r="F129" s="168"/>
      <c r="G129" s="168">
        <f>SUM(E129:F129)</f>
        <v>2000</v>
      </c>
      <c r="H129" s="168"/>
      <c r="I129" s="168">
        <f>SUM(G129:H129)</f>
        <v>2000</v>
      </c>
      <c r="J129" s="168"/>
      <c r="K129" s="168">
        <f>SUM(I129:J129)</f>
        <v>2000</v>
      </c>
      <c r="L129" s="168"/>
      <c r="M129" s="168">
        <f>SUM(K129:L129)</f>
        <v>2000</v>
      </c>
      <c r="N129" s="168"/>
      <c r="O129" s="168">
        <f>SUM(M129:N129)</f>
        <v>2000</v>
      </c>
    </row>
    <row r="130" spans="1:15" s="28" customFormat="1" ht="21" customHeight="1">
      <c r="A130" s="173"/>
      <c r="B130" s="173"/>
      <c r="C130" s="172"/>
      <c r="D130" s="167" t="s">
        <v>297</v>
      </c>
      <c r="E130" s="168">
        <v>2000</v>
      </c>
      <c r="F130" s="168"/>
      <c r="G130" s="168">
        <f>SUM(E130:F130)</f>
        <v>2000</v>
      </c>
      <c r="H130" s="168"/>
      <c r="I130" s="168">
        <f>SUM(G130:H130)</f>
        <v>2000</v>
      </c>
      <c r="J130" s="168"/>
      <c r="K130" s="168">
        <f>SUM(I130:J130)</f>
        <v>2000</v>
      </c>
      <c r="L130" s="168"/>
      <c r="M130" s="168">
        <f>SUM(K130:L130)</f>
        <v>2000</v>
      </c>
      <c r="N130" s="168"/>
      <c r="O130" s="168">
        <f>SUM(M130:N130)</f>
        <v>2000</v>
      </c>
    </row>
    <row r="131" spans="1:15" s="28" customFormat="1" ht="21" customHeight="1">
      <c r="A131" s="173"/>
      <c r="B131" s="173"/>
      <c r="C131" s="172"/>
      <c r="D131" s="167" t="s">
        <v>300</v>
      </c>
      <c r="E131" s="168">
        <v>1500</v>
      </c>
      <c r="F131" s="168"/>
      <c r="G131" s="168">
        <f>SUM(E131:F131)</f>
        <v>1500</v>
      </c>
      <c r="H131" s="168"/>
      <c r="I131" s="168">
        <f>SUM(G131:H131)</f>
        <v>1500</v>
      </c>
      <c r="J131" s="168"/>
      <c r="K131" s="168">
        <f>SUM(I131:J131)</f>
        <v>1500</v>
      </c>
      <c r="L131" s="168"/>
      <c r="M131" s="168">
        <f>SUM(K131:L131)</f>
        <v>1500</v>
      </c>
      <c r="N131" s="168"/>
      <c r="O131" s="168">
        <f>SUM(M131:N131)</f>
        <v>1500</v>
      </c>
    </row>
    <row r="132" spans="1:15" s="28" customFormat="1" ht="21" customHeight="1">
      <c r="A132" s="173"/>
      <c r="B132" s="173"/>
      <c r="C132" s="172"/>
      <c r="D132" s="167" t="s">
        <v>311</v>
      </c>
      <c r="E132" s="168">
        <v>1300</v>
      </c>
      <c r="F132" s="168"/>
      <c r="G132" s="168">
        <f>SUM(E132:F132)</f>
        <v>1300</v>
      </c>
      <c r="H132" s="168"/>
      <c r="I132" s="168">
        <f>SUM(G132:H132)</f>
        <v>1300</v>
      </c>
      <c r="J132" s="168"/>
      <c r="K132" s="168">
        <f>SUM(I132:J132)</f>
        <v>1300</v>
      </c>
      <c r="L132" s="168"/>
      <c r="M132" s="168">
        <f>SUM(K132:L132)</f>
        <v>1300</v>
      </c>
      <c r="N132" s="168"/>
      <c r="O132" s="168">
        <f>SUM(M132:N132)</f>
        <v>1300</v>
      </c>
    </row>
    <row r="133" spans="1:15" s="26" customFormat="1" ht="21" customHeight="1">
      <c r="A133" s="162"/>
      <c r="B133" s="162"/>
      <c r="C133" s="163">
        <v>6050</v>
      </c>
      <c r="D133" s="175" t="s">
        <v>76</v>
      </c>
      <c r="E133" s="165">
        <f aca="true" t="shared" si="60" ref="E133:O133">E134</f>
        <v>16000</v>
      </c>
      <c r="F133" s="165">
        <f t="shared" si="60"/>
        <v>0</v>
      </c>
      <c r="G133" s="165">
        <f t="shared" si="60"/>
        <v>16000</v>
      </c>
      <c r="H133" s="165">
        <f t="shared" si="60"/>
        <v>0</v>
      </c>
      <c r="I133" s="165">
        <f t="shared" si="60"/>
        <v>16000</v>
      </c>
      <c r="J133" s="165">
        <f t="shared" si="60"/>
        <v>0</v>
      </c>
      <c r="K133" s="165">
        <f t="shared" si="60"/>
        <v>16000</v>
      </c>
      <c r="L133" s="165">
        <f t="shared" si="60"/>
        <v>0</v>
      </c>
      <c r="M133" s="165">
        <f t="shared" si="60"/>
        <v>16000</v>
      </c>
      <c r="N133" s="165">
        <f t="shared" si="60"/>
        <v>0</v>
      </c>
      <c r="O133" s="165">
        <f t="shared" si="60"/>
        <v>16000</v>
      </c>
    </row>
    <row r="134" spans="1:15" s="28" customFormat="1" ht="21" customHeight="1">
      <c r="A134" s="173"/>
      <c r="B134" s="173"/>
      <c r="C134" s="172"/>
      <c r="D134" s="167" t="s">
        <v>306</v>
      </c>
      <c r="E134" s="168">
        <v>16000</v>
      </c>
      <c r="F134" s="168"/>
      <c r="G134" s="168">
        <f>SUM(E134:F134)</f>
        <v>16000</v>
      </c>
      <c r="H134" s="168"/>
      <c r="I134" s="168">
        <f>SUM(G134:H134)</f>
        <v>16000</v>
      </c>
      <c r="J134" s="168"/>
      <c r="K134" s="168">
        <f>SUM(I134:J134)</f>
        <v>16000</v>
      </c>
      <c r="L134" s="168"/>
      <c r="M134" s="168">
        <f>SUM(K134:L134)</f>
        <v>16000</v>
      </c>
      <c r="N134" s="168"/>
      <c r="O134" s="168">
        <f>SUM(M134:N134)</f>
        <v>16000</v>
      </c>
    </row>
    <row r="135" spans="1:15" s="9" customFormat="1" ht="21" customHeight="1">
      <c r="A135" s="155" t="s">
        <v>131</v>
      </c>
      <c r="B135" s="156"/>
      <c r="C135" s="156"/>
      <c r="D135" s="157" t="s">
        <v>63</v>
      </c>
      <c r="E135" s="158">
        <f aca="true" t="shared" si="61" ref="E135:K135">SUM(E136,E145,E168,)</f>
        <v>37660</v>
      </c>
      <c r="F135" s="158">
        <f t="shared" si="61"/>
        <v>0</v>
      </c>
      <c r="G135" s="158">
        <f t="shared" si="61"/>
        <v>37660</v>
      </c>
      <c r="H135" s="158">
        <f t="shared" si="61"/>
        <v>0</v>
      </c>
      <c r="I135" s="158">
        <f t="shared" si="61"/>
        <v>37660</v>
      </c>
      <c r="J135" s="158">
        <f t="shared" si="61"/>
        <v>500</v>
      </c>
      <c r="K135" s="158">
        <f t="shared" si="61"/>
        <v>38160</v>
      </c>
      <c r="L135" s="158">
        <f>SUM(L136,L145,L168,)</f>
        <v>300</v>
      </c>
      <c r="M135" s="158">
        <f>SUM(M136,M145,M168,)</f>
        <v>38460</v>
      </c>
      <c r="N135" s="158">
        <f>SUM(N136,N145,N168,)</f>
        <v>0</v>
      </c>
      <c r="O135" s="158">
        <f>SUM(O136,O145,O168,)</f>
        <v>38460</v>
      </c>
    </row>
    <row r="136" spans="1:15" s="26" customFormat="1" ht="21" customHeight="1">
      <c r="A136" s="162"/>
      <c r="B136" s="162" t="s">
        <v>133</v>
      </c>
      <c r="C136" s="163"/>
      <c r="D136" s="164" t="s">
        <v>134</v>
      </c>
      <c r="E136" s="165">
        <f aca="true" t="shared" si="62" ref="E136:O136">SUM(E137)</f>
        <v>2240</v>
      </c>
      <c r="F136" s="165">
        <f t="shared" si="62"/>
        <v>0</v>
      </c>
      <c r="G136" s="165">
        <f t="shared" si="62"/>
        <v>2240</v>
      </c>
      <c r="H136" s="165">
        <f t="shared" si="62"/>
        <v>250</v>
      </c>
      <c r="I136" s="165">
        <f t="shared" si="62"/>
        <v>2490</v>
      </c>
      <c r="J136" s="165">
        <f t="shared" si="62"/>
        <v>0</v>
      </c>
      <c r="K136" s="165">
        <f t="shared" si="62"/>
        <v>2490</v>
      </c>
      <c r="L136" s="165">
        <f t="shared" si="62"/>
        <v>0</v>
      </c>
      <c r="M136" s="165">
        <f t="shared" si="62"/>
        <v>2490</v>
      </c>
      <c r="N136" s="165">
        <f t="shared" si="62"/>
        <v>0</v>
      </c>
      <c r="O136" s="165">
        <f t="shared" si="62"/>
        <v>2490</v>
      </c>
    </row>
    <row r="137" spans="1:15" s="26" customFormat="1" ht="21" customHeight="1">
      <c r="A137" s="162"/>
      <c r="B137" s="162"/>
      <c r="C137" s="163">
        <v>4300</v>
      </c>
      <c r="D137" s="176" t="s">
        <v>82</v>
      </c>
      <c r="E137" s="165">
        <f aca="true" t="shared" si="63" ref="E137:K137">SUM(E138:E144)</f>
        <v>2240</v>
      </c>
      <c r="F137" s="165">
        <f t="shared" si="63"/>
        <v>0</v>
      </c>
      <c r="G137" s="165">
        <f t="shared" si="63"/>
        <v>2240</v>
      </c>
      <c r="H137" s="165">
        <f t="shared" si="63"/>
        <v>250</v>
      </c>
      <c r="I137" s="165">
        <f t="shared" si="63"/>
        <v>2490</v>
      </c>
      <c r="J137" s="165">
        <f t="shared" si="63"/>
        <v>0</v>
      </c>
      <c r="K137" s="165">
        <f t="shared" si="63"/>
        <v>2490</v>
      </c>
      <c r="L137" s="165">
        <f>SUM(L138:L144)</f>
        <v>0</v>
      </c>
      <c r="M137" s="165">
        <f>SUM(M138:M144)</f>
        <v>2490</v>
      </c>
      <c r="N137" s="165">
        <f>SUM(N138:N144)</f>
        <v>0</v>
      </c>
      <c r="O137" s="165">
        <f>SUM(O138:O144)</f>
        <v>2490</v>
      </c>
    </row>
    <row r="138" spans="1:15" s="26" customFormat="1" ht="21" customHeight="1">
      <c r="A138" s="166"/>
      <c r="B138" s="166"/>
      <c r="C138" s="166"/>
      <c r="D138" s="167" t="s">
        <v>291</v>
      </c>
      <c r="E138" s="168">
        <v>300</v>
      </c>
      <c r="F138" s="168"/>
      <c r="G138" s="168">
        <f aca="true" t="shared" si="64" ref="G138:G144">SUM(E138:F138)</f>
        <v>300</v>
      </c>
      <c r="H138" s="168"/>
      <c r="I138" s="168">
        <f aca="true" t="shared" si="65" ref="I138:I144">SUM(G138:H138)</f>
        <v>300</v>
      </c>
      <c r="J138" s="168"/>
      <c r="K138" s="168">
        <f aca="true" t="shared" si="66" ref="K138:K144">SUM(I138:J138)</f>
        <v>300</v>
      </c>
      <c r="L138" s="168"/>
      <c r="M138" s="168">
        <f aca="true" t="shared" si="67" ref="M138:M144">SUM(K138:L138)</f>
        <v>300</v>
      </c>
      <c r="N138" s="168"/>
      <c r="O138" s="168">
        <f aca="true" t="shared" si="68" ref="O138:O144">SUM(M138:N138)</f>
        <v>300</v>
      </c>
    </row>
    <row r="139" spans="1:15" s="26" customFormat="1" ht="21" customHeight="1">
      <c r="A139" s="166"/>
      <c r="B139" s="166"/>
      <c r="C139" s="166"/>
      <c r="D139" s="167" t="s">
        <v>293</v>
      </c>
      <c r="E139" s="168">
        <v>100</v>
      </c>
      <c r="F139" s="168"/>
      <c r="G139" s="168">
        <f t="shared" si="64"/>
        <v>100</v>
      </c>
      <c r="H139" s="168"/>
      <c r="I139" s="168">
        <f t="shared" si="65"/>
        <v>100</v>
      </c>
      <c r="J139" s="168"/>
      <c r="K139" s="168">
        <f t="shared" si="66"/>
        <v>100</v>
      </c>
      <c r="L139" s="168"/>
      <c r="M139" s="168">
        <f t="shared" si="67"/>
        <v>100</v>
      </c>
      <c r="N139" s="168"/>
      <c r="O139" s="168">
        <f t="shared" si="68"/>
        <v>100</v>
      </c>
    </row>
    <row r="140" spans="1:15" s="26" customFormat="1" ht="21" customHeight="1">
      <c r="A140" s="166"/>
      <c r="B140" s="166"/>
      <c r="C140" s="166"/>
      <c r="D140" s="167" t="s">
        <v>305</v>
      </c>
      <c r="E140" s="168">
        <v>300</v>
      </c>
      <c r="F140" s="168"/>
      <c r="G140" s="168">
        <f t="shared" si="64"/>
        <v>300</v>
      </c>
      <c r="H140" s="168"/>
      <c r="I140" s="168">
        <f t="shared" si="65"/>
        <v>300</v>
      </c>
      <c r="J140" s="168"/>
      <c r="K140" s="168">
        <f t="shared" si="66"/>
        <v>300</v>
      </c>
      <c r="L140" s="168"/>
      <c r="M140" s="168">
        <f t="shared" si="67"/>
        <v>300</v>
      </c>
      <c r="N140" s="168"/>
      <c r="O140" s="168">
        <f t="shared" si="68"/>
        <v>300</v>
      </c>
    </row>
    <row r="141" spans="1:15" s="26" customFormat="1" ht="21" customHeight="1">
      <c r="A141" s="166"/>
      <c r="B141" s="166"/>
      <c r="C141" s="166"/>
      <c r="D141" s="167" t="s">
        <v>297</v>
      </c>
      <c r="E141" s="168">
        <v>300</v>
      </c>
      <c r="F141" s="168"/>
      <c r="G141" s="168">
        <f t="shared" si="64"/>
        <v>300</v>
      </c>
      <c r="H141" s="168"/>
      <c r="I141" s="168">
        <f t="shared" si="65"/>
        <v>300</v>
      </c>
      <c r="J141" s="168"/>
      <c r="K141" s="168">
        <f t="shared" si="66"/>
        <v>300</v>
      </c>
      <c r="L141" s="168"/>
      <c r="M141" s="168">
        <f t="shared" si="67"/>
        <v>300</v>
      </c>
      <c r="N141" s="168"/>
      <c r="O141" s="168">
        <f t="shared" si="68"/>
        <v>300</v>
      </c>
    </row>
    <row r="142" spans="1:15" s="26" customFormat="1" ht="21" customHeight="1">
      <c r="A142" s="166"/>
      <c r="B142" s="166"/>
      <c r="C142" s="166"/>
      <c r="D142" s="167" t="s">
        <v>299</v>
      </c>
      <c r="E142" s="168">
        <v>1000</v>
      </c>
      <c r="F142" s="168"/>
      <c r="G142" s="168">
        <f t="shared" si="64"/>
        <v>1000</v>
      </c>
      <c r="H142" s="168"/>
      <c r="I142" s="168">
        <f t="shared" si="65"/>
        <v>1000</v>
      </c>
      <c r="J142" s="168"/>
      <c r="K142" s="168">
        <f t="shared" si="66"/>
        <v>1000</v>
      </c>
      <c r="L142" s="168"/>
      <c r="M142" s="168">
        <f t="shared" si="67"/>
        <v>1000</v>
      </c>
      <c r="N142" s="168"/>
      <c r="O142" s="168">
        <f t="shared" si="68"/>
        <v>1000</v>
      </c>
    </row>
    <row r="143" spans="1:15" s="26" customFormat="1" ht="21" customHeight="1">
      <c r="A143" s="166"/>
      <c r="B143" s="166"/>
      <c r="C143" s="166"/>
      <c r="D143" s="167" t="s">
        <v>304</v>
      </c>
      <c r="E143" s="168"/>
      <c r="F143" s="168"/>
      <c r="G143" s="168">
        <v>0</v>
      </c>
      <c r="H143" s="168">
        <v>250</v>
      </c>
      <c r="I143" s="168">
        <f t="shared" si="65"/>
        <v>250</v>
      </c>
      <c r="J143" s="168"/>
      <c r="K143" s="168">
        <f t="shared" si="66"/>
        <v>250</v>
      </c>
      <c r="L143" s="168"/>
      <c r="M143" s="168">
        <f t="shared" si="67"/>
        <v>250</v>
      </c>
      <c r="N143" s="168"/>
      <c r="O143" s="168">
        <f t="shared" si="68"/>
        <v>250</v>
      </c>
    </row>
    <row r="144" spans="1:15" s="26" customFormat="1" ht="21" customHeight="1">
      <c r="A144" s="166"/>
      <c r="B144" s="166"/>
      <c r="C144" s="166"/>
      <c r="D144" s="167" t="s">
        <v>306</v>
      </c>
      <c r="E144" s="168">
        <v>240</v>
      </c>
      <c r="F144" s="168"/>
      <c r="G144" s="168">
        <f t="shared" si="64"/>
        <v>240</v>
      </c>
      <c r="H144" s="168"/>
      <c r="I144" s="168">
        <f t="shared" si="65"/>
        <v>240</v>
      </c>
      <c r="J144" s="168"/>
      <c r="K144" s="168">
        <f t="shared" si="66"/>
        <v>240</v>
      </c>
      <c r="L144" s="168"/>
      <c r="M144" s="168">
        <f t="shared" si="67"/>
        <v>240</v>
      </c>
      <c r="N144" s="168"/>
      <c r="O144" s="168">
        <f t="shared" si="68"/>
        <v>240</v>
      </c>
    </row>
    <row r="145" spans="1:15" s="26" customFormat="1" ht="21" customHeight="1">
      <c r="A145" s="162"/>
      <c r="B145" s="162" t="s">
        <v>135</v>
      </c>
      <c r="C145" s="163"/>
      <c r="D145" s="164" t="s">
        <v>157</v>
      </c>
      <c r="E145" s="165">
        <f aca="true" t="shared" si="69" ref="E145:K145">SUM(E146,E162)</f>
        <v>32420</v>
      </c>
      <c r="F145" s="165">
        <f t="shared" si="69"/>
        <v>0</v>
      </c>
      <c r="G145" s="165">
        <f t="shared" si="69"/>
        <v>32420</v>
      </c>
      <c r="H145" s="165">
        <f t="shared" si="69"/>
        <v>-250</v>
      </c>
      <c r="I145" s="165">
        <f t="shared" si="69"/>
        <v>32170</v>
      </c>
      <c r="J145" s="165">
        <f t="shared" si="69"/>
        <v>-500</v>
      </c>
      <c r="K145" s="165">
        <f t="shared" si="69"/>
        <v>31670</v>
      </c>
      <c r="L145" s="165">
        <f>SUM(L146,L162)</f>
        <v>300</v>
      </c>
      <c r="M145" s="165">
        <f>SUM(M146,M162)</f>
        <v>31970</v>
      </c>
      <c r="N145" s="165">
        <f>SUM(N146,N162)</f>
        <v>0</v>
      </c>
      <c r="O145" s="165">
        <f>SUM(O146,O162)</f>
        <v>31970</v>
      </c>
    </row>
    <row r="146" spans="1:15" s="26" customFormat="1" ht="21" customHeight="1">
      <c r="A146" s="162"/>
      <c r="B146" s="162"/>
      <c r="C146" s="162" t="s">
        <v>309</v>
      </c>
      <c r="D146" s="164" t="s">
        <v>95</v>
      </c>
      <c r="E146" s="165">
        <f aca="true" t="shared" si="70" ref="E146:K146">SUM(E147:E161)</f>
        <v>26220</v>
      </c>
      <c r="F146" s="165">
        <f t="shared" si="70"/>
        <v>0</v>
      </c>
      <c r="G146" s="165">
        <f t="shared" si="70"/>
        <v>26220</v>
      </c>
      <c r="H146" s="165">
        <f t="shared" si="70"/>
        <v>-250</v>
      </c>
      <c r="I146" s="165">
        <f t="shared" si="70"/>
        <v>25970</v>
      </c>
      <c r="J146" s="165">
        <f t="shared" si="70"/>
        <v>-200</v>
      </c>
      <c r="K146" s="165">
        <f t="shared" si="70"/>
        <v>25770</v>
      </c>
      <c r="L146" s="165">
        <f>SUM(L147:L161)</f>
        <v>300</v>
      </c>
      <c r="M146" s="165">
        <f>SUM(M147:M161)</f>
        <v>26070</v>
      </c>
      <c r="N146" s="165">
        <f>SUM(N147:N161)</f>
        <v>0</v>
      </c>
      <c r="O146" s="165">
        <f>SUM(O147:O161)</f>
        <v>26070</v>
      </c>
    </row>
    <row r="147" spans="1:15" s="26" customFormat="1" ht="21" customHeight="1">
      <c r="A147" s="166"/>
      <c r="B147" s="166"/>
      <c r="C147" s="166"/>
      <c r="D147" s="167" t="s">
        <v>302</v>
      </c>
      <c r="E147" s="168">
        <v>100</v>
      </c>
      <c r="F147" s="168"/>
      <c r="G147" s="168">
        <f>SUM(E147:F147)</f>
        <v>100</v>
      </c>
      <c r="H147" s="168"/>
      <c r="I147" s="168">
        <f>SUM(G147:H147)</f>
        <v>100</v>
      </c>
      <c r="J147" s="168"/>
      <c r="K147" s="168">
        <f>SUM(I147:J147)</f>
        <v>100</v>
      </c>
      <c r="L147" s="168"/>
      <c r="M147" s="168">
        <f>SUM(K147:L147)</f>
        <v>100</v>
      </c>
      <c r="N147" s="168"/>
      <c r="O147" s="168">
        <f>SUM(M147:N147)</f>
        <v>100</v>
      </c>
    </row>
    <row r="148" spans="1:15" s="26" customFormat="1" ht="21" customHeight="1">
      <c r="A148" s="166"/>
      <c r="B148" s="166"/>
      <c r="C148" s="166"/>
      <c r="D148" s="167" t="s">
        <v>303</v>
      </c>
      <c r="E148" s="168">
        <v>300</v>
      </c>
      <c r="F148" s="168"/>
      <c r="G148" s="168">
        <f aca="true" t="shared" si="71" ref="G148:G161">SUM(E148:F148)</f>
        <v>300</v>
      </c>
      <c r="H148" s="168"/>
      <c r="I148" s="168">
        <f aca="true" t="shared" si="72" ref="I148:I161">SUM(G148:H148)</f>
        <v>300</v>
      </c>
      <c r="J148" s="168"/>
      <c r="K148" s="168">
        <f aca="true" t="shared" si="73" ref="K148:K161">SUM(I148:J148)</f>
        <v>300</v>
      </c>
      <c r="L148" s="168"/>
      <c r="M148" s="168">
        <f aca="true" t="shared" si="74" ref="M148:M161">SUM(K148:L148)</f>
        <v>300</v>
      </c>
      <c r="N148" s="168"/>
      <c r="O148" s="168">
        <f aca="true" t="shared" si="75" ref="O148:O161">SUM(M148:N148)</f>
        <v>300</v>
      </c>
    </row>
    <row r="149" spans="1:15" s="26" customFormat="1" ht="21" customHeight="1">
      <c r="A149" s="166"/>
      <c r="B149" s="166"/>
      <c r="C149" s="166"/>
      <c r="D149" s="167" t="s">
        <v>291</v>
      </c>
      <c r="E149" s="168">
        <v>700</v>
      </c>
      <c r="F149" s="168"/>
      <c r="G149" s="168">
        <f t="shared" si="71"/>
        <v>700</v>
      </c>
      <c r="H149" s="168"/>
      <c r="I149" s="168">
        <f t="shared" si="72"/>
        <v>700</v>
      </c>
      <c r="J149" s="168">
        <v>-200</v>
      </c>
      <c r="K149" s="168">
        <f t="shared" si="73"/>
        <v>500</v>
      </c>
      <c r="L149" s="168"/>
      <c r="M149" s="168">
        <f t="shared" si="74"/>
        <v>500</v>
      </c>
      <c r="N149" s="168"/>
      <c r="O149" s="168">
        <f t="shared" si="75"/>
        <v>500</v>
      </c>
    </row>
    <row r="150" spans="1:15" s="26" customFormat="1" ht="21" customHeight="1">
      <c r="A150" s="166"/>
      <c r="B150" s="166"/>
      <c r="C150" s="166"/>
      <c r="D150" s="167" t="s">
        <v>292</v>
      </c>
      <c r="E150" s="168">
        <v>1000</v>
      </c>
      <c r="F150" s="168"/>
      <c r="G150" s="168">
        <f t="shared" si="71"/>
        <v>1000</v>
      </c>
      <c r="H150" s="168"/>
      <c r="I150" s="168">
        <f t="shared" si="72"/>
        <v>1000</v>
      </c>
      <c r="J150" s="168"/>
      <c r="K150" s="168">
        <f t="shared" si="73"/>
        <v>1000</v>
      </c>
      <c r="L150" s="168"/>
      <c r="M150" s="168">
        <f t="shared" si="74"/>
        <v>1000</v>
      </c>
      <c r="N150" s="168"/>
      <c r="O150" s="168">
        <f t="shared" si="75"/>
        <v>1000</v>
      </c>
    </row>
    <row r="151" spans="1:15" s="26" customFormat="1" ht="21" customHeight="1">
      <c r="A151" s="166"/>
      <c r="B151" s="166"/>
      <c r="C151" s="166"/>
      <c r="D151" s="167" t="s">
        <v>304</v>
      </c>
      <c r="E151" s="168">
        <v>3500</v>
      </c>
      <c r="F151" s="168"/>
      <c r="G151" s="168">
        <f t="shared" si="71"/>
        <v>3500</v>
      </c>
      <c r="H151" s="168">
        <v>-250</v>
      </c>
      <c r="I151" s="168">
        <f t="shared" si="72"/>
        <v>3250</v>
      </c>
      <c r="J151" s="168"/>
      <c r="K151" s="168">
        <f t="shared" si="73"/>
        <v>3250</v>
      </c>
      <c r="L151" s="168"/>
      <c r="M151" s="168">
        <f t="shared" si="74"/>
        <v>3250</v>
      </c>
      <c r="N151" s="168"/>
      <c r="O151" s="168">
        <f t="shared" si="75"/>
        <v>3250</v>
      </c>
    </row>
    <row r="152" spans="1:15" s="26" customFormat="1" ht="21" customHeight="1">
      <c r="A152" s="166"/>
      <c r="B152" s="166"/>
      <c r="C152" s="166"/>
      <c r="D152" s="167" t="s">
        <v>293</v>
      </c>
      <c r="E152" s="168">
        <v>700</v>
      </c>
      <c r="F152" s="168"/>
      <c r="G152" s="168">
        <f t="shared" si="71"/>
        <v>700</v>
      </c>
      <c r="H152" s="168"/>
      <c r="I152" s="168">
        <f t="shared" si="72"/>
        <v>700</v>
      </c>
      <c r="J152" s="168"/>
      <c r="K152" s="168">
        <f t="shared" si="73"/>
        <v>700</v>
      </c>
      <c r="L152" s="168"/>
      <c r="M152" s="168">
        <f t="shared" si="74"/>
        <v>700</v>
      </c>
      <c r="N152" s="168"/>
      <c r="O152" s="168">
        <f t="shared" si="75"/>
        <v>700</v>
      </c>
    </row>
    <row r="153" spans="1:15" s="26" customFormat="1" ht="21" customHeight="1">
      <c r="A153" s="166"/>
      <c r="B153" s="166"/>
      <c r="C153" s="166"/>
      <c r="D153" s="167" t="s">
        <v>294</v>
      </c>
      <c r="E153" s="168">
        <v>500</v>
      </c>
      <c r="F153" s="168"/>
      <c r="G153" s="168">
        <f t="shared" si="71"/>
        <v>500</v>
      </c>
      <c r="H153" s="168"/>
      <c r="I153" s="168">
        <f t="shared" si="72"/>
        <v>500</v>
      </c>
      <c r="J153" s="168"/>
      <c r="K153" s="168">
        <f t="shared" si="73"/>
        <v>500</v>
      </c>
      <c r="L153" s="168"/>
      <c r="M153" s="168">
        <f t="shared" si="74"/>
        <v>500</v>
      </c>
      <c r="N153" s="168"/>
      <c r="O153" s="168">
        <f t="shared" si="75"/>
        <v>500</v>
      </c>
    </row>
    <row r="154" spans="1:15" s="26" customFormat="1" ht="21" customHeight="1">
      <c r="A154" s="166"/>
      <c r="B154" s="166"/>
      <c r="C154" s="166"/>
      <c r="D154" s="167" t="s">
        <v>295</v>
      </c>
      <c r="E154" s="168">
        <v>500</v>
      </c>
      <c r="F154" s="168"/>
      <c r="G154" s="168">
        <f t="shared" si="71"/>
        <v>500</v>
      </c>
      <c r="H154" s="168"/>
      <c r="I154" s="168">
        <f t="shared" si="72"/>
        <v>500</v>
      </c>
      <c r="J154" s="168"/>
      <c r="K154" s="168">
        <f t="shared" si="73"/>
        <v>500</v>
      </c>
      <c r="L154" s="168"/>
      <c r="M154" s="168">
        <f t="shared" si="74"/>
        <v>500</v>
      </c>
      <c r="N154" s="168"/>
      <c r="O154" s="168">
        <f t="shared" si="75"/>
        <v>500</v>
      </c>
    </row>
    <row r="155" spans="1:15" s="178" customFormat="1" ht="21" customHeight="1">
      <c r="A155" s="177"/>
      <c r="B155" s="177"/>
      <c r="C155" s="177"/>
      <c r="D155" s="167" t="s">
        <v>305</v>
      </c>
      <c r="E155" s="168">
        <v>3000</v>
      </c>
      <c r="F155" s="168"/>
      <c r="G155" s="168">
        <f t="shared" si="71"/>
        <v>3000</v>
      </c>
      <c r="H155" s="168"/>
      <c r="I155" s="168">
        <f t="shared" si="72"/>
        <v>3000</v>
      </c>
      <c r="J155" s="168"/>
      <c r="K155" s="168">
        <f t="shared" si="73"/>
        <v>3000</v>
      </c>
      <c r="L155" s="168"/>
      <c r="M155" s="168">
        <f t="shared" si="74"/>
        <v>3000</v>
      </c>
      <c r="N155" s="168"/>
      <c r="O155" s="168">
        <f t="shared" si="75"/>
        <v>3000</v>
      </c>
    </row>
    <row r="156" spans="1:15" s="26" customFormat="1" ht="21" customHeight="1">
      <c r="A156" s="166"/>
      <c r="B156" s="166"/>
      <c r="C156" s="166"/>
      <c r="D156" s="167" t="s">
        <v>296</v>
      </c>
      <c r="E156" s="168">
        <v>1500</v>
      </c>
      <c r="F156" s="168"/>
      <c r="G156" s="168">
        <f t="shared" si="71"/>
        <v>1500</v>
      </c>
      <c r="H156" s="168"/>
      <c r="I156" s="168">
        <f t="shared" si="72"/>
        <v>1500</v>
      </c>
      <c r="J156" s="168"/>
      <c r="K156" s="168">
        <f t="shared" si="73"/>
        <v>1500</v>
      </c>
      <c r="L156" s="168"/>
      <c r="M156" s="168">
        <f t="shared" si="74"/>
        <v>1500</v>
      </c>
      <c r="N156" s="168"/>
      <c r="O156" s="168">
        <f t="shared" si="75"/>
        <v>1500</v>
      </c>
    </row>
    <row r="157" spans="1:15" s="26" customFormat="1" ht="21" customHeight="1">
      <c r="A157" s="166"/>
      <c r="B157" s="166"/>
      <c r="C157" s="166"/>
      <c r="D157" s="167" t="s">
        <v>297</v>
      </c>
      <c r="E157" s="168">
        <v>3300</v>
      </c>
      <c r="F157" s="168"/>
      <c r="G157" s="168">
        <f t="shared" si="71"/>
        <v>3300</v>
      </c>
      <c r="H157" s="168"/>
      <c r="I157" s="168">
        <f t="shared" si="72"/>
        <v>3300</v>
      </c>
      <c r="J157" s="168"/>
      <c r="K157" s="168">
        <f t="shared" si="73"/>
        <v>3300</v>
      </c>
      <c r="L157" s="168"/>
      <c r="M157" s="168">
        <f t="shared" si="74"/>
        <v>3300</v>
      </c>
      <c r="N157" s="168"/>
      <c r="O157" s="168">
        <f t="shared" si="75"/>
        <v>3300</v>
      </c>
    </row>
    <row r="158" spans="1:15" s="26" customFormat="1" ht="21" customHeight="1">
      <c r="A158" s="166"/>
      <c r="B158" s="166"/>
      <c r="C158" s="166"/>
      <c r="D158" s="167" t="s">
        <v>299</v>
      </c>
      <c r="E158" s="168">
        <v>4320</v>
      </c>
      <c r="F158" s="168"/>
      <c r="G158" s="168">
        <f t="shared" si="71"/>
        <v>4320</v>
      </c>
      <c r="H158" s="168"/>
      <c r="I158" s="168">
        <f t="shared" si="72"/>
        <v>4320</v>
      </c>
      <c r="J158" s="168"/>
      <c r="K158" s="168">
        <f t="shared" si="73"/>
        <v>4320</v>
      </c>
      <c r="L158" s="168"/>
      <c r="M158" s="168">
        <f t="shared" si="74"/>
        <v>4320</v>
      </c>
      <c r="N158" s="168"/>
      <c r="O158" s="168">
        <f t="shared" si="75"/>
        <v>4320</v>
      </c>
    </row>
    <row r="159" spans="1:15" s="26" customFormat="1" ht="21" customHeight="1">
      <c r="A159" s="166"/>
      <c r="B159" s="166"/>
      <c r="C159" s="166"/>
      <c r="D159" s="167" t="s">
        <v>300</v>
      </c>
      <c r="E159" s="168">
        <v>2300</v>
      </c>
      <c r="F159" s="168"/>
      <c r="G159" s="168">
        <f t="shared" si="71"/>
        <v>2300</v>
      </c>
      <c r="H159" s="168"/>
      <c r="I159" s="168">
        <f t="shared" si="72"/>
        <v>2300</v>
      </c>
      <c r="J159" s="168"/>
      <c r="K159" s="168">
        <f t="shared" si="73"/>
        <v>2300</v>
      </c>
      <c r="L159" s="168">
        <v>300</v>
      </c>
      <c r="M159" s="168">
        <f t="shared" si="74"/>
        <v>2600</v>
      </c>
      <c r="N159" s="168"/>
      <c r="O159" s="168">
        <f t="shared" si="75"/>
        <v>2600</v>
      </c>
    </row>
    <row r="160" spans="1:15" s="26" customFormat="1" ht="21" customHeight="1">
      <c r="A160" s="166"/>
      <c r="B160" s="166"/>
      <c r="C160" s="166"/>
      <c r="D160" s="167" t="s">
        <v>306</v>
      </c>
      <c r="E160" s="168">
        <v>3000</v>
      </c>
      <c r="F160" s="168"/>
      <c r="G160" s="168">
        <f t="shared" si="71"/>
        <v>3000</v>
      </c>
      <c r="H160" s="168"/>
      <c r="I160" s="168">
        <f t="shared" si="72"/>
        <v>3000</v>
      </c>
      <c r="J160" s="168"/>
      <c r="K160" s="168">
        <f t="shared" si="73"/>
        <v>3000</v>
      </c>
      <c r="L160" s="168"/>
      <c r="M160" s="168">
        <f t="shared" si="74"/>
        <v>3000</v>
      </c>
      <c r="N160" s="168"/>
      <c r="O160" s="168">
        <f t="shared" si="75"/>
        <v>3000</v>
      </c>
    </row>
    <row r="161" spans="1:15" s="26" customFormat="1" ht="21" customHeight="1">
      <c r="A161" s="166"/>
      <c r="B161" s="166"/>
      <c r="C161" s="166"/>
      <c r="D161" s="167" t="s">
        <v>311</v>
      </c>
      <c r="E161" s="168">
        <v>1500</v>
      </c>
      <c r="F161" s="168"/>
      <c r="G161" s="168">
        <f t="shared" si="71"/>
        <v>1500</v>
      </c>
      <c r="H161" s="168"/>
      <c r="I161" s="168">
        <f t="shared" si="72"/>
        <v>1500</v>
      </c>
      <c r="J161" s="168"/>
      <c r="K161" s="168">
        <f t="shared" si="73"/>
        <v>1500</v>
      </c>
      <c r="L161" s="168"/>
      <c r="M161" s="168">
        <f t="shared" si="74"/>
        <v>1500</v>
      </c>
      <c r="N161" s="168"/>
      <c r="O161" s="168">
        <f t="shared" si="75"/>
        <v>1500</v>
      </c>
    </row>
    <row r="162" spans="1:15" s="26" customFormat="1" ht="21" customHeight="1">
      <c r="A162" s="162"/>
      <c r="B162" s="162"/>
      <c r="C162" s="162" t="s">
        <v>315</v>
      </c>
      <c r="D162" s="164" t="s">
        <v>82</v>
      </c>
      <c r="E162" s="165">
        <f aca="true" t="shared" si="76" ref="E162:K162">SUM(E163:E167)</f>
        <v>6200</v>
      </c>
      <c r="F162" s="165">
        <f t="shared" si="76"/>
        <v>0</v>
      </c>
      <c r="G162" s="165">
        <f t="shared" si="76"/>
        <v>6200</v>
      </c>
      <c r="H162" s="165">
        <f t="shared" si="76"/>
        <v>0</v>
      </c>
      <c r="I162" s="165">
        <f t="shared" si="76"/>
        <v>6200</v>
      </c>
      <c r="J162" s="165">
        <f t="shared" si="76"/>
        <v>-300</v>
      </c>
      <c r="K162" s="165">
        <f t="shared" si="76"/>
        <v>5900</v>
      </c>
      <c r="L162" s="165">
        <f>SUM(L163:L167)</f>
        <v>0</v>
      </c>
      <c r="M162" s="165">
        <f>SUM(M163:M167)</f>
        <v>5900</v>
      </c>
      <c r="N162" s="165">
        <f>SUM(N163:N167)</f>
        <v>0</v>
      </c>
      <c r="O162" s="165">
        <f>SUM(O163:O167)</f>
        <v>5900</v>
      </c>
    </row>
    <row r="163" spans="1:15" s="26" customFormat="1" ht="21" customHeight="1">
      <c r="A163" s="162"/>
      <c r="B163" s="162"/>
      <c r="C163" s="162"/>
      <c r="D163" s="167" t="s">
        <v>291</v>
      </c>
      <c r="E163" s="168">
        <v>300</v>
      </c>
      <c r="F163" s="168"/>
      <c r="G163" s="168">
        <f>SUM(E163:F163)</f>
        <v>300</v>
      </c>
      <c r="H163" s="168"/>
      <c r="I163" s="168">
        <f>SUM(G163:H163)</f>
        <v>300</v>
      </c>
      <c r="J163" s="168"/>
      <c r="K163" s="168">
        <f>SUM(I163:J163)</f>
        <v>300</v>
      </c>
      <c r="L163" s="168"/>
      <c r="M163" s="168">
        <f>SUM(K163:L163)</f>
        <v>300</v>
      </c>
      <c r="N163" s="168"/>
      <c r="O163" s="168">
        <f>SUM(M163:N163)</f>
        <v>300</v>
      </c>
    </row>
    <row r="164" spans="1:15" s="26" customFormat="1" ht="21" customHeight="1">
      <c r="A164" s="166"/>
      <c r="B164" s="166"/>
      <c r="C164" s="166"/>
      <c r="D164" s="167" t="s">
        <v>294</v>
      </c>
      <c r="E164" s="168">
        <v>1000</v>
      </c>
      <c r="F164" s="168"/>
      <c r="G164" s="168">
        <f>SUM(E164:F164)</f>
        <v>1000</v>
      </c>
      <c r="H164" s="168"/>
      <c r="I164" s="168">
        <f>SUM(G164:H164)</f>
        <v>1000</v>
      </c>
      <c r="J164" s="168"/>
      <c r="K164" s="168">
        <f>SUM(I164:J164)</f>
        <v>1000</v>
      </c>
      <c r="L164" s="168"/>
      <c r="M164" s="168">
        <f>SUM(K164:L164)</f>
        <v>1000</v>
      </c>
      <c r="N164" s="168"/>
      <c r="O164" s="168">
        <f>SUM(M164:N164)</f>
        <v>1000</v>
      </c>
    </row>
    <row r="165" spans="1:15" s="26" customFormat="1" ht="21" customHeight="1">
      <c r="A165" s="166"/>
      <c r="B165" s="166"/>
      <c r="C165" s="166"/>
      <c r="D165" s="167" t="s">
        <v>295</v>
      </c>
      <c r="E165" s="168">
        <v>900</v>
      </c>
      <c r="F165" s="168"/>
      <c r="G165" s="168">
        <f>SUM(E165:F165)</f>
        <v>900</v>
      </c>
      <c r="H165" s="168"/>
      <c r="I165" s="168">
        <f>SUM(G165:H165)</f>
        <v>900</v>
      </c>
      <c r="J165" s="168"/>
      <c r="K165" s="168">
        <f>SUM(I165:J165)</f>
        <v>900</v>
      </c>
      <c r="L165" s="168"/>
      <c r="M165" s="168">
        <f>SUM(K165:L165)</f>
        <v>900</v>
      </c>
      <c r="N165" s="168"/>
      <c r="O165" s="168">
        <f>SUM(M165:N165)</f>
        <v>900</v>
      </c>
    </row>
    <row r="166" spans="1:15" s="26" customFormat="1" ht="21" customHeight="1">
      <c r="A166" s="166"/>
      <c r="B166" s="166"/>
      <c r="C166" s="166"/>
      <c r="D166" s="167" t="s">
        <v>296</v>
      </c>
      <c r="E166" s="168">
        <v>3000</v>
      </c>
      <c r="F166" s="168"/>
      <c r="G166" s="168">
        <f>SUM(E166:F166)</f>
        <v>3000</v>
      </c>
      <c r="H166" s="168"/>
      <c r="I166" s="168">
        <f>SUM(G166:H166)</f>
        <v>3000</v>
      </c>
      <c r="J166" s="168"/>
      <c r="K166" s="168">
        <f>SUM(I166:J166)</f>
        <v>3000</v>
      </c>
      <c r="L166" s="168"/>
      <c r="M166" s="168">
        <f>SUM(K166:L166)</f>
        <v>3000</v>
      </c>
      <c r="N166" s="168"/>
      <c r="O166" s="168">
        <f>SUM(M166:N166)</f>
        <v>3000</v>
      </c>
    </row>
    <row r="167" spans="1:15" s="26" customFormat="1" ht="21" customHeight="1">
      <c r="A167" s="166"/>
      <c r="B167" s="166"/>
      <c r="C167" s="166"/>
      <c r="D167" s="167" t="s">
        <v>299</v>
      </c>
      <c r="E167" s="168">
        <v>1000</v>
      </c>
      <c r="F167" s="168"/>
      <c r="G167" s="168">
        <f>SUM(E167:F167)</f>
        <v>1000</v>
      </c>
      <c r="H167" s="168"/>
      <c r="I167" s="168">
        <f>SUM(G167:H167)</f>
        <v>1000</v>
      </c>
      <c r="J167" s="168">
        <v>-300</v>
      </c>
      <c r="K167" s="168">
        <f>SUM(I167:J167)</f>
        <v>700</v>
      </c>
      <c r="L167" s="168"/>
      <c r="M167" s="168">
        <f>SUM(K167:L167)</f>
        <v>700</v>
      </c>
      <c r="N167" s="168"/>
      <c r="O167" s="168">
        <f>SUM(M167:N167)</f>
        <v>700</v>
      </c>
    </row>
    <row r="168" spans="1:15" s="26" customFormat="1" ht="21" customHeight="1">
      <c r="A168" s="162"/>
      <c r="B168" s="162" t="s">
        <v>138</v>
      </c>
      <c r="C168" s="163"/>
      <c r="D168" s="164" t="s">
        <v>139</v>
      </c>
      <c r="E168" s="165">
        <f aca="true" t="shared" si="77" ref="E168:O168">SUM(E169)</f>
        <v>3000</v>
      </c>
      <c r="F168" s="165">
        <f t="shared" si="77"/>
        <v>0</v>
      </c>
      <c r="G168" s="165">
        <f t="shared" si="77"/>
        <v>3000</v>
      </c>
      <c r="H168" s="165">
        <f t="shared" si="77"/>
        <v>0</v>
      </c>
      <c r="I168" s="165">
        <f t="shared" si="77"/>
        <v>3000</v>
      </c>
      <c r="J168" s="165">
        <f t="shared" si="77"/>
        <v>1000</v>
      </c>
      <c r="K168" s="165">
        <f t="shared" si="77"/>
        <v>4000</v>
      </c>
      <c r="L168" s="165">
        <f t="shared" si="77"/>
        <v>0</v>
      </c>
      <c r="M168" s="165">
        <f t="shared" si="77"/>
        <v>4000</v>
      </c>
      <c r="N168" s="165">
        <f t="shared" si="77"/>
        <v>0</v>
      </c>
      <c r="O168" s="165">
        <f t="shared" si="77"/>
        <v>4000</v>
      </c>
    </row>
    <row r="169" spans="1:15" s="26" customFormat="1" ht="21" customHeight="1">
      <c r="A169" s="162"/>
      <c r="B169" s="162"/>
      <c r="C169" s="163">
        <v>4300</v>
      </c>
      <c r="D169" s="179" t="s">
        <v>82</v>
      </c>
      <c r="E169" s="165">
        <f aca="true" t="shared" si="78" ref="E169:K169">SUM(E170:E172)</f>
        <v>3000</v>
      </c>
      <c r="F169" s="165">
        <f t="shared" si="78"/>
        <v>0</v>
      </c>
      <c r="G169" s="165">
        <f t="shared" si="78"/>
        <v>3000</v>
      </c>
      <c r="H169" s="165">
        <f t="shared" si="78"/>
        <v>0</v>
      </c>
      <c r="I169" s="165">
        <f t="shared" si="78"/>
        <v>3000</v>
      </c>
      <c r="J169" s="165">
        <f t="shared" si="78"/>
        <v>1000</v>
      </c>
      <c r="K169" s="165">
        <f t="shared" si="78"/>
        <v>4000</v>
      </c>
      <c r="L169" s="165">
        <f>SUM(L170:L172)</f>
        <v>0</v>
      </c>
      <c r="M169" s="165">
        <f>SUM(M170:M172)</f>
        <v>4000</v>
      </c>
      <c r="N169" s="165">
        <f>SUM(N170:N172)</f>
        <v>0</v>
      </c>
      <c r="O169" s="165">
        <f>SUM(O170:O172)</f>
        <v>4000</v>
      </c>
    </row>
    <row r="170" spans="1:15" s="199" customFormat="1" ht="21" customHeight="1">
      <c r="A170" s="264"/>
      <c r="B170" s="264"/>
      <c r="C170" s="265"/>
      <c r="D170" s="267" t="s">
        <v>292</v>
      </c>
      <c r="E170" s="266">
        <v>2000</v>
      </c>
      <c r="F170" s="266"/>
      <c r="G170" s="266">
        <f>SUM(E170:F170)</f>
        <v>2000</v>
      </c>
      <c r="H170" s="266"/>
      <c r="I170" s="266">
        <f>SUM(G170:H170)</f>
        <v>2000</v>
      </c>
      <c r="J170" s="266"/>
      <c r="K170" s="266">
        <f>SUM(I170:J170)</f>
        <v>2000</v>
      </c>
      <c r="L170" s="266"/>
      <c r="M170" s="266">
        <f>SUM(K170:L170)</f>
        <v>2000</v>
      </c>
      <c r="N170" s="266"/>
      <c r="O170" s="266">
        <f>SUM(M170:N170)</f>
        <v>2000</v>
      </c>
    </row>
    <row r="171" spans="1:15" s="199" customFormat="1" ht="21" customHeight="1">
      <c r="A171" s="264"/>
      <c r="B171" s="264"/>
      <c r="C171" s="265"/>
      <c r="D171" s="267" t="s">
        <v>291</v>
      </c>
      <c r="E171" s="266"/>
      <c r="F171" s="266"/>
      <c r="G171" s="266"/>
      <c r="H171" s="266"/>
      <c r="I171" s="266">
        <v>0</v>
      </c>
      <c r="J171" s="266">
        <v>1000</v>
      </c>
      <c r="K171" s="266">
        <f>SUM(I171:J171)</f>
        <v>1000</v>
      </c>
      <c r="L171" s="266"/>
      <c r="M171" s="266">
        <f>SUM(K171:L171)</f>
        <v>1000</v>
      </c>
      <c r="N171" s="266"/>
      <c r="O171" s="266">
        <f>SUM(M171:N171)</f>
        <v>1000</v>
      </c>
    </row>
    <row r="172" spans="1:15" s="199" customFormat="1" ht="21" customHeight="1">
      <c r="A172" s="264"/>
      <c r="B172" s="264"/>
      <c r="C172" s="265"/>
      <c r="D172" s="267" t="s">
        <v>295</v>
      </c>
      <c r="E172" s="266">
        <v>1000</v>
      </c>
      <c r="F172" s="266"/>
      <c r="G172" s="266">
        <f>SUM(E172:F172)</f>
        <v>1000</v>
      </c>
      <c r="H172" s="266"/>
      <c r="I172" s="266">
        <f>SUM(G172:H172)</f>
        <v>1000</v>
      </c>
      <c r="J172" s="266"/>
      <c r="K172" s="266">
        <f>SUM(I172:J172)</f>
        <v>1000</v>
      </c>
      <c r="L172" s="266"/>
      <c r="M172" s="266">
        <f>SUM(K172:L172)</f>
        <v>1000</v>
      </c>
      <c r="N172" s="266"/>
      <c r="O172" s="266">
        <f>SUM(M172:N172)</f>
        <v>1000</v>
      </c>
    </row>
    <row r="173" spans="1:15" s="9" customFormat="1" ht="21" customHeight="1">
      <c r="A173" s="155" t="s">
        <v>65</v>
      </c>
      <c r="B173" s="156"/>
      <c r="C173" s="156"/>
      <c r="D173" s="157" t="s">
        <v>141</v>
      </c>
      <c r="E173" s="158">
        <f aca="true" t="shared" si="79" ref="E173:O173">E174</f>
        <v>112975</v>
      </c>
      <c r="F173" s="158">
        <f t="shared" si="79"/>
        <v>0</v>
      </c>
      <c r="G173" s="158">
        <f t="shared" si="79"/>
        <v>112975</v>
      </c>
      <c r="H173" s="158">
        <f t="shared" si="79"/>
        <v>0</v>
      </c>
      <c r="I173" s="158">
        <f t="shared" si="79"/>
        <v>112975</v>
      </c>
      <c r="J173" s="158">
        <f t="shared" si="79"/>
        <v>0</v>
      </c>
      <c r="K173" s="158">
        <f t="shared" si="79"/>
        <v>112975</v>
      </c>
      <c r="L173" s="158">
        <f t="shared" si="79"/>
        <v>0</v>
      </c>
      <c r="M173" s="158">
        <f t="shared" si="79"/>
        <v>112975</v>
      </c>
      <c r="N173" s="158">
        <f t="shared" si="79"/>
        <v>0</v>
      </c>
      <c r="O173" s="158">
        <f t="shared" si="79"/>
        <v>112975</v>
      </c>
    </row>
    <row r="174" spans="1:15" s="26" customFormat="1" ht="21" customHeight="1">
      <c r="A174" s="162"/>
      <c r="B174" s="162" t="s">
        <v>142</v>
      </c>
      <c r="C174" s="163"/>
      <c r="D174" s="164" t="s">
        <v>156</v>
      </c>
      <c r="E174" s="165">
        <f aca="true" t="shared" si="80" ref="E174:K174">SUM(E175,E189,E205,E211,E216,)</f>
        <v>112975</v>
      </c>
      <c r="F174" s="165">
        <f t="shared" si="80"/>
        <v>0</v>
      </c>
      <c r="G174" s="165">
        <f t="shared" si="80"/>
        <v>112975</v>
      </c>
      <c r="H174" s="165">
        <f t="shared" si="80"/>
        <v>0</v>
      </c>
      <c r="I174" s="165">
        <f t="shared" si="80"/>
        <v>112975</v>
      </c>
      <c r="J174" s="165">
        <f t="shared" si="80"/>
        <v>0</v>
      </c>
      <c r="K174" s="165">
        <f t="shared" si="80"/>
        <v>112975</v>
      </c>
      <c r="L174" s="165">
        <f>SUM(L175,L189,L205,L211,L216,)</f>
        <v>0</v>
      </c>
      <c r="M174" s="165">
        <f>SUM(M175,M189,M205,M211,M216,)</f>
        <v>112975</v>
      </c>
      <c r="N174" s="165">
        <f>SUM(N175,N189,N205,N211,N216,)</f>
        <v>0</v>
      </c>
      <c r="O174" s="165">
        <f>SUM(O175,O189,O205,O211,O216,)</f>
        <v>112975</v>
      </c>
    </row>
    <row r="175" spans="1:15" s="26" customFormat="1" ht="21" customHeight="1">
      <c r="A175" s="162"/>
      <c r="B175" s="162"/>
      <c r="C175" s="162" t="s">
        <v>309</v>
      </c>
      <c r="D175" s="164" t="s">
        <v>95</v>
      </c>
      <c r="E175" s="165">
        <f aca="true" t="shared" si="81" ref="E175:K175">SUM(E176:E188)</f>
        <v>33580</v>
      </c>
      <c r="F175" s="165">
        <f t="shared" si="81"/>
        <v>0</v>
      </c>
      <c r="G175" s="165">
        <f t="shared" si="81"/>
        <v>33580</v>
      </c>
      <c r="H175" s="165">
        <f t="shared" si="81"/>
        <v>50</v>
      </c>
      <c r="I175" s="165">
        <f t="shared" si="81"/>
        <v>33630</v>
      </c>
      <c r="J175" s="165">
        <f t="shared" si="81"/>
        <v>0</v>
      </c>
      <c r="K175" s="165">
        <f t="shared" si="81"/>
        <v>33630</v>
      </c>
      <c r="L175" s="165">
        <f>SUM(L176:L188)</f>
        <v>0</v>
      </c>
      <c r="M175" s="165">
        <f>SUM(M176:M188)</f>
        <v>33630</v>
      </c>
      <c r="N175" s="165">
        <f>SUM(N176:N188)</f>
        <v>0</v>
      </c>
      <c r="O175" s="165">
        <f>SUM(O176:O188)</f>
        <v>33630</v>
      </c>
    </row>
    <row r="176" spans="1:15" s="26" customFormat="1" ht="21" customHeight="1">
      <c r="A176" s="166"/>
      <c r="B176" s="166"/>
      <c r="C176" s="166"/>
      <c r="D176" s="167" t="s">
        <v>302</v>
      </c>
      <c r="E176" s="168">
        <v>500</v>
      </c>
      <c r="F176" s="168"/>
      <c r="G176" s="168">
        <f>SUM(E176:F176)</f>
        <v>500</v>
      </c>
      <c r="H176" s="168">
        <v>50</v>
      </c>
      <c r="I176" s="168">
        <f>SUM(G176:H176)</f>
        <v>550</v>
      </c>
      <c r="J176" s="168"/>
      <c r="K176" s="168">
        <f>SUM(I176:J176)</f>
        <v>550</v>
      </c>
      <c r="L176" s="168"/>
      <c r="M176" s="168">
        <f>SUM(K176:L176)</f>
        <v>550</v>
      </c>
      <c r="N176" s="168"/>
      <c r="O176" s="168">
        <f>SUM(M176:N176)</f>
        <v>550</v>
      </c>
    </row>
    <row r="177" spans="1:15" s="26" customFormat="1" ht="21" customHeight="1">
      <c r="A177" s="166"/>
      <c r="B177" s="166"/>
      <c r="C177" s="166"/>
      <c r="D177" s="167" t="s">
        <v>292</v>
      </c>
      <c r="E177" s="168">
        <v>3000</v>
      </c>
      <c r="F177" s="168"/>
      <c r="G177" s="168">
        <f aca="true" t="shared" si="82" ref="G177:G188">SUM(E177:F177)</f>
        <v>3000</v>
      </c>
      <c r="H177" s="168"/>
      <c r="I177" s="168">
        <f aca="true" t="shared" si="83" ref="I177:I188">SUM(G177:H177)</f>
        <v>3000</v>
      </c>
      <c r="J177" s="168"/>
      <c r="K177" s="168">
        <f aca="true" t="shared" si="84" ref="K177:K188">SUM(I177:J177)</f>
        <v>3000</v>
      </c>
      <c r="L177" s="168"/>
      <c r="M177" s="168">
        <f aca="true" t="shared" si="85" ref="M177:M188">SUM(K177:L177)</f>
        <v>3000</v>
      </c>
      <c r="N177" s="168"/>
      <c r="O177" s="168">
        <f aca="true" t="shared" si="86" ref="O177:O188">SUM(M177:N177)</f>
        <v>3000</v>
      </c>
    </row>
    <row r="178" spans="1:15" s="26" customFormat="1" ht="21" customHeight="1">
      <c r="A178" s="166"/>
      <c r="B178" s="166"/>
      <c r="C178" s="166"/>
      <c r="D178" s="167" t="s">
        <v>304</v>
      </c>
      <c r="E178" s="168">
        <v>3520</v>
      </c>
      <c r="F178" s="168"/>
      <c r="G178" s="168">
        <f t="shared" si="82"/>
        <v>3520</v>
      </c>
      <c r="H178" s="168"/>
      <c r="I178" s="168">
        <f t="shared" si="83"/>
        <v>3520</v>
      </c>
      <c r="J178" s="168"/>
      <c r="K178" s="168">
        <f t="shared" si="84"/>
        <v>3520</v>
      </c>
      <c r="L178" s="168"/>
      <c r="M178" s="168">
        <f t="shared" si="85"/>
        <v>3520</v>
      </c>
      <c r="N178" s="168"/>
      <c r="O178" s="168">
        <f t="shared" si="86"/>
        <v>3520</v>
      </c>
    </row>
    <row r="179" spans="1:15" s="26" customFormat="1" ht="21" customHeight="1">
      <c r="A179" s="166"/>
      <c r="B179" s="166"/>
      <c r="C179" s="166"/>
      <c r="D179" s="167" t="s">
        <v>293</v>
      </c>
      <c r="E179" s="168">
        <v>1280</v>
      </c>
      <c r="F179" s="168"/>
      <c r="G179" s="168">
        <f t="shared" si="82"/>
        <v>1280</v>
      </c>
      <c r="H179" s="168"/>
      <c r="I179" s="168">
        <f t="shared" si="83"/>
        <v>1280</v>
      </c>
      <c r="J179" s="168"/>
      <c r="K179" s="168">
        <f t="shared" si="84"/>
        <v>1280</v>
      </c>
      <c r="L179" s="168"/>
      <c r="M179" s="168">
        <f t="shared" si="85"/>
        <v>1280</v>
      </c>
      <c r="N179" s="168"/>
      <c r="O179" s="168">
        <f t="shared" si="86"/>
        <v>1280</v>
      </c>
    </row>
    <row r="180" spans="1:15" s="26" customFormat="1" ht="21" customHeight="1">
      <c r="A180" s="166"/>
      <c r="B180" s="166"/>
      <c r="C180" s="166"/>
      <c r="D180" s="167" t="s">
        <v>294</v>
      </c>
      <c r="E180" s="168">
        <v>2600</v>
      </c>
      <c r="F180" s="168"/>
      <c r="G180" s="168">
        <f t="shared" si="82"/>
        <v>2600</v>
      </c>
      <c r="H180" s="168"/>
      <c r="I180" s="168">
        <f t="shared" si="83"/>
        <v>2600</v>
      </c>
      <c r="J180" s="168"/>
      <c r="K180" s="168">
        <f t="shared" si="84"/>
        <v>2600</v>
      </c>
      <c r="L180" s="168"/>
      <c r="M180" s="168">
        <f t="shared" si="85"/>
        <v>2600</v>
      </c>
      <c r="N180" s="168"/>
      <c r="O180" s="168">
        <f t="shared" si="86"/>
        <v>2600</v>
      </c>
    </row>
    <row r="181" spans="1:15" s="26" customFormat="1" ht="21" customHeight="1">
      <c r="A181" s="166"/>
      <c r="B181" s="166"/>
      <c r="C181" s="166"/>
      <c r="D181" s="167" t="s">
        <v>295</v>
      </c>
      <c r="E181" s="168">
        <v>5280</v>
      </c>
      <c r="F181" s="168"/>
      <c r="G181" s="168">
        <f t="shared" si="82"/>
        <v>5280</v>
      </c>
      <c r="H181" s="168"/>
      <c r="I181" s="168">
        <f t="shared" si="83"/>
        <v>5280</v>
      </c>
      <c r="J181" s="168"/>
      <c r="K181" s="168">
        <f t="shared" si="84"/>
        <v>5280</v>
      </c>
      <c r="L181" s="168"/>
      <c r="M181" s="168">
        <f t="shared" si="85"/>
        <v>5280</v>
      </c>
      <c r="N181" s="168"/>
      <c r="O181" s="168">
        <f t="shared" si="86"/>
        <v>5280</v>
      </c>
    </row>
    <row r="182" spans="1:15" s="178" customFormat="1" ht="21" customHeight="1">
      <c r="A182" s="177"/>
      <c r="B182" s="177"/>
      <c r="C182" s="177"/>
      <c r="D182" s="167" t="s">
        <v>305</v>
      </c>
      <c r="E182" s="168">
        <v>2450</v>
      </c>
      <c r="F182" s="168"/>
      <c r="G182" s="168">
        <f t="shared" si="82"/>
        <v>2450</v>
      </c>
      <c r="H182" s="168"/>
      <c r="I182" s="168">
        <f t="shared" si="83"/>
        <v>2450</v>
      </c>
      <c r="J182" s="168"/>
      <c r="K182" s="168">
        <f t="shared" si="84"/>
        <v>2450</v>
      </c>
      <c r="L182" s="168"/>
      <c r="M182" s="168">
        <f t="shared" si="85"/>
        <v>2450</v>
      </c>
      <c r="N182" s="168"/>
      <c r="O182" s="168">
        <f t="shared" si="86"/>
        <v>2450</v>
      </c>
    </row>
    <row r="183" spans="1:15" s="178" customFormat="1" ht="21" customHeight="1">
      <c r="A183" s="177"/>
      <c r="B183" s="177"/>
      <c r="C183" s="177"/>
      <c r="D183" s="167" t="s">
        <v>296</v>
      </c>
      <c r="E183" s="168">
        <v>4000</v>
      </c>
      <c r="F183" s="168"/>
      <c r="G183" s="168">
        <f t="shared" si="82"/>
        <v>4000</v>
      </c>
      <c r="H183" s="168"/>
      <c r="I183" s="168">
        <f t="shared" si="83"/>
        <v>4000</v>
      </c>
      <c r="J183" s="168"/>
      <c r="K183" s="168">
        <f t="shared" si="84"/>
        <v>4000</v>
      </c>
      <c r="L183" s="168"/>
      <c r="M183" s="168">
        <f t="shared" si="85"/>
        <v>4000</v>
      </c>
      <c r="N183" s="168"/>
      <c r="O183" s="168">
        <f t="shared" si="86"/>
        <v>4000</v>
      </c>
    </row>
    <row r="184" spans="1:15" s="178" customFormat="1" ht="21" customHeight="1">
      <c r="A184" s="177"/>
      <c r="B184" s="177"/>
      <c r="C184" s="177"/>
      <c r="D184" s="167" t="s">
        <v>299</v>
      </c>
      <c r="E184" s="168">
        <v>500</v>
      </c>
      <c r="F184" s="168"/>
      <c r="G184" s="168">
        <f t="shared" si="82"/>
        <v>500</v>
      </c>
      <c r="H184" s="168"/>
      <c r="I184" s="168">
        <f t="shared" si="83"/>
        <v>500</v>
      </c>
      <c r="J184" s="168"/>
      <c r="K184" s="168">
        <f t="shared" si="84"/>
        <v>500</v>
      </c>
      <c r="L184" s="168"/>
      <c r="M184" s="168">
        <f t="shared" si="85"/>
        <v>500</v>
      </c>
      <c r="N184" s="168"/>
      <c r="O184" s="168">
        <f t="shared" si="86"/>
        <v>500</v>
      </c>
    </row>
    <row r="185" spans="1:15" s="26" customFormat="1" ht="21" customHeight="1">
      <c r="A185" s="166"/>
      <c r="B185" s="166"/>
      <c r="C185" s="166"/>
      <c r="D185" s="167" t="s">
        <v>306</v>
      </c>
      <c r="E185" s="168">
        <v>2250</v>
      </c>
      <c r="F185" s="168"/>
      <c r="G185" s="168">
        <f t="shared" si="82"/>
        <v>2250</v>
      </c>
      <c r="H185" s="168"/>
      <c r="I185" s="168">
        <f t="shared" si="83"/>
        <v>2250</v>
      </c>
      <c r="J185" s="168"/>
      <c r="K185" s="168">
        <f t="shared" si="84"/>
        <v>2250</v>
      </c>
      <c r="L185" s="168"/>
      <c r="M185" s="168">
        <f t="shared" si="85"/>
        <v>2250</v>
      </c>
      <c r="N185" s="168"/>
      <c r="O185" s="168">
        <f t="shared" si="86"/>
        <v>2250</v>
      </c>
    </row>
    <row r="186" spans="1:15" s="26" customFormat="1" ht="21" customHeight="1">
      <c r="A186" s="166"/>
      <c r="B186" s="166"/>
      <c r="C186" s="166"/>
      <c r="D186" s="167" t="s">
        <v>307</v>
      </c>
      <c r="E186" s="168">
        <v>3700</v>
      </c>
      <c r="F186" s="168"/>
      <c r="G186" s="168">
        <f t="shared" si="82"/>
        <v>3700</v>
      </c>
      <c r="H186" s="168"/>
      <c r="I186" s="168">
        <f t="shared" si="83"/>
        <v>3700</v>
      </c>
      <c r="J186" s="168"/>
      <c r="K186" s="168">
        <f t="shared" si="84"/>
        <v>3700</v>
      </c>
      <c r="L186" s="168"/>
      <c r="M186" s="168">
        <f t="shared" si="85"/>
        <v>3700</v>
      </c>
      <c r="N186" s="168"/>
      <c r="O186" s="168">
        <f t="shared" si="86"/>
        <v>3700</v>
      </c>
    </row>
    <row r="187" spans="1:15" s="26" customFormat="1" ht="21" customHeight="1">
      <c r="A187" s="166"/>
      <c r="B187" s="166"/>
      <c r="C187" s="166"/>
      <c r="D187" s="167" t="s">
        <v>301</v>
      </c>
      <c r="E187" s="168">
        <v>2000</v>
      </c>
      <c r="F187" s="168"/>
      <c r="G187" s="168">
        <f t="shared" si="82"/>
        <v>2000</v>
      </c>
      <c r="H187" s="168"/>
      <c r="I187" s="168">
        <f t="shared" si="83"/>
        <v>2000</v>
      </c>
      <c r="J187" s="168"/>
      <c r="K187" s="168">
        <f t="shared" si="84"/>
        <v>2000</v>
      </c>
      <c r="L187" s="168"/>
      <c r="M187" s="168">
        <f t="shared" si="85"/>
        <v>2000</v>
      </c>
      <c r="N187" s="168"/>
      <c r="O187" s="168">
        <f t="shared" si="86"/>
        <v>2000</v>
      </c>
    </row>
    <row r="188" spans="1:15" s="26" customFormat="1" ht="21" customHeight="1">
      <c r="A188" s="166"/>
      <c r="B188" s="166"/>
      <c r="C188" s="166"/>
      <c r="D188" s="167" t="s">
        <v>311</v>
      </c>
      <c r="E188" s="168">
        <v>2500</v>
      </c>
      <c r="F188" s="168"/>
      <c r="G188" s="168">
        <f t="shared" si="82"/>
        <v>2500</v>
      </c>
      <c r="H188" s="168"/>
      <c r="I188" s="168">
        <f t="shared" si="83"/>
        <v>2500</v>
      </c>
      <c r="J188" s="168"/>
      <c r="K188" s="168">
        <f t="shared" si="84"/>
        <v>2500</v>
      </c>
      <c r="L188" s="168"/>
      <c r="M188" s="168">
        <f t="shared" si="85"/>
        <v>2500</v>
      </c>
      <c r="N188" s="168"/>
      <c r="O188" s="168">
        <f t="shared" si="86"/>
        <v>2500</v>
      </c>
    </row>
    <row r="189" spans="1:15" s="26" customFormat="1" ht="21" customHeight="1">
      <c r="A189" s="162"/>
      <c r="B189" s="162"/>
      <c r="C189" s="162" t="s">
        <v>316</v>
      </c>
      <c r="D189" s="164" t="s">
        <v>98</v>
      </c>
      <c r="E189" s="165">
        <f aca="true" t="shared" si="87" ref="E189:K189">SUM(E190:E204)</f>
        <v>12650</v>
      </c>
      <c r="F189" s="165">
        <f t="shared" si="87"/>
        <v>0</v>
      </c>
      <c r="G189" s="165">
        <f t="shared" si="87"/>
        <v>12650</v>
      </c>
      <c r="H189" s="165">
        <f t="shared" si="87"/>
        <v>1940</v>
      </c>
      <c r="I189" s="165">
        <f t="shared" si="87"/>
        <v>14590</v>
      </c>
      <c r="J189" s="165">
        <f t="shared" si="87"/>
        <v>500</v>
      </c>
      <c r="K189" s="165">
        <f t="shared" si="87"/>
        <v>15090</v>
      </c>
      <c r="L189" s="165">
        <f>SUM(L190:L204)</f>
        <v>0</v>
      </c>
      <c r="M189" s="165">
        <f>SUM(M190:M204)</f>
        <v>15090</v>
      </c>
      <c r="N189" s="165">
        <f>SUM(N190:N204)</f>
        <v>0</v>
      </c>
      <c r="O189" s="165">
        <f>SUM(O190:O204)</f>
        <v>15090</v>
      </c>
    </row>
    <row r="190" spans="1:15" s="26" customFormat="1" ht="21" customHeight="1">
      <c r="A190" s="166"/>
      <c r="B190" s="166"/>
      <c r="C190" s="166"/>
      <c r="D190" s="167" t="s">
        <v>302</v>
      </c>
      <c r="E190" s="168">
        <v>800</v>
      </c>
      <c r="F190" s="168"/>
      <c r="G190" s="168">
        <f>SUM(E190:F190)</f>
        <v>800</v>
      </c>
      <c r="H190" s="168">
        <v>-50</v>
      </c>
      <c r="I190" s="168">
        <f>SUM(G190:H190)</f>
        <v>750</v>
      </c>
      <c r="J190" s="168">
        <v>500</v>
      </c>
      <c r="K190" s="168">
        <f>SUM(I190:J190)</f>
        <v>1250</v>
      </c>
      <c r="L190" s="168"/>
      <c r="M190" s="168">
        <f>SUM(K190:L190)</f>
        <v>1250</v>
      </c>
      <c r="N190" s="168"/>
      <c r="O190" s="168">
        <f>SUM(M190:N190)</f>
        <v>1250</v>
      </c>
    </row>
    <row r="191" spans="1:15" s="26" customFormat="1" ht="21" customHeight="1">
      <c r="A191" s="166"/>
      <c r="B191" s="166"/>
      <c r="C191" s="166"/>
      <c r="D191" s="167" t="s">
        <v>303</v>
      </c>
      <c r="E191" s="168">
        <v>500</v>
      </c>
      <c r="F191" s="168"/>
      <c r="G191" s="168">
        <f aca="true" t="shared" si="88" ref="G191:G204">SUM(E191:F191)</f>
        <v>500</v>
      </c>
      <c r="H191" s="168"/>
      <c r="I191" s="168">
        <f aca="true" t="shared" si="89" ref="I191:I204">SUM(G191:H191)</f>
        <v>500</v>
      </c>
      <c r="J191" s="168"/>
      <c r="K191" s="168">
        <f aca="true" t="shared" si="90" ref="K191:K204">SUM(I191:J191)</f>
        <v>500</v>
      </c>
      <c r="L191" s="168"/>
      <c r="M191" s="168">
        <f aca="true" t="shared" si="91" ref="M191:M204">SUM(K191:L191)</f>
        <v>500</v>
      </c>
      <c r="N191" s="168"/>
      <c r="O191" s="168">
        <f aca="true" t="shared" si="92" ref="O191:O204">SUM(M191:N191)</f>
        <v>500</v>
      </c>
    </row>
    <row r="192" spans="1:15" s="26" customFormat="1" ht="21" customHeight="1">
      <c r="A192" s="166"/>
      <c r="B192" s="166"/>
      <c r="C192" s="166"/>
      <c r="D192" s="167" t="s">
        <v>292</v>
      </c>
      <c r="E192" s="168">
        <v>2000</v>
      </c>
      <c r="F192" s="168"/>
      <c r="G192" s="168">
        <f t="shared" si="88"/>
        <v>2000</v>
      </c>
      <c r="H192" s="168"/>
      <c r="I192" s="168">
        <f t="shared" si="89"/>
        <v>2000</v>
      </c>
      <c r="J192" s="168"/>
      <c r="K192" s="168">
        <f t="shared" si="90"/>
        <v>2000</v>
      </c>
      <c r="L192" s="168"/>
      <c r="M192" s="168">
        <f t="shared" si="91"/>
        <v>2000</v>
      </c>
      <c r="N192" s="168"/>
      <c r="O192" s="168">
        <f t="shared" si="92"/>
        <v>2000</v>
      </c>
    </row>
    <row r="193" spans="1:15" s="26" customFormat="1" ht="21" customHeight="1">
      <c r="A193" s="166"/>
      <c r="B193" s="166"/>
      <c r="C193" s="166"/>
      <c r="D193" s="167" t="s">
        <v>304</v>
      </c>
      <c r="E193" s="168">
        <v>800</v>
      </c>
      <c r="F193" s="168"/>
      <c r="G193" s="168">
        <f t="shared" si="88"/>
        <v>800</v>
      </c>
      <c r="H193" s="168"/>
      <c r="I193" s="168">
        <f t="shared" si="89"/>
        <v>800</v>
      </c>
      <c r="J193" s="168"/>
      <c r="K193" s="168">
        <f t="shared" si="90"/>
        <v>800</v>
      </c>
      <c r="L193" s="168"/>
      <c r="M193" s="168">
        <f t="shared" si="91"/>
        <v>800</v>
      </c>
      <c r="N193" s="168"/>
      <c r="O193" s="168">
        <f t="shared" si="92"/>
        <v>800</v>
      </c>
    </row>
    <row r="194" spans="1:15" s="26" customFormat="1" ht="21" customHeight="1">
      <c r="A194" s="166"/>
      <c r="B194" s="166"/>
      <c r="C194" s="166"/>
      <c r="D194" s="167" t="s">
        <v>293</v>
      </c>
      <c r="E194" s="168">
        <v>800</v>
      </c>
      <c r="F194" s="168"/>
      <c r="G194" s="168">
        <f t="shared" si="88"/>
        <v>800</v>
      </c>
      <c r="H194" s="168"/>
      <c r="I194" s="168">
        <f t="shared" si="89"/>
        <v>800</v>
      </c>
      <c r="J194" s="168"/>
      <c r="K194" s="168">
        <f t="shared" si="90"/>
        <v>800</v>
      </c>
      <c r="L194" s="168"/>
      <c r="M194" s="168">
        <f t="shared" si="91"/>
        <v>800</v>
      </c>
      <c r="N194" s="168"/>
      <c r="O194" s="168">
        <f t="shared" si="92"/>
        <v>800</v>
      </c>
    </row>
    <row r="195" spans="1:15" s="26" customFormat="1" ht="21" customHeight="1">
      <c r="A195" s="166"/>
      <c r="B195" s="166"/>
      <c r="C195" s="166"/>
      <c r="D195" s="167" t="s">
        <v>294</v>
      </c>
      <c r="E195" s="168">
        <v>700</v>
      </c>
      <c r="F195" s="168"/>
      <c r="G195" s="168">
        <f t="shared" si="88"/>
        <v>700</v>
      </c>
      <c r="H195" s="168"/>
      <c r="I195" s="168">
        <f t="shared" si="89"/>
        <v>700</v>
      </c>
      <c r="J195" s="168"/>
      <c r="K195" s="168">
        <f t="shared" si="90"/>
        <v>700</v>
      </c>
      <c r="L195" s="168"/>
      <c r="M195" s="168">
        <f t="shared" si="91"/>
        <v>700</v>
      </c>
      <c r="N195" s="168"/>
      <c r="O195" s="168">
        <f t="shared" si="92"/>
        <v>700</v>
      </c>
    </row>
    <row r="196" spans="1:15" s="26" customFormat="1" ht="21" customHeight="1">
      <c r="A196" s="166"/>
      <c r="B196" s="166"/>
      <c r="C196" s="166"/>
      <c r="D196" s="167" t="s">
        <v>295</v>
      </c>
      <c r="E196" s="168">
        <v>1100</v>
      </c>
      <c r="F196" s="168"/>
      <c r="G196" s="168">
        <f t="shared" si="88"/>
        <v>1100</v>
      </c>
      <c r="H196" s="168"/>
      <c r="I196" s="168">
        <f t="shared" si="89"/>
        <v>1100</v>
      </c>
      <c r="J196" s="168"/>
      <c r="K196" s="168">
        <f t="shared" si="90"/>
        <v>1100</v>
      </c>
      <c r="L196" s="168"/>
      <c r="M196" s="168">
        <f t="shared" si="91"/>
        <v>1100</v>
      </c>
      <c r="N196" s="168"/>
      <c r="O196" s="168">
        <f t="shared" si="92"/>
        <v>1100</v>
      </c>
    </row>
    <row r="197" spans="1:15" s="178" customFormat="1" ht="21" customHeight="1">
      <c r="A197" s="177"/>
      <c r="B197" s="177"/>
      <c r="C197" s="177"/>
      <c r="D197" s="167" t="s">
        <v>305</v>
      </c>
      <c r="E197" s="168">
        <v>500</v>
      </c>
      <c r="F197" s="168"/>
      <c r="G197" s="168">
        <f t="shared" si="88"/>
        <v>500</v>
      </c>
      <c r="H197" s="168"/>
      <c r="I197" s="168">
        <f t="shared" si="89"/>
        <v>500</v>
      </c>
      <c r="J197" s="168"/>
      <c r="K197" s="168">
        <f t="shared" si="90"/>
        <v>500</v>
      </c>
      <c r="L197" s="168"/>
      <c r="M197" s="168">
        <f t="shared" si="91"/>
        <v>500</v>
      </c>
      <c r="N197" s="168"/>
      <c r="O197" s="168">
        <f t="shared" si="92"/>
        <v>500</v>
      </c>
    </row>
    <row r="198" spans="1:15" s="26" customFormat="1" ht="21" customHeight="1">
      <c r="A198" s="166"/>
      <c r="B198" s="166"/>
      <c r="C198" s="166"/>
      <c r="D198" s="167" t="s">
        <v>296</v>
      </c>
      <c r="E198" s="168">
        <v>600</v>
      </c>
      <c r="F198" s="168"/>
      <c r="G198" s="168">
        <f t="shared" si="88"/>
        <v>600</v>
      </c>
      <c r="H198" s="168">
        <v>1990</v>
      </c>
      <c r="I198" s="168">
        <f t="shared" si="89"/>
        <v>2590</v>
      </c>
      <c r="J198" s="168"/>
      <c r="K198" s="168">
        <f t="shared" si="90"/>
        <v>2590</v>
      </c>
      <c r="L198" s="168"/>
      <c r="M198" s="168">
        <f t="shared" si="91"/>
        <v>2590</v>
      </c>
      <c r="N198" s="168"/>
      <c r="O198" s="168">
        <f t="shared" si="92"/>
        <v>2590</v>
      </c>
    </row>
    <row r="199" spans="1:15" s="26" customFormat="1" ht="21" customHeight="1">
      <c r="A199" s="166"/>
      <c r="B199" s="166"/>
      <c r="C199" s="166"/>
      <c r="D199" s="167" t="s">
        <v>299</v>
      </c>
      <c r="E199" s="168">
        <v>1400</v>
      </c>
      <c r="F199" s="168"/>
      <c r="G199" s="168">
        <f t="shared" si="88"/>
        <v>1400</v>
      </c>
      <c r="H199" s="168"/>
      <c r="I199" s="168">
        <f t="shared" si="89"/>
        <v>1400</v>
      </c>
      <c r="J199" s="168"/>
      <c r="K199" s="168">
        <f t="shared" si="90"/>
        <v>1400</v>
      </c>
      <c r="L199" s="168"/>
      <c r="M199" s="168">
        <f t="shared" si="91"/>
        <v>1400</v>
      </c>
      <c r="N199" s="168"/>
      <c r="O199" s="168">
        <f t="shared" si="92"/>
        <v>1400</v>
      </c>
    </row>
    <row r="200" spans="1:15" s="26" customFormat="1" ht="21" customHeight="1">
      <c r="A200" s="166"/>
      <c r="B200" s="166"/>
      <c r="C200" s="166"/>
      <c r="D200" s="167" t="s">
        <v>306</v>
      </c>
      <c r="E200" s="168">
        <v>1000</v>
      </c>
      <c r="F200" s="168"/>
      <c r="G200" s="168">
        <f t="shared" si="88"/>
        <v>1000</v>
      </c>
      <c r="H200" s="168"/>
      <c r="I200" s="168">
        <f t="shared" si="89"/>
        <v>1000</v>
      </c>
      <c r="J200" s="168"/>
      <c r="K200" s="168">
        <f t="shared" si="90"/>
        <v>1000</v>
      </c>
      <c r="L200" s="168"/>
      <c r="M200" s="168">
        <f t="shared" si="91"/>
        <v>1000</v>
      </c>
      <c r="N200" s="168"/>
      <c r="O200" s="168">
        <f t="shared" si="92"/>
        <v>1000</v>
      </c>
    </row>
    <row r="201" spans="1:15" s="26" customFormat="1" ht="21" customHeight="1">
      <c r="A201" s="166"/>
      <c r="B201" s="166"/>
      <c r="C201" s="166"/>
      <c r="D201" s="167" t="s">
        <v>307</v>
      </c>
      <c r="E201" s="168">
        <v>1300</v>
      </c>
      <c r="F201" s="168"/>
      <c r="G201" s="168">
        <f t="shared" si="88"/>
        <v>1300</v>
      </c>
      <c r="H201" s="168"/>
      <c r="I201" s="168">
        <f t="shared" si="89"/>
        <v>1300</v>
      </c>
      <c r="J201" s="168"/>
      <c r="K201" s="168">
        <f t="shared" si="90"/>
        <v>1300</v>
      </c>
      <c r="L201" s="168"/>
      <c r="M201" s="168">
        <f t="shared" si="91"/>
        <v>1300</v>
      </c>
      <c r="N201" s="168"/>
      <c r="O201" s="168">
        <f t="shared" si="92"/>
        <v>1300</v>
      </c>
    </row>
    <row r="202" spans="1:15" s="26" customFormat="1" ht="21" customHeight="1">
      <c r="A202" s="166"/>
      <c r="B202" s="166"/>
      <c r="C202" s="166"/>
      <c r="D202" s="167" t="s">
        <v>310</v>
      </c>
      <c r="E202" s="168">
        <v>250</v>
      </c>
      <c r="F202" s="168"/>
      <c r="G202" s="168">
        <f t="shared" si="88"/>
        <v>250</v>
      </c>
      <c r="H202" s="168"/>
      <c r="I202" s="168">
        <f t="shared" si="89"/>
        <v>250</v>
      </c>
      <c r="J202" s="168"/>
      <c r="K202" s="168">
        <f t="shared" si="90"/>
        <v>250</v>
      </c>
      <c r="L202" s="168"/>
      <c r="M202" s="168">
        <f t="shared" si="91"/>
        <v>250</v>
      </c>
      <c r="N202" s="168"/>
      <c r="O202" s="168">
        <f t="shared" si="92"/>
        <v>250</v>
      </c>
    </row>
    <row r="203" spans="1:15" s="26" customFormat="1" ht="21" customHeight="1">
      <c r="A203" s="166"/>
      <c r="B203" s="166"/>
      <c r="C203" s="166"/>
      <c r="D203" s="167" t="s">
        <v>301</v>
      </c>
      <c r="E203" s="168">
        <v>300</v>
      </c>
      <c r="F203" s="168"/>
      <c r="G203" s="168">
        <f t="shared" si="88"/>
        <v>300</v>
      </c>
      <c r="H203" s="168"/>
      <c r="I203" s="168">
        <f t="shared" si="89"/>
        <v>300</v>
      </c>
      <c r="J203" s="168"/>
      <c r="K203" s="168">
        <f t="shared" si="90"/>
        <v>300</v>
      </c>
      <c r="L203" s="168"/>
      <c r="M203" s="168">
        <f t="shared" si="91"/>
        <v>300</v>
      </c>
      <c r="N203" s="168"/>
      <c r="O203" s="168">
        <f t="shared" si="92"/>
        <v>300</v>
      </c>
    </row>
    <row r="204" spans="1:15" s="26" customFormat="1" ht="21" customHeight="1">
      <c r="A204" s="166"/>
      <c r="B204" s="166"/>
      <c r="C204" s="166"/>
      <c r="D204" s="167" t="s">
        <v>311</v>
      </c>
      <c r="E204" s="168">
        <v>600</v>
      </c>
      <c r="F204" s="168"/>
      <c r="G204" s="168">
        <f t="shared" si="88"/>
        <v>600</v>
      </c>
      <c r="H204" s="168"/>
      <c r="I204" s="168">
        <f t="shared" si="89"/>
        <v>600</v>
      </c>
      <c r="J204" s="168"/>
      <c r="K204" s="168">
        <f t="shared" si="90"/>
        <v>600</v>
      </c>
      <c r="L204" s="168"/>
      <c r="M204" s="168">
        <f t="shared" si="91"/>
        <v>600</v>
      </c>
      <c r="N204" s="168"/>
      <c r="O204" s="168">
        <f t="shared" si="92"/>
        <v>600</v>
      </c>
    </row>
    <row r="205" spans="1:15" s="26" customFormat="1" ht="21" customHeight="1">
      <c r="A205" s="162"/>
      <c r="B205" s="162"/>
      <c r="C205" s="163">
        <v>4270</v>
      </c>
      <c r="D205" s="176" t="s">
        <v>81</v>
      </c>
      <c r="E205" s="165">
        <f aca="true" t="shared" si="93" ref="E205:K205">SUM(E206:E210)</f>
        <v>56770</v>
      </c>
      <c r="F205" s="165">
        <f t="shared" si="93"/>
        <v>0</v>
      </c>
      <c r="G205" s="165">
        <f t="shared" si="93"/>
        <v>56770</v>
      </c>
      <c r="H205" s="165">
        <f t="shared" si="93"/>
        <v>-1990</v>
      </c>
      <c r="I205" s="165">
        <f t="shared" si="93"/>
        <v>54780</v>
      </c>
      <c r="J205" s="165">
        <f t="shared" si="93"/>
        <v>-500</v>
      </c>
      <c r="K205" s="165">
        <f t="shared" si="93"/>
        <v>54280</v>
      </c>
      <c r="L205" s="165">
        <f>SUM(L206:L210)</f>
        <v>0</v>
      </c>
      <c r="M205" s="165">
        <f>SUM(M206:M210)</f>
        <v>54280</v>
      </c>
      <c r="N205" s="165">
        <f>SUM(N206:N210)</f>
        <v>0</v>
      </c>
      <c r="O205" s="165">
        <f>SUM(O206:O210)</f>
        <v>54280</v>
      </c>
    </row>
    <row r="206" spans="1:15" s="28" customFormat="1" ht="21" customHeight="1">
      <c r="A206" s="173"/>
      <c r="B206" s="173"/>
      <c r="C206" s="172"/>
      <c r="D206" s="167" t="s">
        <v>302</v>
      </c>
      <c r="E206" s="168">
        <v>38400</v>
      </c>
      <c r="F206" s="168"/>
      <c r="G206" s="168">
        <f>SUM(E206:F206)</f>
        <v>38400</v>
      </c>
      <c r="H206" s="168"/>
      <c r="I206" s="168">
        <f>SUM(G206:H206)</f>
        <v>38400</v>
      </c>
      <c r="J206" s="168">
        <v>-500</v>
      </c>
      <c r="K206" s="168">
        <f>SUM(I206:J206)</f>
        <v>37900</v>
      </c>
      <c r="L206" s="168"/>
      <c r="M206" s="168">
        <f>SUM(K206:L206)</f>
        <v>37900</v>
      </c>
      <c r="N206" s="168"/>
      <c r="O206" s="168">
        <f>SUM(M206:N206)</f>
        <v>37900</v>
      </c>
    </row>
    <row r="207" spans="1:15" s="28" customFormat="1" ht="21" customHeight="1">
      <c r="A207" s="173"/>
      <c r="B207" s="173"/>
      <c r="C207" s="172"/>
      <c r="D207" s="167" t="s">
        <v>303</v>
      </c>
      <c r="E207" s="168">
        <v>8390</v>
      </c>
      <c r="F207" s="168"/>
      <c r="G207" s="168">
        <f>SUM(E207:F207)</f>
        <v>8390</v>
      </c>
      <c r="H207" s="168"/>
      <c r="I207" s="168">
        <f>SUM(G207:H207)</f>
        <v>8390</v>
      </c>
      <c r="J207" s="168"/>
      <c r="K207" s="168">
        <f>SUM(I207:J207)</f>
        <v>8390</v>
      </c>
      <c r="L207" s="168"/>
      <c r="M207" s="168">
        <f>SUM(K207:L207)</f>
        <v>8390</v>
      </c>
      <c r="N207" s="168"/>
      <c r="O207" s="168">
        <f>SUM(M207:N207)</f>
        <v>8390</v>
      </c>
    </row>
    <row r="208" spans="1:15" s="28" customFormat="1" ht="21" customHeight="1">
      <c r="A208" s="166"/>
      <c r="B208" s="166"/>
      <c r="C208" s="166"/>
      <c r="D208" s="167" t="s">
        <v>296</v>
      </c>
      <c r="E208" s="168">
        <v>1990</v>
      </c>
      <c r="F208" s="168"/>
      <c r="G208" s="168">
        <f>SUM(E208:F208)</f>
        <v>1990</v>
      </c>
      <c r="H208" s="168">
        <v>-1990</v>
      </c>
      <c r="I208" s="168">
        <f>SUM(G208:H208)</f>
        <v>0</v>
      </c>
      <c r="J208" s="168"/>
      <c r="K208" s="168">
        <f>SUM(I208:J208)</f>
        <v>0</v>
      </c>
      <c r="L208" s="168"/>
      <c r="M208" s="168">
        <f>SUM(K208:L208)</f>
        <v>0</v>
      </c>
      <c r="N208" s="168"/>
      <c r="O208" s="168">
        <f>SUM(M208:N208)</f>
        <v>0</v>
      </c>
    </row>
    <row r="209" spans="1:15" s="28" customFormat="1" ht="21" customHeight="1">
      <c r="A209" s="166"/>
      <c r="B209" s="166"/>
      <c r="C209" s="166"/>
      <c r="D209" s="167" t="s">
        <v>307</v>
      </c>
      <c r="E209" s="168">
        <v>4110</v>
      </c>
      <c r="F209" s="168"/>
      <c r="G209" s="168">
        <f>SUM(E209:F209)</f>
        <v>4110</v>
      </c>
      <c r="H209" s="168"/>
      <c r="I209" s="168">
        <f>SUM(G209:H209)</f>
        <v>4110</v>
      </c>
      <c r="J209" s="168"/>
      <c r="K209" s="168">
        <f>SUM(I209:J209)</f>
        <v>4110</v>
      </c>
      <c r="L209" s="168"/>
      <c r="M209" s="168">
        <f>SUM(K209:L209)</f>
        <v>4110</v>
      </c>
      <c r="N209" s="168"/>
      <c r="O209" s="168">
        <f>SUM(M209:N209)</f>
        <v>4110</v>
      </c>
    </row>
    <row r="210" spans="1:15" s="28" customFormat="1" ht="21" customHeight="1">
      <c r="A210" s="166"/>
      <c r="B210" s="166"/>
      <c r="C210" s="166"/>
      <c r="D210" s="167" t="s">
        <v>311</v>
      </c>
      <c r="E210" s="168">
        <v>3880</v>
      </c>
      <c r="F210" s="168"/>
      <c r="G210" s="168">
        <f>SUM(E210:F210)</f>
        <v>3880</v>
      </c>
      <c r="H210" s="168"/>
      <c r="I210" s="168">
        <f>SUM(G210:H210)</f>
        <v>3880</v>
      </c>
      <c r="J210" s="168"/>
      <c r="K210" s="168">
        <f>SUM(I210:J210)</f>
        <v>3880</v>
      </c>
      <c r="L210" s="168"/>
      <c r="M210" s="168">
        <f>SUM(K210:L210)</f>
        <v>3880</v>
      </c>
      <c r="N210" s="168"/>
      <c r="O210" s="168">
        <f>SUM(M210:N210)</f>
        <v>3880</v>
      </c>
    </row>
    <row r="211" spans="1:15" s="26" customFormat="1" ht="21" customHeight="1">
      <c r="A211" s="162"/>
      <c r="B211" s="162"/>
      <c r="C211" s="163">
        <v>4300</v>
      </c>
      <c r="D211" s="176" t="s">
        <v>82</v>
      </c>
      <c r="E211" s="165">
        <f aca="true" t="shared" si="94" ref="E211:K211">SUM(E212:E215)</f>
        <v>8340</v>
      </c>
      <c r="F211" s="165">
        <f t="shared" si="94"/>
        <v>0</v>
      </c>
      <c r="G211" s="165">
        <f t="shared" si="94"/>
        <v>8340</v>
      </c>
      <c r="H211" s="165">
        <f t="shared" si="94"/>
        <v>0</v>
      </c>
      <c r="I211" s="165">
        <f t="shared" si="94"/>
        <v>8340</v>
      </c>
      <c r="J211" s="165">
        <f t="shared" si="94"/>
        <v>0</v>
      </c>
      <c r="K211" s="165">
        <f t="shared" si="94"/>
        <v>8340</v>
      </c>
      <c r="L211" s="165">
        <f>SUM(L212:L215)</f>
        <v>0</v>
      </c>
      <c r="M211" s="165">
        <f>SUM(M212:M215)</f>
        <v>8340</v>
      </c>
      <c r="N211" s="165">
        <f>SUM(N212:N215)</f>
        <v>0</v>
      </c>
      <c r="O211" s="165">
        <f>SUM(O212:O215)</f>
        <v>8340</v>
      </c>
    </row>
    <row r="212" spans="1:15" s="107" customFormat="1" ht="21" customHeight="1">
      <c r="A212" s="169"/>
      <c r="B212" s="169"/>
      <c r="C212" s="169"/>
      <c r="D212" s="167" t="s">
        <v>295</v>
      </c>
      <c r="E212" s="168">
        <v>220</v>
      </c>
      <c r="F212" s="168"/>
      <c r="G212" s="168">
        <f>SUM(E212:F212)</f>
        <v>220</v>
      </c>
      <c r="H212" s="168"/>
      <c r="I212" s="168">
        <f>SUM(G212:H212)</f>
        <v>220</v>
      </c>
      <c r="J212" s="168"/>
      <c r="K212" s="168">
        <f>SUM(I212:J212)</f>
        <v>220</v>
      </c>
      <c r="L212" s="168"/>
      <c r="M212" s="168">
        <f>SUM(K212:L212)</f>
        <v>220</v>
      </c>
      <c r="N212" s="168"/>
      <c r="O212" s="168">
        <f>SUM(M212:N212)</f>
        <v>220</v>
      </c>
    </row>
    <row r="213" spans="1:15" s="107" customFormat="1" ht="21" customHeight="1">
      <c r="A213" s="169"/>
      <c r="B213" s="169"/>
      <c r="C213" s="169"/>
      <c r="D213" s="170" t="s">
        <v>305</v>
      </c>
      <c r="E213" s="168">
        <v>4000</v>
      </c>
      <c r="F213" s="168"/>
      <c r="G213" s="168">
        <f>SUM(E213:F213)</f>
        <v>4000</v>
      </c>
      <c r="H213" s="168"/>
      <c r="I213" s="168">
        <f>SUM(G213:H213)</f>
        <v>4000</v>
      </c>
      <c r="J213" s="168"/>
      <c r="K213" s="168">
        <f>SUM(I213:J213)</f>
        <v>4000</v>
      </c>
      <c r="L213" s="168"/>
      <c r="M213" s="168">
        <f>SUM(K213:L213)</f>
        <v>4000</v>
      </c>
      <c r="N213" s="168"/>
      <c r="O213" s="168">
        <f>SUM(M213:N213)</f>
        <v>4000</v>
      </c>
    </row>
    <row r="214" spans="1:15" s="107" customFormat="1" ht="21" customHeight="1">
      <c r="A214" s="169"/>
      <c r="B214" s="169"/>
      <c r="C214" s="169"/>
      <c r="D214" s="170" t="s">
        <v>310</v>
      </c>
      <c r="E214" s="168">
        <v>2000</v>
      </c>
      <c r="F214" s="168"/>
      <c r="G214" s="168">
        <f>SUM(E214:F214)</f>
        <v>2000</v>
      </c>
      <c r="H214" s="168"/>
      <c r="I214" s="168">
        <f>SUM(G214:H214)</f>
        <v>2000</v>
      </c>
      <c r="J214" s="168"/>
      <c r="K214" s="168">
        <f>SUM(I214:J214)</f>
        <v>2000</v>
      </c>
      <c r="L214" s="168"/>
      <c r="M214" s="168">
        <f>SUM(K214:L214)</f>
        <v>2000</v>
      </c>
      <c r="N214" s="168"/>
      <c r="O214" s="168">
        <f>SUM(M214:N214)</f>
        <v>2000</v>
      </c>
    </row>
    <row r="215" spans="1:15" s="107" customFormat="1" ht="21" customHeight="1">
      <c r="A215" s="169"/>
      <c r="B215" s="169"/>
      <c r="C215" s="169"/>
      <c r="D215" s="170" t="s">
        <v>301</v>
      </c>
      <c r="E215" s="168">
        <v>2120</v>
      </c>
      <c r="F215" s="168"/>
      <c r="G215" s="168">
        <f>SUM(E215:F215)</f>
        <v>2120</v>
      </c>
      <c r="H215" s="168"/>
      <c r="I215" s="168">
        <f>SUM(G215:H215)</f>
        <v>2120</v>
      </c>
      <c r="J215" s="168"/>
      <c r="K215" s="168">
        <f>SUM(I215:J215)</f>
        <v>2120</v>
      </c>
      <c r="L215" s="168"/>
      <c r="M215" s="168">
        <f>SUM(K215:L215)</f>
        <v>2120</v>
      </c>
      <c r="N215" s="168"/>
      <c r="O215" s="168">
        <f>SUM(M215:N215)</f>
        <v>2120</v>
      </c>
    </row>
    <row r="216" spans="1:15" s="26" customFormat="1" ht="21" customHeight="1">
      <c r="A216" s="162"/>
      <c r="B216" s="162"/>
      <c r="C216" s="163">
        <v>4430</v>
      </c>
      <c r="D216" s="176" t="s">
        <v>97</v>
      </c>
      <c r="E216" s="165">
        <f aca="true" t="shared" si="95" ref="E216:K216">SUM(E217:E232)</f>
        <v>1635</v>
      </c>
      <c r="F216" s="165">
        <f t="shared" si="95"/>
        <v>0</v>
      </c>
      <c r="G216" s="165">
        <f t="shared" si="95"/>
        <v>1635</v>
      </c>
      <c r="H216" s="165">
        <f t="shared" si="95"/>
        <v>0</v>
      </c>
      <c r="I216" s="165">
        <f t="shared" si="95"/>
        <v>1635</v>
      </c>
      <c r="J216" s="165">
        <f t="shared" si="95"/>
        <v>0</v>
      </c>
      <c r="K216" s="165">
        <f t="shared" si="95"/>
        <v>1635</v>
      </c>
      <c r="L216" s="165">
        <f>SUM(L217:L232)</f>
        <v>0</v>
      </c>
      <c r="M216" s="165">
        <f>SUM(M217:M232)</f>
        <v>1635</v>
      </c>
      <c r="N216" s="165">
        <f>SUM(N217:N232)</f>
        <v>0</v>
      </c>
      <c r="O216" s="165">
        <f>SUM(O217:O232)</f>
        <v>1635</v>
      </c>
    </row>
    <row r="217" spans="1:15" s="26" customFormat="1" ht="21" customHeight="1">
      <c r="A217" s="166"/>
      <c r="B217" s="166"/>
      <c r="C217" s="166"/>
      <c r="D217" s="167" t="s">
        <v>302</v>
      </c>
      <c r="E217" s="168">
        <v>220</v>
      </c>
      <c r="F217" s="168"/>
      <c r="G217" s="168">
        <f>SUM(E217:F217)</f>
        <v>220</v>
      </c>
      <c r="H217" s="168"/>
      <c r="I217" s="168">
        <f>SUM(G217:H217)</f>
        <v>220</v>
      </c>
      <c r="J217" s="168"/>
      <c r="K217" s="168">
        <f>SUM(I217:J217)</f>
        <v>220</v>
      </c>
      <c r="L217" s="168"/>
      <c r="M217" s="168">
        <f>SUM(K217:L217)</f>
        <v>220</v>
      </c>
      <c r="N217" s="168"/>
      <c r="O217" s="168">
        <f>SUM(M217:N217)</f>
        <v>220</v>
      </c>
    </row>
    <row r="218" spans="1:15" s="26" customFormat="1" ht="21" customHeight="1">
      <c r="A218" s="166"/>
      <c r="B218" s="166"/>
      <c r="C218" s="166"/>
      <c r="D218" s="167" t="s">
        <v>303</v>
      </c>
      <c r="E218" s="168">
        <v>120</v>
      </c>
      <c r="F218" s="168"/>
      <c r="G218" s="168">
        <f aca="true" t="shared" si="96" ref="G218:G232">SUM(E218:F218)</f>
        <v>120</v>
      </c>
      <c r="H218" s="168"/>
      <c r="I218" s="168">
        <f aca="true" t="shared" si="97" ref="I218:I232">SUM(G218:H218)</f>
        <v>120</v>
      </c>
      <c r="J218" s="168"/>
      <c r="K218" s="168">
        <f aca="true" t="shared" si="98" ref="K218:K232">SUM(I218:J218)</f>
        <v>120</v>
      </c>
      <c r="L218" s="168"/>
      <c r="M218" s="168">
        <f aca="true" t="shared" si="99" ref="M218:M232">SUM(K218:L218)</f>
        <v>120</v>
      </c>
      <c r="N218" s="168"/>
      <c r="O218" s="168">
        <f aca="true" t="shared" si="100" ref="O218:O232">SUM(M218:N218)</f>
        <v>120</v>
      </c>
    </row>
    <row r="219" spans="1:15" s="26" customFormat="1" ht="21" customHeight="1">
      <c r="A219" s="166"/>
      <c r="B219" s="166"/>
      <c r="C219" s="166"/>
      <c r="D219" s="167" t="s">
        <v>292</v>
      </c>
      <c r="E219" s="168">
        <v>100</v>
      </c>
      <c r="F219" s="168"/>
      <c r="G219" s="168">
        <f t="shared" si="96"/>
        <v>100</v>
      </c>
      <c r="H219" s="168"/>
      <c r="I219" s="168">
        <f t="shared" si="97"/>
        <v>100</v>
      </c>
      <c r="J219" s="168"/>
      <c r="K219" s="168">
        <f t="shared" si="98"/>
        <v>100</v>
      </c>
      <c r="L219" s="168"/>
      <c r="M219" s="168">
        <f t="shared" si="99"/>
        <v>100</v>
      </c>
      <c r="N219" s="168"/>
      <c r="O219" s="168">
        <f t="shared" si="100"/>
        <v>100</v>
      </c>
    </row>
    <row r="220" spans="1:15" s="26" customFormat="1" ht="21" customHeight="1">
      <c r="A220" s="166"/>
      <c r="B220" s="166"/>
      <c r="C220" s="166"/>
      <c r="D220" s="167" t="s">
        <v>304</v>
      </c>
      <c r="E220" s="168">
        <v>150</v>
      </c>
      <c r="F220" s="168"/>
      <c r="G220" s="168">
        <f t="shared" si="96"/>
        <v>150</v>
      </c>
      <c r="H220" s="168"/>
      <c r="I220" s="168">
        <f t="shared" si="97"/>
        <v>150</v>
      </c>
      <c r="J220" s="168"/>
      <c r="K220" s="168">
        <f t="shared" si="98"/>
        <v>150</v>
      </c>
      <c r="L220" s="168"/>
      <c r="M220" s="168">
        <f t="shared" si="99"/>
        <v>150</v>
      </c>
      <c r="N220" s="168"/>
      <c r="O220" s="168">
        <f t="shared" si="100"/>
        <v>150</v>
      </c>
    </row>
    <row r="221" spans="1:15" s="26" customFormat="1" ht="21" customHeight="1">
      <c r="A221" s="166"/>
      <c r="B221" s="166"/>
      <c r="C221" s="166"/>
      <c r="D221" s="167" t="s">
        <v>293</v>
      </c>
      <c r="E221" s="168">
        <v>80</v>
      </c>
      <c r="F221" s="168"/>
      <c r="G221" s="168">
        <f t="shared" si="96"/>
        <v>80</v>
      </c>
      <c r="H221" s="168"/>
      <c r="I221" s="168">
        <f t="shared" si="97"/>
        <v>80</v>
      </c>
      <c r="J221" s="168"/>
      <c r="K221" s="168">
        <f t="shared" si="98"/>
        <v>80</v>
      </c>
      <c r="L221" s="168"/>
      <c r="M221" s="168">
        <f t="shared" si="99"/>
        <v>80</v>
      </c>
      <c r="N221" s="168"/>
      <c r="O221" s="168">
        <f t="shared" si="100"/>
        <v>80</v>
      </c>
    </row>
    <row r="222" spans="1:15" s="26" customFormat="1" ht="21" customHeight="1">
      <c r="A222" s="166"/>
      <c r="B222" s="166"/>
      <c r="C222" s="166"/>
      <c r="D222" s="167" t="s">
        <v>294</v>
      </c>
      <c r="E222" s="168">
        <v>100</v>
      </c>
      <c r="F222" s="168"/>
      <c r="G222" s="168">
        <f t="shared" si="96"/>
        <v>100</v>
      </c>
      <c r="H222" s="168"/>
      <c r="I222" s="168">
        <f t="shared" si="97"/>
        <v>100</v>
      </c>
      <c r="J222" s="168"/>
      <c r="K222" s="168">
        <f t="shared" si="98"/>
        <v>100</v>
      </c>
      <c r="L222" s="168"/>
      <c r="M222" s="168">
        <f t="shared" si="99"/>
        <v>100</v>
      </c>
      <c r="N222" s="168"/>
      <c r="O222" s="168">
        <f t="shared" si="100"/>
        <v>100</v>
      </c>
    </row>
    <row r="223" spans="1:15" s="26" customFormat="1" ht="21" customHeight="1">
      <c r="A223" s="166"/>
      <c r="B223" s="166"/>
      <c r="C223" s="166"/>
      <c r="D223" s="167" t="s">
        <v>295</v>
      </c>
      <c r="E223" s="168">
        <v>70</v>
      </c>
      <c r="F223" s="168"/>
      <c r="G223" s="168">
        <f t="shared" si="96"/>
        <v>70</v>
      </c>
      <c r="H223" s="168"/>
      <c r="I223" s="168">
        <f t="shared" si="97"/>
        <v>70</v>
      </c>
      <c r="J223" s="168"/>
      <c r="K223" s="168">
        <f t="shared" si="98"/>
        <v>70</v>
      </c>
      <c r="L223" s="168"/>
      <c r="M223" s="168">
        <f t="shared" si="99"/>
        <v>70</v>
      </c>
      <c r="N223" s="168"/>
      <c r="O223" s="168">
        <f t="shared" si="100"/>
        <v>70</v>
      </c>
    </row>
    <row r="224" spans="1:15" s="26" customFormat="1" ht="21" customHeight="1">
      <c r="A224" s="166"/>
      <c r="B224" s="166"/>
      <c r="C224" s="166"/>
      <c r="D224" s="167" t="s">
        <v>305</v>
      </c>
      <c r="E224" s="168">
        <v>50</v>
      </c>
      <c r="F224" s="168"/>
      <c r="G224" s="168">
        <f t="shared" si="96"/>
        <v>50</v>
      </c>
      <c r="H224" s="168"/>
      <c r="I224" s="168">
        <f t="shared" si="97"/>
        <v>50</v>
      </c>
      <c r="J224" s="168"/>
      <c r="K224" s="168">
        <f t="shared" si="98"/>
        <v>50</v>
      </c>
      <c r="L224" s="168"/>
      <c r="M224" s="168">
        <f t="shared" si="99"/>
        <v>50</v>
      </c>
      <c r="N224" s="168"/>
      <c r="O224" s="168">
        <f t="shared" si="100"/>
        <v>50</v>
      </c>
    </row>
    <row r="225" spans="1:15" s="26" customFormat="1" ht="21" customHeight="1">
      <c r="A225" s="166"/>
      <c r="B225" s="166"/>
      <c r="C225" s="166"/>
      <c r="D225" s="167" t="s">
        <v>296</v>
      </c>
      <c r="E225" s="168">
        <v>150</v>
      </c>
      <c r="F225" s="168"/>
      <c r="G225" s="168">
        <f t="shared" si="96"/>
        <v>150</v>
      </c>
      <c r="H225" s="168"/>
      <c r="I225" s="168">
        <f t="shared" si="97"/>
        <v>150</v>
      </c>
      <c r="J225" s="168"/>
      <c r="K225" s="168">
        <f t="shared" si="98"/>
        <v>150</v>
      </c>
      <c r="L225" s="168"/>
      <c r="M225" s="168">
        <f t="shared" si="99"/>
        <v>150</v>
      </c>
      <c r="N225" s="168"/>
      <c r="O225" s="168">
        <f t="shared" si="100"/>
        <v>150</v>
      </c>
    </row>
    <row r="226" spans="1:15" s="26" customFormat="1" ht="21" customHeight="1">
      <c r="A226" s="166"/>
      <c r="B226" s="166"/>
      <c r="C226" s="166"/>
      <c r="D226" s="167" t="s">
        <v>297</v>
      </c>
      <c r="E226" s="168">
        <v>15</v>
      </c>
      <c r="F226" s="168"/>
      <c r="G226" s="168">
        <f t="shared" si="96"/>
        <v>15</v>
      </c>
      <c r="H226" s="168"/>
      <c r="I226" s="168">
        <f t="shared" si="97"/>
        <v>15</v>
      </c>
      <c r="J226" s="168"/>
      <c r="K226" s="168">
        <f t="shared" si="98"/>
        <v>15</v>
      </c>
      <c r="L226" s="168"/>
      <c r="M226" s="168">
        <f t="shared" si="99"/>
        <v>15</v>
      </c>
      <c r="N226" s="168"/>
      <c r="O226" s="168">
        <f t="shared" si="100"/>
        <v>15</v>
      </c>
    </row>
    <row r="227" spans="1:15" s="26" customFormat="1" ht="21" customHeight="1">
      <c r="A227" s="166"/>
      <c r="B227" s="166"/>
      <c r="C227" s="166"/>
      <c r="D227" s="167" t="s">
        <v>299</v>
      </c>
      <c r="E227" s="168">
        <v>150</v>
      </c>
      <c r="F227" s="168"/>
      <c r="G227" s="168">
        <f t="shared" si="96"/>
        <v>150</v>
      </c>
      <c r="H227" s="168"/>
      <c r="I227" s="168">
        <f t="shared" si="97"/>
        <v>150</v>
      </c>
      <c r="J227" s="168"/>
      <c r="K227" s="168">
        <f t="shared" si="98"/>
        <v>150</v>
      </c>
      <c r="L227" s="168"/>
      <c r="M227" s="168">
        <f t="shared" si="99"/>
        <v>150</v>
      </c>
      <c r="N227" s="168"/>
      <c r="O227" s="168">
        <f t="shared" si="100"/>
        <v>150</v>
      </c>
    </row>
    <row r="228" spans="1:15" s="26" customFormat="1" ht="21" customHeight="1">
      <c r="A228" s="166"/>
      <c r="B228" s="166"/>
      <c r="C228" s="166"/>
      <c r="D228" s="167" t="s">
        <v>306</v>
      </c>
      <c r="E228" s="186">
        <v>100</v>
      </c>
      <c r="F228" s="186"/>
      <c r="G228" s="168">
        <f t="shared" si="96"/>
        <v>100</v>
      </c>
      <c r="H228" s="186"/>
      <c r="I228" s="168">
        <f t="shared" si="97"/>
        <v>100</v>
      </c>
      <c r="J228" s="186"/>
      <c r="K228" s="168">
        <f t="shared" si="98"/>
        <v>100</v>
      </c>
      <c r="L228" s="186"/>
      <c r="M228" s="168">
        <f t="shared" si="99"/>
        <v>100</v>
      </c>
      <c r="N228" s="186"/>
      <c r="O228" s="168">
        <f t="shared" si="100"/>
        <v>100</v>
      </c>
    </row>
    <row r="229" spans="1:15" s="26" customFormat="1" ht="21" customHeight="1">
      <c r="A229" s="166"/>
      <c r="B229" s="166"/>
      <c r="C229" s="166"/>
      <c r="D229" s="167" t="s">
        <v>307</v>
      </c>
      <c r="E229" s="168">
        <v>80</v>
      </c>
      <c r="F229" s="168"/>
      <c r="G229" s="168">
        <f t="shared" si="96"/>
        <v>80</v>
      </c>
      <c r="H229" s="168"/>
      <c r="I229" s="168">
        <f t="shared" si="97"/>
        <v>80</v>
      </c>
      <c r="J229" s="168"/>
      <c r="K229" s="168">
        <f t="shared" si="98"/>
        <v>80</v>
      </c>
      <c r="L229" s="168"/>
      <c r="M229" s="168">
        <f t="shared" si="99"/>
        <v>80</v>
      </c>
      <c r="N229" s="168"/>
      <c r="O229" s="168">
        <f t="shared" si="100"/>
        <v>80</v>
      </c>
    </row>
    <row r="230" spans="1:15" s="26" customFormat="1" ht="21" customHeight="1">
      <c r="A230" s="166"/>
      <c r="B230" s="166"/>
      <c r="C230" s="166"/>
      <c r="D230" s="167" t="s">
        <v>310</v>
      </c>
      <c r="E230" s="168">
        <v>100</v>
      </c>
      <c r="F230" s="168"/>
      <c r="G230" s="168">
        <f t="shared" si="96"/>
        <v>100</v>
      </c>
      <c r="H230" s="168"/>
      <c r="I230" s="168">
        <f t="shared" si="97"/>
        <v>100</v>
      </c>
      <c r="J230" s="168"/>
      <c r="K230" s="168">
        <f t="shared" si="98"/>
        <v>100</v>
      </c>
      <c r="L230" s="168"/>
      <c r="M230" s="168">
        <f t="shared" si="99"/>
        <v>100</v>
      </c>
      <c r="N230" s="168"/>
      <c r="O230" s="168">
        <f t="shared" si="100"/>
        <v>100</v>
      </c>
    </row>
    <row r="231" spans="1:15" s="26" customFormat="1" ht="21" customHeight="1">
      <c r="A231" s="166"/>
      <c r="B231" s="166"/>
      <c r="C231" s="166"/>
      <c r="D231" s="167" t="s">
        <v>301</v>
      </c>
      <c r="E231" s="168">
        <v>50</v>
      </c>
      <c r="F231" s="168"/>
      <c r="G231" s="168">
        <f t="shared" si="96"/>
        <v>50</v>
      </c>
      <c r="H231" s="168"/>
      <c r="I231" s="168">
        <f t="shared" si="97"/>
        <v>50</v>
      </c>
      <c r="J231" s="168"/>
      <c r="K231" s="168">
        <f t="shared" si="98"/>
        <v>50</v>
      </c>
      <c r="L231" s="168"/>
      <c r="M231" s="168">
        <f t="shared" si="99"/>
        <v>50</v>
      </c>
      <c r="N231" s="168"/>
      <c r="O231" s="168">
        <f t="shared" si="100"/>
        <v>50</v>
      </c>
    </row>
    <row r="232" spans="1:15" s="26" customFormat="1" ht="21" customHeight="1">
      <c r="A232" s="166"/>
      <c r="B232" s="166"/>
      <c r="C232" s="166"/>
      <c r="D232" s="167" t="s">
        <v>311</v>
      </c>
      <c r="E232" s="168">
        <v>100</v>
      </c>
      <c r="F232" s="168"/>
      <c r="G232" s="168">
        <f t="shared" si="96"/>
        <v>100</v>
      </c>
      <c r="H232" s="168"/>
      <c r="I232" s="168">
        <f t="shared" si="97"/>
        <v>100</v>
      </c>
      <c r="J232" s="168"/>
      <c r="K232" s="168">
        <f t="shared" si="98"/>
        <v>100</v>
      </c>
      <c r="L232" s="168"/>
      <c r="M232" s="168">
        <f t="shared" si="99"/>
        <v>100</v>
      </c>
      <c r="N232" s="168"/>
      <c r="O232" s="168">
        <f t="shared" si="100"/>
        <v>100</v>
      </c>
    </row>
    <row r="233" spans="1:15" s="9" customFormat="1" ht="21" customHeight="1">
      <c r="A233" s="155" t="s">
        <v>145</v>
      </c>
      <c r="B233" s="156"/>
      <c r="C233" s="156"/>
      <c r="D233" s="157" t="s">
        <v>68</v>
      </c>
      <c r="E233" s="158">
        <f aca="true" t="shared" si="101" ref="E233:O233">SUM(E234)</f>
        <v>15290</v>
      </c>
      <c r="F233" s="158">
        <f t="shared" si="101"/>
        <v>0</v>
      </c>
      <c r="G233" s="158">
        <f t="shared" si="101"/>
        <v>15290</v>
      </c>
      <c r="H233" s="158">
        <f t="shared" si="101"/>
        <v>0</v>
      </c>
      <c r="I233" s="158">
        <f t="shared" si="101"/>
        <v>15290</v>
      </c>
      <c r="J233" s="158">
        <f t="shared" si="101"/>
        <v>0</v>
      </c>
      <c r="K233" s="158">
        <f t="shared" si="101"/>
        <v>15290</v>
      </c>
      <c r="L233" s="158">
        <f t="shared" si="101"/>
        <v>0</v>
      </c>
      <c r="M233" s="158">
        <f t="shared" si="101"/>
        <v>15290</v>
      </c>
      <c r="N233" s="158">
        <f t="shared" si="101"/>
        <v>0</v>
      </c>
      <c r="O233" s="158">
        <f t="shared" si="101"/>
        <v>15290</v>
      </c>
    </row>
    <row r="234" spans="1:15" s="26" customFormat="1" ht="21" customHeight="1">
      <c r="A234" s="163"/>
      <c r="B234" s="171">
        <v>92605</v>
      </c>
      <c r="C234" s="163"/>
      <c r="D234" s="164" t="s">
        <v>69</v>
      </c>
      <c r="E234" s="165">
        <f aca="true" t="shared" si="102" ref="E234:K234">SUM(E235,E243,E245)</f>
        <v>15290</v>
      </c>
      <c r="F234" s="165">
        <f t="shared" si="102"/>
        <v>0</v>
      </c>
      <c r="G234" s="165">
        <f t="shared" si="102"/>
        <v>15290</v>
      </c>
      <c r="H234" s="165">
        <f t="shared" si="102"/>
        <v>0</v>
      </c>
      <c r="I234" s="165">
        <f t="shared" si="102"/>
        <v>15290</v>
      </c>
      <c r="J234" s="165">
        <f t="shared" si="102"/>
        <v>0</v>
      </c>
      <c r="K234" s="165">
        <f t="shared" si="102"/>
        <v>15290</v>
      </c>
      <c r="L234" s="165">
        <f>SUM(L235,L243,L245)</f>
        <v>0</v>
      </c>
      <c r="M234" s="165">
        <f>SUM(M235,M243,M245)</f>
        <v>15290</v>
      </c>
      <c r="N234" s="165">
        <f>SUM(N235,N243,N245)</f>
        <v>0</v>
      </c>
      <c r="O234" s="165">
        <f>SUM(O235,O243,O245)</f>
        <v>15290</v>
      </c>
    </row>
    <row r="235" spans="1:15" s="26" customFormat="1" ht="21" customHeight="1">
      <c r="A235" s="163"/>
      <c r="B235" s="162"/>
      <c r="C235" s="162" t="s">
        <v>309</v>
      </c>
      <c r="D235" s="164" t="s">
        <v>95</v>
      </c>
      <c r="E235" s="165">
        <f aca="true" t="shared" si="103" ref="E235:K235">SUM(E236:E242)</f>
        <v>9590</v>
      </c>
      <c r="F235" s="165">
        <f t="shared" si="103"/>
        <v>0</v>
      </c>
      <c r="G235" s="165">
        <f t="shared" si="103"/>
        <v>9590</v>
      </c>
      <c r="H235" s="165">
        <f t="shared" si="103"/>
        <v>0</v>
      </c>
      <c r="I235" s="165">
        <f t="shared" si="103"/>
        <v>9590</v>
      </c>
      <c r="J235" s="165">
        <f t="shared" si="103"/>
        <v>0</v>
      </c>
      <c r="K235" s="165">
        <f t="shared" si="103"/>
        <v>9590</v>
      </c>
      <c r="L235" s="165">
        <f>SUM(L236:L242)</f>
        <v>0</v>
      </c>
      <c r="M235" s="165">
        <f>SUM(M236:M242)</f>
        <v>9590</v>
      </c>
      <c r="N235" s="165">
        <f>SUM(N236:N242)</f>
        <v>0</v>
      </c>
      <c r="O235" s="165">
        <f>SUM(O236:O242)</f>
        <v>9590</v>
      </c>
    </row>
    <row r="236" spans="1:15" s="26" customFormat="1" ht="21" customHeight="1">
      <c r="A236" s="166"/>
      <c r="B236" s="166"/>
      <c r="C236" s="166"/>
      <c r="D236" s="167" t="s">
        <v>304</v>
      </c>
      <c r="E236" s="168">
        <v>1300</v>
      </c>
      <c r="F236" s="168"/>
      <c r="G236" s="168">
        <f>SUM(E236:F236)</f>
        <v>1300</v>
      </c>
      <c r="H236" s="168"/>
      <c r="I236" s="168">
        <f>SUM(G236:H236)</f>
        <v>1300</v>
      </c>
      <c r="J236" s="168"/>
      <c r="K236" s="168">
        <f>SUM(I236:J236)</f>
        <v>1300</v>
      </c>
      <c r="L236" s="168"/>
      <c r="M236" s="168">
        <f>SUM(K236:L236)</f>
        <v>1300</v>
      </c>
      <c r="N236" s="168"/>
      <c r="O236" s="168">
        <f>SUM(M236:N236)</f>
        <v>1300</v>
      </c>
    </row>
    <row r="237" spans="1:15" s="26" customFormat="1" ht="21" customHeight="1">
      <c r="A237" s="166"/>
      <c r="B237" s="166"/>
      <c r="C237" s="166"/>
      <c r="D237" s="167" t="s">
        <v>295</v>
      </c>
      <c r="E237" s="168">
        <v>170</v>
      </c>
      <c r="F237" s="168"/>
      <c r="G237" s="168">
        <f aca="true" t="shared" si="104" ref="G237:G242">SUM(E237:F237)</f>
        <v>170</v>
      </c>
      <c r="H237" s="168"/>
      <c r="I237" s="168">
        <f aca="true" t="shared" si="105" ref="I237:I242">SUM(G237:H237)</f>
        <v>170</v>
      </c>
      <c r="J237" s="168"/>
      <c r="K237" s="168">
        <f aca="true" t="shared" si="106" ref="K237:K242">SUM(I237:J237)</f>
        <v>170</v>
      </c>
      <c r="L237" s="168"/>
      <c r="M237" s="168">
        <f aca="true" t="shared" si="107" ref="M237:M242">SUM(K237:L237)</f>
        <v>170</v>
      </c>
      <c r="N237" s="168"/>
      <c r="O237" s="168">
        <f aca="true" t="shared" si="108" ref="O237:O242">SUM(M237:N237)</f>
        <v>170</v>
      </c>
    </row>
    <row r="238" spans="1:15" s="26" customFormat="1" ht="21" customHeight="1">
      <c r="A238" s="166"/>
      <c r="B238" s="166"/>
      <c r="C238" s="166"/>
      <c r="D238" s="167" t="s">
        <v>294</v>
      </c>
      <c r="E238" s="168">
        <v>1000</v>
      </c>
      <c r="F238" s="168"/>
      <c r="G238" s="168">
        <f t="shared" si="104"/>
        <v>1000</v>
      </c>
      <c r="H238" s="168"/>
      <c r="I238" s="168">
        <f t="shared" si="105"/>
        <v>1000</v>
      </c>
      <c r="J238" s="168"/>
      <c r="K238" s="168">
        <f t="shared" si="106"/>
        <v>1000</v>
      </c>
      <c r="L238" s="168"/>
      <c r="M238" s="168">
        <f t="shared" si="107"/>
        <v>1000</v>
      </c>
      <c r="N238" s="168"/>
      <c r="O238" s="168">
        <f t="shared" si="108"/>
        <v>1000</v>
      </c>
    </row>
    <row r="239" spans="1:15" s="26" customFormat="1" ht="21" customHeight="1">
      <c r="A239" s="166"/>
      <c r="B239" s="166"/>
      <c r="C239" s="166"/>
      <c r="D239" s="167" t="s">
        <v>305</v>
      </c>
      <c r="E239" s="168">
        <v>1000</v>
      </c>
      <c r="F239" s="168"/>
      <c r="G239" s="168">
        <f t="shared" si="104"/>
        <v>1000</v>
      </c>
      <c r="H239" s="168"/>
      <c r="I239" s="168">
        <f t="shared" si="105"/>
        <v>1000</v>
      </c>
      <c r="J239" s="168"/>
      <c r="K239" s="168">
        <f t="shared" si="106"/>
        <v>1000</v>
      </c>
      <c r="L239" s="168"/>
      <c r="M239" s="168">
        <f t="shared" si="107"/>
        <v>1000</v>
      </c>
      <c r="N239" s="168"/>
      <c r="O239" s="168">
        <f t="shared" si="108"/>
        <v>1000</v>
      </c>
    </row>
    <row r="240" spans="1:15" s="26" customFormat="1" ht="21" customHeight="1">
      <c r="A240" s="166"/>
      <c r="B240" s="166"/>
      <c r="C240" s="166"/>
      <c r="D240" s="167" t="s">
        <v>296</v>
      </c>
      <c r="E240" s="168">
        <v>1500</v>
      </c>
      <c r="F240" s="168"/>
      <c r="G240" s="168">
        <f t="shared" si="104"/>
        <v>1500</v>
      </c>
      <c r="H240" s="168"/>
      <c r="I240" s="168">
        <f t="shared" si="105"/>
        <v>1500</v>
      </c>
      <c r="J240" s="168"/>
      <c r="K240" s="168">
        <f t="shared" si="106"/>
        <v>1500</v>
      </c>
      <c r="L240" s="168"/>
      <c r="M240" s="168">
        <f t="shared" si="107"/>
        <v>1500</v>
      </c>
      <c r="N240" s="168"/>
      <c r="O240" s="168">
        <f t="shared" si="108"/>
        <v>1500</v>
      </c>
    </row>
    <row r="241" spans="1:15" s="26" customFormat="1" ht="21" customHeight="1">
      <c r="A241" s="166"/>
      <c r="B241" s="166"/>
      <c r="C241" s="166"/>
      <c r="D241" s="167" t="s">
        <v>306</v>
      </c>
      <c r="E241" s="168">
        <v>3090</v>
      </c>
      <c r="F241" s="168"/>
      <c r="G241" s="168">
        <f t="shared" si="104"/>
        <v>3090</v>
      </c>
      <c r="H241" s="168"/>
      <c r="I241" s="168">
        <f t="shared" si="105"/>
        <v>3090</v>
      </c>
      <c r="J241" s="168"/>
      <c r="K241" s="168">
        <f t="shared" si="106"/>
        <v>3090</v>
      </c>
      <c r="L241" s="168"/>
      <c r="M241" s="168">
        <f t="shared" si="107"/>
        <v>3090</v>
      </c>
      <c r="N241" s="168"/>
      <c r="O241" s="168">
        <f t="shared" si="108"/>
        <v>3090</v>
      </c>
    </row>
    <row r="242" spans="1:15" s="26" customFormat="1" ht="21" customHeight="1">
      <c r="A242" s="166"/>
      <c r="B242" s="166"/>
      <c r="C242" s="166"/>
      <c r="D242" s="167" t="s">
        <v>310</v>
      </c>
      <c r="E242" s="168">
        <v>1530</v>
      </c>
      <c r="F242" s="168"/>
      <c r="G242" s="168">
        <f t="shared" si="104"/>
        <v>1530</v>
      </c>
      <c r="H242" s="168"/>
      <c r="I242" s="168">
        <f t="shared" si="105"/>
        <v>1530</v>
      </c>
      <c r="J242" s="168"/>
      <c r="K242" s="168">
        <f t="shared" si="106"/>
        <v>1530</v>
      </c>
      <c r="L242" s="168"/>
      <c r="M242" s="168">
        <f t="shared" si="107"/>
        <v>1530</v>
      </c>
      <c r="N242" s="168"/>
      <c r="O242" s="168">
        <f t="shared" si="108"/>
        <v>1530</v>
      </c>
    </row>
    <row r="243" spans="1:15" s="26" customFormat="1" ht="21" customHeight="1">
      <c r="A243" s="162"/>
      <c r="B243" s="162"/>
      <c r="C243" s="162" t="s">
        <v>316</v>
      </c>
      <c r="D243" s="164" t="s">
        <v>98</v>
      </c>
      <c r="E243" s="165">
        <f aca="true" t="shared" si="109" ref="E243:O243">SUM(E244:E244)</f>
        <v>1100</v>
      </c>
      <c r="F243" s="165">
        <f t="shared" si="109"/>
        <v>0</v>
      </c>
      <c r="G243" s="165">
        <f t="shared" si="109"/>
        <v>1100</v>
      </c>
      <c r="H243" s="165">
        <f t="shared" si="109"/>
        <v>0</v>
      </c>
      <c r="I243" s="165">
        <f t="shared" si="109"/>
        <v>1100</v>
      </c>
      <c r="J243" s="165">
        <f t="shared" si="109"/>
        <v>0</v>
      </c>
      <c r="K243" s="165">
        <f t="shared" si="109"/>
        <v>1100</v>
      </c>
      <c r="L243" s="165">
        <f t="shared" si="109"/>
        <v>0</v>
      </c>
      <c r="M243" s="165">
        <f t="shared" si="109"/>
        <v>1100</v>
      </c>
      <c r="N243" s="165">
        <f t="shared" si="109"/>
        <v>0</v>
      </c>
      <c r="O243" s="165">
        <f t="shared" si="109"/>
        <v>1100</v>
      </c>
    </row>
    <row r="244" spans="1:15" s="26" customFormat="1" ht="21" customHeight="1">
      <c r="A244" s="166"/>
      <c r="B244" s="166"/>
      <c r="C244" s="166"/>
      <c r="D244" s="167" t="s">
        <v>299</v>
      </c>
      <c r="E244" s="168">
        <v>1100</v>
      </c>
      <c r="F244" s="168"/>
      <c r="G244" s="168">
        <f>SUM(E244:F244)</f>
        <v>1100</v>
      </c>
      <c r="H244" s="168"/>
      <c r="I244" s="168">
        <f>SUM(G244:H244)</f>
        <v>1100</v>
      </c>
      <c r="J244" s="168"/>
      <c r="K244" s="168">
        <f>SUM(I244:J244)</f>
        <v>1100</v>
      </c>
      <c r="L244" s="168"/>
      <c r="M244" s="168">
        <f>SUM(K244:L244)</f>
        <v>1100</v>
      </c>
      <c r="N244" s="168"/>
      <c r="O244" s="168">
        <f>SUM(M244:N244)</f>
        <v>1100</v>
      </c>
    </row>
    <row r="245" spans="1:15" s="26" customFormat="1" ht="21" customHeight="1">
      <c r="A245" s="163"/>
      <c r="B245" s="162"/>
      <c r="C245" s="163">
        <v>4300</v>
      </c>
      <c r="D245" s="176" t="s">
        <v>82</v>
      </c>
      <c r="E245" s="165">
        <f aca="true" t="shared" si="110" ref="E245:K245">SUM(E246:E251)</f>
        <v>4600</v>
      </c>
      <c r="F245" s="165">
        <f t="shared" si="110"/>
        <v>0</v>
      </c>
      <c r="G245" s="165">
        <f t="shared" si="110"/>
        <v>4600</v>
      </c>
      <c r="H245" s="165">
        <f t="shared" si="110"/>
        <v>0</v>
      </c>
      <c r="I245" s="165">
        <f t="shared" si="110"/>
        <v>4600</v>
      </c>
      <c r="J245" s="165">
        <f t="shared" si="110"/>
        <v>0</v>
      </c>
      <c r="K245" s="165">
        <f t="shared" si="110"/>
        <v>4600</v>
      </c>
      <c r="L245" s="165">
        <f>SUM(L246:L251)</f>
        <v>0</v>
      </c>
      <c r="M245" s="165">
        <f>SUM(M246:M251)</f>
        <v>4600</v>
      </c>
      <c r="N245" s="165">
        <f>SUM(N246:N251)</f>
        <v>0</v>
      </c>
      <c r="O245" s="165">
        <f>SUM(O246:O251)</f>
        <v>4600</v>
      </c>
    </row>
    <row r="246" spans="1:15" s="26" customFormat="1" ht="21" customHeight="1">
      <c r="A246" s="166"/>
      <c r="B246" s="166"/>
      <c r="C246" s="166"/>
      <c r="D246" s="167" t="s">
        <v>302</v>
      </c>
      <c r="E246" s="168">
        <v>600</v>
      </c>
      <c r="F246" s="168"/>
      <c r="G246" s="168">
        <f aca="true" t="shared" si="111" ref="G246:G251">SUM(E246:F246)</f>
        <v>600</v>
      </c>
      <c r="H246" s="168"/>
      <c r="I246" s="168">
        <f aca="true" t="shared" si="112" ref="I246:I251">SUM(G246:H246)</f>
        <v>600</v>
      </c>
      <c r="J246" s="168"/>
      <c r="K246" s="168">
        <f aca="true" t="shared" si="113" ref="K246:K251">SUM(I246:J246)</f>
        <v>600</v>
      </c>
      <c r="L246" s="168"/>
      <c r="M246" s="168">
        <f aca="true" t="shared" si="114" ref="M246:M251">SUM(K246:L246)</f>
        <v>600</v>
      </c>
      <c r="N246" s="168"/>
      <c r="O246" s="168">
        <f aca="true" t="shared" si="115" ref="O246:O251">SUM(M246:N246)</f>
        <v>600</v>
      </c>
    </row>
    <row r="247" spans="1:15" s="26" customFormat="1" ht="21" customHeight="1">
      <c r="A247" s="166"/>
      <c r="B247" s="166"/>
      <c r="C247" s="166"/>
      <c r="D247" s="167" t="s">
        <v>304</v>
      </c>
      <c r="E247" s="168">
        <v>1200</v>
      </c>
      <c r="F247" s="168"/>
      <c r="G247" s="168">
        <f t="shared" si="111"/>
        <v>1200</v>
      </c>
      <c r="H247" s="168"/>
      <c r="I247" s="168">
        <f t="shared" si="112"/>
        <v>1200</v>
      </c>
      <c r="J247" s="168"/>
      <c r="K247" s="168">
        <f t="shared" si="113"/>
        <v>1200</v>
      </c>
      <c r="L247" s="168"/>
      <c r="M247" s="168">
        <f t="shared" si="114"/>
        <v>1200</v>
      </c>
      <c r="N247" s="168"/>
      <c r="O247" s="168">
        <f t="shared" si="115"/>
        <v>1200</v>
      </c>
    </row>
    <row r="248" spans="1:15" s="26" customFormat="1" ht="21" customHeight="1">
      <c r="A248" s="166"/>
      <c r="B248" s="166"/>
      <c r="C248" s="166"/>
      <c r="D248" s="167" t="s">
        <v>293</v>
      </c>
      <c r="E248" s="168">
        <v>300</v>
      </c>
      <c r="F248" s="168"/>
      <c r="G248" s="168">
        <f t="shared" si="111"/>
        <v>300</v>
      </c>
      <c r="H248" s="168"/>
      <c r="I248" s="168">
        <f t="shared" si="112"/>
        <v>300</v>
      </c>
      <c r="J248" s="168"/>
      <c r="K248" s="168">
        <f t="shared" si="113"/>
        <v>300</v>
      </c>
      <c r="L248" s="168"/>
      <c r="M248" s="168">
        <f t="shared" si="114"/>
        <v>300</v>
      </c>
      <c r="N248" s="168"/>
      <c r="O248" s="168">
        <f t="shared" si="115"/>
        <v>300</v>
      </c>
    </row>
    <row r="249" spans="1:15" s="26" customFormat="1" ht="21" customHeight="1">
      <c r="A249" s="166"/>
      <c r="B249" s="166"/>
      <c r="C249" s="166"/>
      <c r="D249" s="167" t="s">
        <v>305</v>
      </c>
      <c r="E249" s="168">
        <v>600</v>
      </c>
      <c r="F249" s="168"/>
      <c r="G249" s="168">
        <f t="shared" si="111"/>
        <v>600</v>
      </c>
      <c r="H249" s="168"/>
      <c r="I249" s="168">
        <f t="shared" si="112"/>
        <v>600</v>
      </c>
      <c r="J249" s="168"/>
      <c r="K249" s="168">
        <f t="shared" si="113"/>
        <v>600</v>
      </c>
      <c r="L249" s="168"/>
      <c r="M249" s="168">
        <f t="shared" si="114"/>
        <v>600</v>
      </c>
      <c r="N249" s="168"/>
      <c r="O249" s="168">
        <f t="shared" si="115"/>
        <v>600</v>
      </c>
    </row>
    <row r="250" spans="1:15" s="26" customFormat="1" ht="21" customHeight="1">
      <c r="A250" s="166"/>
      <c r="B250" s="166"/>
      <c r="C250" s="166"/>
      <c r="D250" s="167" t="s">
        <v>296</v>
      </c>
      <c r="E250" s="168">
        <v>1200</v>
      </c>
      <c r="F250" s="168"/>
      <c r="G250" s="168">
        <f t="shared" si="111"/>
        <v>1200</v>
      </c>
      <c r="H250" s="168"/>
      <c r="I250" s="168">
        <f t="shared" si="112"/>
        <v>1200</v>
      </c>
      <c r="J250" s="168"/>
      <c r="K250" s="168">
        <f t="shared" si="113"/>
        <v>1200</v>
      </c>
      <c r="L250" s="168"/>
      <c r="M250" s="168">
        <f t="shared" si="114"/>
        <v>1200</v>
      </c>
      <c r="N250" s="168"/>
      <c r="O250" s="168">
        <f t="shared" si="115"/>
        <v>1200</v>
      </c>
    </row>
    <row r="251" spans="1:15" s="26" customFormat="1" ht="21" customHeight="1">
      <c r="A251" s="166"/>
      <c r="B251" s="166"/>
      <c r="C251" s="166"/>
      <c r="D251" s="167" t="s">
        <v>306</v>
      </c>
      <c r="E251" s="168">
        <v>700</v>
      </c>
      <c r="F251" s="168"/>
      <c r="G251" s="168">
        <f t="shared" si="111"/>
        <v>700</v>
      </c>
      <c r="H251" s="168"/>
      <c r="I251" s="168">
        <f t="shared" si="112"/>
        <v>700</v>
      </c>
      <c r="J251" s="168"/>
      <c r="K251" s="168">
        <f t="shared" si="113"/>
        <v>700</v>
      </c>
      <c r="L251" s="168"/>
      <c r="M251" s="168">
        <f t="shared" si="114"/>
        <v>700</v>
      </c>
      <c r="N251" s="168"/>
      <c r="O251" s="168">
        <f t="shared" si="115"/>
        <v>700</v>
      </c>
    </row>
    <row r="252" spans="1:15" s="9" customFormat="1" ht="21" customHeight="1">
      <c r="A252" s="180"/>
      <c r="B252" s="180"/>
      <c r="C252" s="180"/>
      <c r="D252" s="181" t="s">
        <v>70</v>
      </c>
      <c r="E252" s="158">
        <f aca="true" t="shared" si="116" ref="E252:K252">SUM(E7,E39,E45,E50,E78,E87,E121,E135,E173,E233,E117)</f>
        <v>372000</v>
      </c>
      <c r="F252" s="158">
        <f t="shared" si="116"/>
        <v>-500</v>
      </c>
      <c r="G252" s="158">
        <f t="shared" si="116"/>
        <v>371500</v>
      </c>
      <c r="H252" s="158">
        <f t="shared" si="116"/>
        <v>0</v>
      </c>
      <c r="I252" s="158">
        <f t="shared" si="116"/>
        <v>371500</v>
      </c>
      <c r="J252" s="158">
        <f t="shared" si="116"/>
        <v>0</v>
      </c>
      <c r="K252" s="158">
        <f t="shared" si="116"/>
        <v>371500</v>
      </c>
      <c r="L252" s="158">
        <f>SUM(L7,L39,L45,L50,L78,L87,L121,L135,L173,L233,L117)</f>
        <v>0</v>
      </c>
      <c r="M252" s="158">
        <f>SUM(M7,M39,M45,M50,M78,M87,M121,M135,M173,M233,M117)</f>
        <v>371500</v>
      </c>
      <c r="N252" s="158">
        <f>SUM(N7,N39,N45,N50,N78,N87,N121,N135,N173,N233,N117)</f>
        <v>0</v>
      </c>
      <c r="O252" s="158">
        <f>SUM(O7,O39,O45,O50,O78,O87,O121,O135,O173,O233,O117)</f>
        <v>371500</v>
      </c>
    </row>
    <row r="256" spans="5:15" ht="12.75"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2009-07-03T08:50:15Z</cp:lastPrinted>
  <dcterms:created xsi:type="dcterms:W3CDTF">2002-10-21T08:56:44Z</dcterms:created>
  <dcterms:modified xsi:type="dcterms:W3CDTF">2009-07-03T10:37:08Z</dcterms:modified>
  <cp:category/>
  <cp:version/>
  <cp:contentType/>
  <cp:contentStatus/>
</cp:coreProperties>
</file>