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1"/>
  </bookViews>
  <sheets>
    <sheet name="dochody 2009 zał.1" sheetId="1" r:id="rId1"/>
    <sheet name="wydatki 2009 zał.2" sheetId="2" r:id="rId2"/>
    <sheet name="dot. otrzym.2007 zał.3" sheetId="3" r:id="rId3"/>
    <sheet name="poroz. zał 4" sheetId="4" r:id="rId4"/>
    <sheet name="zał 5 " sheetId="5" r:id="rId5"/>
    <sheet name="Arkusz1" sheetId="6" r:id="rId6"/>
  </sheets>
  <definedNames>
    <definedName name="_xlnm.Print_Titles" localSheetId="0">'dochody 2009 zał.1'!$6:$6</definedName>
    <definedName name="_xlnm.Print_Titles" localSheetId="2">'dot. otrzym.2007 zał.3'!$6:$6</definedName>
    <definedName name="_xlnm.Print_Titles" localSheetId="3">'poroz. zał 4'!$6:$6</definedName>
    <definedName name="_xlnm.Print_Titles" localSheetId="1">'wydatki 2009 zał.2'!$6:$6</definedName>
    <definedName name="_xlnm.Print_Titles" localSheetId="4">'zał 5 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4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0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3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E3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E38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38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0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E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E45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4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1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20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3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38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386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F4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0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5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1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3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3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4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1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2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20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3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4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30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38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38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G4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0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1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2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2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2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5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54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5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298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03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F384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</commentList>
</comments>
</file>

<file path=xl/sharedStrings.xml><?xml version="1.0" encoding="utf-8"?>
<sst xmlns="http://schemas.openxmlformats.org/spreadsheetml/2006/main" count="1161" uniqueCount="360">
  <si>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</si>
  <si>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</si>
  <si>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</si>
  <si>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</si>
  <si>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</si>
  <si>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</si>
  <si>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</si>
  <si>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</si>
  <si>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</si>
  <si>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</si>
  <si>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</si>
  <si>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</si>
  <si>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</si>
  <si>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</si>
  <si>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</si>
  <si>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</si>
  <si>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</si>
  <si>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</si>
  <si>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</si>
  <si>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</si>
  <si>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</si>
  <si>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</si>
  <si>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</si>
  <si>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</si>
  <si>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</si>
  <si>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</si>
  <si>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</si>
  <si>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</si>
  <si>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</si>
  <si>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</si>
  <si>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</si>
  <si>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</si>
  <si>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</si>
  <si>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</si>
  <si>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</si>
  <si>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</si>
  <si>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</si>
  <si>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</si>
  <si>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</si>
  <si>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</si>
  <si>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</si>
  <si>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</si>
  <si>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</si>
  <si>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</si>
  <si>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</si>
  <si>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</si>
  <si>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</si>
  <si>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</si>
  <si>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</si>
  <si>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</si>
  <si>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</si>
  <si>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</si>
  <si>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</si>
  <si>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</si>
  <si>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</si>
  <si>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</si>
  <si>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</si>
  <si>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</si>
  <si>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</si>
  <si>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</si>
  <si>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</si>
  <si>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</si>
  <si>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</si>
  <si>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</si>
  <si>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</si>
  <si>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</si>
  <si>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</si>
  <si>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</si>
  <si>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</si>
  <si>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</si>
  <si>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</si>
  <si>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</si>
  <si>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</si>
  <si>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</si>
  <si>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</si>
  <si>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</si>
  <si>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</si>
  <si>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</si>
  <si>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</si>
  <si>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</si>
  <si>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</si>
  <si>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</si>
  <si>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</si>
  <si>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</si>
  <si>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</si>
  <si>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</si>
  <si>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</si>
  <si>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</si>
  <si>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</si>
  <si>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</si>
  <si>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</si>
  <si>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</si>
  <si>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</si>
  <si>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</si>
  <si>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</si>
  <si>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</si>
  <si>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</si>
  <si>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</si>
  <si>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</si>
  <si>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</si>
  <si>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</si>
  <si>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</si>
  <si>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</si>
  <si>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</si>
  <si>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</si>
  <si>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</si>
  <si>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</si>
  <si>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</si>
  <si>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</si>
  <si>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</si>
  <si>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</si>
  <si>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</si>
  <si>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</si>
  <si>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</si>
  <si>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</si>
  <si>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</si>
  <si>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</si>
  <si>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</si>
  <si>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</si>
  <si>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</si>
  <si>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</si>
  <si>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</si>
  <si>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</si>
  <si>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</si>
  <si>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</si>
  <si>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</si>
  <si>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</si>
  <si>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</si>
  <si>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</si>
  <si>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</si>
  <si>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</si>
  <si>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</si>
  <si>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</si>
  <si>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</si>
  <si>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</si>
  <si>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</si>
  <si>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</si>
  <si>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</si>
  <si>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</si>
  <si>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</si>
  <si>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</si>
  <si>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dotacja podmiotowa z budżetu dla instytucji kultury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</si>
  <si>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</si>
  <si>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</si>
  <si>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</si>
  <si>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</si>
  <si>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</si>
  <si>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</si>
  <si>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</si>
  <si>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</si>
  <si>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</si>
  <si>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</si>
  <si>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</si>
  <si>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</si>
  <si>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</si>
  <si>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</si>
  <si>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</si>
  <si>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</si>
  <si>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</si>
  <si>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</si>
  <si>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</si>
  <si>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</si>
  <si>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</si>
  <si>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</si>
  <si>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</si>
  <si>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</si>
  <si>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</si>
  <si>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</si>
  <si>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</si>
  <si>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</si>
  <si>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</si>
  <si>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</si>
  <si>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</si>
  <si>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</si>
  <si>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</si>
  <si>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</si>
  <si>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</si>
  <si>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</si>
  <si>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</si>
  <si>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</si>
  <si>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</si>
  <si>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</si>
  <si>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</si>
  <si>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</si>
  <si>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</si>
  <si>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</si>
  <si>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</si>
  <si>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</si>
  <si>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</si>
  <si>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</si>
  <si>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</si>
  <si>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</si>
  <si>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</si>
  <si>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</si>
  <si>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</si>
  <si>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</si>
  <si>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</si>
  <si>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</si>
  <si>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</si>
  <si>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</si>
  <si>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</si>
  <si>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</si>
  <si>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</si>
  <si>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</si>
  <si>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</si>
  <si>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</si>
  <si>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</si>
  <si>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</si>
  <si>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</si>
  <si>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</si>
  <si>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</si>
  <si>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</si>
  <si>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</si>
  <si>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</si>
  <si>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</si>
  <si>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</si>
  <si>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</si>
  <si>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</si>
  <si>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</si>
  <si>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</si>
  <si>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</si>
  <si>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</si>
  <si>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</si>
  <si>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</si>
  <si>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</si>
  <si>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</si>
  <si>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</si>
  <si>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</si>
  <si>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</si>
  <si>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</si>
  <si>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</si>
  <si>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</si>
  <si>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</si>
  <si>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</si>
  <si>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</si>
  <si>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</si>
  <si>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</si>
  <si>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</si>
  <si>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</si>
  <si>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</si>
  <si>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</si>
  <si>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</si>
  <si>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</si>
  <si>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</si>
  <si>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</si>
  <si>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</si>
  <si>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</si>
  <si>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przedszkola</t>
  </si>
  <si>
    <t>wpływy z tytułu przekształcenia prawa użytkowania wieczystego przysługującego osobom fizycznym 
w prawo własności</t>
  </si>
  <si>
    <t>rekompensaty utraconych dochodów w podatkach
 i opłatach lokalnych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</si>
  <si>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</si>
  <si>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</si>
  <si>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rezerwa na inwestycje i zakupy inwestycyjne</t>
  </si>
  <si>
    <t>zakup akcesoriów komputerowych, w tym programów  i licencji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</si>
  <si>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</si>
  <si>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</si>
  <si>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</si>
  <si>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</si>
  <si>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 xml:space="preserve">  </t>
  </si>
  <si>
    <t>Sołectwo Górnica</t>
  </si>
  <si>
    <t>Sołectwo Łomnica</t>
  </si>
  <si>
    <t>Sołectwo Nowa Wieś</t>
  </si>
  <si>
    <t>Sołectwo Pokrzywno</t>
  </si>
  <si>
    <t>Sołectwo Przyłęki</t>
  </si>
  <si>
    <t>Sołectwo Runowo</t>
  </si>
  <si>
    <t>Sołectwo Rychlik</t>
  </si>
  <si>
    <t>Sołectwo Sarcz</t>
  </si>
  <si>
    <t>Sołectwo Siedlisko</t>
  </si>
  <si>
    <t>Sołectwo Smolarnia</t>
  </si>
  <si>
    <t>Sołectwo Wapniarnia I</t>
  </si>
  <si>
    <t>Sołectwo Biała</t>
  </si>
  <si>
    <t>Sołectwo Biernatowo</t>
  </si>
  <si>
    <t>Sołectwo Niekursko</t>
  </si>
  <si>
    <t>Sołectwo Radolin</t>
  </si>
  <si>
    <t>Sołectwo Stobno</t>
  </si>
  <si>
    <t>Sołectwo Straduń</t>
  </si>
  <si>
    <t>Sołectwo Wapniarnia III</t>
  </si>
  <si>
    <t>4210</t>
  </si>
  <si>
    <t>Sołectwo Teresin</t>
  </si>
  <si>
    <t>Sołectwo Wrząca</t>
  </si>
  <si>
    <t>zakup materiałów i wypozażenia</t>
  </si>
  <si>
    <t>zakup usług dostępu do sieci internet</t>
  </si>
  <si>
    <t>kolonie i obozy oraz inne formy wypoczynku dzieci i młodzieży</t>
  </si>
  <si>
    <t>4300</t>
  </si>
  <si>
    <t>4260</t>
  </si>
  <si>
    <t>0370</t>
  </si>
  <si>
    <t>opłata od posiadania psów</t>
  </si>
  <si>
    <t>dopłaty w spółkach prawa handlowego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</si>
  <si>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</si>
  <si>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</si>
  <si>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</si>
  <si>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</si>
  <si>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</si>
  <si>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</si>
  <si>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</si>
  <si>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</si>
  <si>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</si>
  <si>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</si>
  <si>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</si>
  <si>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dotacja przedmiotowa z budżetu dla jednostek nie zaliczanych do sektora finansów publicznych</t>
  </si>
  <si>
    <t>zmiany</t>
  </si>
  <si>
    <t>plan po zmianie</t>
  </si>
  <si>
    <t>zmiana</t>
  </si>
  <si>
    <t>01041</t>
  </si>
  <si>
    <t>dotacje celowe otrzymane z budżetu państwa na realizację zadań bieżących 
z zakresu administracji rządowej oraz innych zadań zleconych gminie (związkom gmin) ustawami</t>
  </si>
  <si>
    <t>dotacje celowe otrzymane z budżetu państwa na realizację zadań bieżących 
z zakresu administracji rządowej oraz innych zadań zleconych gminie (zwiazkom gmin) ustawami</t>
  </si>
  <si>
    <t>plan po zmianach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</si>
  <si>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</si>
  <si>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</si>
  <si>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</si>
  <si>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</si>
  <si>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2 do Zarządzenia Nr 26/09</t>
  </si>
  <si>
    <t>Załącznik Nr 2 do Uchwały Nr XXIV/174/08</t>
  </si>
  <si>
    <t>Załącznik Nr 3 do Zarządzenia Nr 26/09</t>
  </si>
  <si>
    <t>Załącznik Nr 3 do Uchwały Nr XXIV/174/08</t>
  </si>
  <si>
    <t xml:space="preserve">Dotacje otrzymywane do budżetu - plan po zmianach na rok 2009                                    </t>
  </si>
  <si>
    <t xml:space="preserve">Wydatki  budżetu gminy Trzcianka - plan po zmianach na rok 2009 </t>
  </si>
  <si>
    <t>Dochody budżetu gminy Trzcianka - plan po zmianach na rok 2009</t>
  </si>
  <si>
    <t>dotacja celowa z budżetu na finansowanie lub dofinansowanie zadań zleconych do realizacji pozostałym jednostkom niezaliczanym do sektora finansów publicznych</t>
  </si>
  <si>
    <t>różne opłaty i skałdki</t>
  </si>
  <si>
    <t xml:space="preserve">Program Rozwoju Obszarów Wiejskich 2007-2013 </t>
  </si>
  <si>
    <t xml:space="preserve">Burmistrza Trzcianki z dnia 27 lutego 2009 r. </t>
  </si>
  <si>
    <t>Załącznik Nr 7 do Uchwały Nr XXIV/174/08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</si>
  <si>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</si>
  <si>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</si>
  <si>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</si>
  <si>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</si>
  <si>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</si>
  <si>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</si>
  <si>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</si>
  <si>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Załącznik Nr 8 do Uchwały Nr XXVI/174/08</t>
  </si>
  <si>
    <t>Wydatki jednostek pomocniczych gminy - plan po zmianach na rok 2009</t>
  </si>
  <si>
    <t>01009</t>
  </si>
  <si>
    <t>Spółki wodne</t>
  </si>
  <si>
    <t>udziały os.fiz.</t>
  </si>
  <si>
    <t>85212.201</t>
  </si>
  <si>
    <t>85213.2010</t>
  </si>
  <si>
    <t>85214.2010</t>
  </si>
  <si>
    <t>85214.2030</t>
  </si>
  <si>
    <t>Załącznik Nr 1 do Uchwały Nr XXVIII/181/09</t>
  </si>
  <si>
    <t>Rady Miejskiej Trzcianki z dnia 23 marca 2009 r. zmieniający</t>
  </si>
  <si>
    <t>Załącznik Nr 2 do Uchwały Nr XXVIII/181/09</t>
  </si>
  <si>
    <t>Załącznik Nr 3 do Uchwały Nr XXVIII/181/09</t>
  </si>
  <si>
    <t>Załącznik Nr 7 do Uchwały Nr XXVIII/181/09</t>
  </si>
  <si>
    <t>Załącznik Nr 8 do Uchwały Nr XXVIII/181/09</t>
  </si>
  <si>
    <t xml:space="preserve">Rady Miejskiej Trzcianki z dnia 23 marca 2009 r. </t>
  </si>
  <si>
    <t>wybory do Parlamentu Europejskiego</t>
  </si>
  <si>
    <t>świadczenia rodzinne, świadczenia 
z funduszu alimentacyjnego oraz składki na ubezpieczenia emerytalne i rentowe z ubezpieczenia społecznego</t>
  </si>
  <si>
    <t>Rady Miejskiej Trzcianki z dnia 30 kwietnia 2009 r. zmieniający</t>
  </si>
  <si>
    <t>Załącznik Nr 3 do Uchwały Nr XXIX/191/09</t>
  </si>
  <si>
    <t>Załącznik Nr 1 do Uchwały Nr XXIX/191/09</t>
  </si>
  <si>
    <t>Załącznik Nr 2 do Uchwały Nr XXIX/191/09</t>
  </si>
  <si>
    <t xml:space="preserve">Rady Miejskiej Trzcianki z dnia 30 kwietnia 2009 r. </t>
  </si>
  <si>
    <t>Załącznik Nr 3 do Zarządzenia Nr 49/09</t>
  </si>
  <si>
    <t>Załącznik Nr 1 do Zarządzenia Nr 49/09</t>
  </si>
  <si>
    <t>Załącznik Nr 2 do Zarządzenia Nr 49/09</t>
  </si>
  <si>
    <t xml:space="preserve">Załącznik Nr 4 do Zarządzenia Nr 49/09 </t>
  </si>
  <si>
    <t>Wydatki związane z realizacją zadań wspólnych realizowanych w drodze umów lub porozumień między jednostkami samorządu terytorialnego - 
plan po zmianach na rok 2009</t>
  </si>
  <si>
    <t xml:space="preserve">Załącznik Nr 5 do Zarządzenia Nr 49/09 </t>
  </si>
  <si>
    <t>Burmistrza Trzcianki z dnia 11 maja 2009 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</si>
</sst>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3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Arial CE"/>
      <family val="2"/>
    </font>
    <font>
      <sz val="8"/>
      <color indexed="10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8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4" fontId="2" fillId="0" borderId="10" xfId="0" applyNumberFormat="1" applyFont="1" applyBorder="1" applyAlignment="1">
      <alignment horizontal="right" vertical="center" wrapText="1"/>
    </xf>
    <xf numFmtId="164" fontId="8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0" borderId="10" xfId="52" applyFont="1" applyBorder="1" applyAlignment="1">
      <alignment horizontal="center" vertical="center"/>
      <protection/>
    </xf>
    <xf numFmtId="0" fontId="3" fillId="0" borderId="10" xfId="52" applyFont="1" applyFill="1" applyBorder="1" applyAlignment="1" quotePrefix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left" vertical="center" wrapText="1" inden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0" fontId="3" fillId="0" borderId="10" xfId="52" applyFont="1" applyBorder="1" applyAlignment="1" quotePrefix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left" vertical="center" wrapText="1" inden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 inden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vertical="center" wrapText="1" indent="2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 quotePrefix="1">
      <alignment horizontal="center" vertical="center" wrapText="1"/>
      <protection/>
    </xf>
    <xf numFmtId="0" fontId="6" fillId="0" borderId="10" xfId="52" applyFont="1" applyBorder="1" applyAlignment="1" quotePrefix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 indent="2"/>
      <protection/>
    </xf>
    <xf numFmtId="0" fontId="2" fillId="0" borderId="10" xfId="52" applyFont="1" applyBorder="1" applyAlignment="1">
      <alignment horizontal="left" vertical="center" inden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10" xfId="52" applyFont="1" applyBorder="1" applyAlignment="1">
      <alignment horizontal="left" vertical="center" wrapText="1" indent="2"/>
      <protection/>
    </xf>
    <xf numFmtId="0" fontId="4" fillId="0" borderId="0" xfId="52" applyFont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4" fontId="7" fillId="34" borderId="10" xfId="52" applyNumberFormat="1" applyFont="1" applyFill="1" applyBorder="1" applyAlignment="1">
      <alignment horizontal="right" vertical="center"/>
      <protection/>
    </xf>
    <xf numFmtId="4" fontId="51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52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52" fillId="33" borderId="10" xfId="0" applyFont="1" applyFill="1" applyBorder="1" applyAlignment="1" quotePrefix="1">
      <alignment horizontal="center" vertical="center"/>
    </xf>
    <xf numFmtId="0" fontId="52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0" xfId="52" applyFont="1" applyAlignment="1">
      <alignment horizontal="left" vertical="center" indent="1"/>
      <protection/>
    </xf>
    <xf numFmtId="0" fontId="0" fillId="0" borderId="0" xfId="52" applyFont="1" applyAlignment="1">
      <alignment horizontal="center" vertical="center"/>
      <protection/>
    </xf>
    <xf numFmtId="0" fontId="8" fillId="0" borderId="0" xfId="52" applyFont="1">
      <alignment/>
      <protection/>
    </xf>
    <xf numFmtId="0" fontId="15" fillId="0" borderId="0" xfId="52" applyFont="1" applyAlignment="1">
      <alignment horizontal="center" vertical="center"/>
      <protection/>
    </xf>
    <xf numFmtId="0" fontId="15" fillId="0" borderId="0" xfId="52" applyFont="1" applyAlignment="1">
      <alignment horizontal="left" vertical="center" indent="1"/>
      <protection/>
    </xf>
    <xf numFmtId="4" fontId="15" fillId="0" borderId="0" xfId="52" applyNumberFormat="1" applyFont="1" applyFill="1" applyAlignment="1">
      <alignment horizontal="right" vertical="center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 quotePrefix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4" fontId="7" fillId="0" borderId="10" xfId="52" applyNumberFormat="1" applyFont="1" applyFill="1" applyBorder="1" applyAlignment="1">
      <alignment horizontal="right" vertical="center"/>
      <protection/>
    </xf>
    <xf numFmtId="0" fontId="7" fillId="0" borderId="10" xfId="52" applyFont="1" applyBorder="1" applyAlignment="1">
      <alignment horizontal="left" vertical="center" wrapText="1" indent="2"/>
      <protection/>
    </xf>
    <xf numFmtId="4" fontId="3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sołtysi 2007 projekt koszulk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zoomScalePageLayoutView="0" workbookViewId="0" topLeftCell="A109">
      <selection activeCell="S15" sqref="S15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5.25390625" style="7" customWidth="1"/>
    <col min="4" max="4" width="32.75390625" style="7" customWidth="1"/>
    <col min="5" max="5" width="14.625" style="28" hidden="1" customWidth="1"/>
    <col min="6" max="6" width="11.25390625" style="28" hidden="1" customWidth="1"/>
    <col min="7" max="7" width="13.875" style="28" hidden="1" customWidth="1"/>
    <col min="8" max="8" width="14.25390625" style="28" hidden="1" customWidth="1"/>
    <col min="9" max="9" width="14.75390625" style="28" hidden="1" customWidth="1"/>
    <col min="10" max="10" width="14.25390625" style="28" hidden="1" customWidth="1"/>
    <col min="11" max="11" width="14.75390625" style="28" hidden="1" customWidth="1"/>
    <col min="12" max="12" width="14.25390625" style="28" hidden="1" customWidth="1"/>
    <col min="13" max="13" width="14.75390625" style="28" customWidth="1"/>
    <col min="14" max="14" width="14.25390625" style="28" customWidth="1"/>
    <col min="15" max="15" width="14.75390625" style="28" customWidth="1"/>
  </cols>
  <sheetData>
    <row r="1" spans="1:15" ht="12.75">
      <c r="A1" s="46"/>
      <c r="B1" s="46"/>
      <c r="C1" s="46"/>
      <c r="D1" s="46"/>
      <c r="E1" s="47" t="s">
        <v>194</v>
      </c>
      <c r="F1" s="47"/>
      <c r="G1" s="47" t="s">
        <v>309</v>
      </c>
      <c r="H1" s="47"/>
      <c r="I1" s="47" t="s">
        <v>339</v>
      </c>
      <c r="J1" s="47"/>
      <c r="K1" s="47" t="s">
        <v>350</v>
      </c>
      <c r="L1" s="47"/>
      <c r="M1" s="47" t="s">
        <v>354</v>
      </c>
      <c r="N1" s="47"/>
      <c r="O1" s="47"/>
    </row>
    <row r="2" spans="1:15" ht="12.75">
      <c r="A2" s="46"/>
      <c r="B2" s="46"/>
      <c r="C2" s="46"/>
      <c r="D2" s="46"/>
      <c r="E2" s="47" t="s">
        <v>227</v>
      </c>
      <c r="F2" s="47"/>
      <c r="G2" s="47" t="s">
        <v>310</v>
      </c>
      <c r="H2" s="47"/>
      <c r="I2" s="47" t="s">
        <v>340</v>
      </c>
      <c r="J2" s="47"/>
      <c r="K2" s="47" t="s">
        <v>348</v>
      </c>
      <c r="L2" s="47"/>
      <c r="M2" s="47" t="s">
        <v>359</v>
      </c>
      <c r="N2" s="47"/>
      <c r="O2" s="47"/>
    </row>
    <row r="3" spans="1:15" ht="12.75">
      <c r="A3" s="46"/>
      <c r="B3" s="46"/>
      <c r="C3" s="46"/>
      <c r="D3" s="46"/>
      <c r="E3" s="47" t="s">
        <v>149</v>
      </c>
      <c r="F3" s="47"/>
      <c r="G3" s="47" t="s">
        <v>307</v>
      </c>
      <c r="H3" s="47"/>
      <c r="I3" s="47" t="s">
        <v>309</v>
      </c>
      <c r="J3" s="47"/>
      <c r="K3" s="47" t="s">
        <v>339</v>
      </c>
      <c r="L3" s="47"/>
      <c r="M3" s="47" t="s">
        <v>350</v>
      </c>
      <c r="N3" s="47"/>
      <c r="O3" s="47"/>
    </row>
    <row r="4" spans="1:15" ht="12.75">
      <c r="A4" s="46"/>
      <c r="B4" s="46"/>
      <c r="C4" s="46"/>
      <c r="D4" s="46"/>
      <c r="E4" s="47" t="s">
        <v>228</v>
      </c>
      <c r="F4" s="47"/>
      <c r="G4" s="47" t="s">
        <v>308</v>
      </c>
      <c r="H4" s="47"/>
      <c r="I4" s="47" t="s">
        <v>321</v>
      </c>
      <c r="J4" s="47"/>
      <c r="K4" s="47" t="s">
        <v>345</v>
      </c>
      <c r="L4" s="47"/>
      <c r="M4" s="47" t="s">
        <v>352</v>
      </c>
      <c r="N4" s="47"/>
      <c r="O4" s="47"/>
    </row>
    <row r="5" spans="1:15" ht="18.75" customHeight="1">
      <c r="A5" s="111" t="s">
        <v>317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7" customFormat="1" ht="24.75" customHeight="1">
      <c r="A6" s="5" t="s">
        <v>0</v>
      </c>
      <c r="B6" s="4" t="s">
        <v>1</v>
      </c>
      <c r="C6" s="20" t="s">
        <v>2</v>
      </c>
      <c r="D6" s="5" t="s">
        <v>3</v>
      </c>
      <c r="E6" s="8" t="s">
        <v>145</v>
      </c>
      <c r="F6" s="8" t="s">
        <v>300</v>
      </c>
      <c r="G6" s="8" t="s">
        <v>145</v>
      </c>
      <c r="H6" s="8" t="s">
        <v>300</v>
      </c>
      <c r="I6" s="8" t="s">
        <v>146</v>
      </c>
      <c r="J6" s="8" t="s">
        <v>300</v>
      </c>
      <c r="K6" s="8" t="s">
        <v>146</v>
      </c>
      <c r="L6" s="8" t="s">
        <v>300</v>
      </c>
      <c r="M6" s="8" t="s">
        <v>146</v>
      </c>
      <c r="N6" s="8" t="s">
        <v>300</v>
      </c>
      <c r="O6" s="8" t="s">
        <v>306</v>
      </c>
    </row>
    <row r="7" spans="1:15" s="7" customFormat="1" ht="24" customHeight="1">
      <c r="A7" s="87" t="s">
        <v>4</v>
      </c>
      <c r="B7" s="4"/>
      <c r="C7" s="20"/>
      <c r="D7" s="108" t="s">
        <v>5</v>
      </c>
      <c r="E7" s="16">
        <f aca="true" t="shared" si="0" ref="E7:O7">SUM(E8)</f>
        <v>239800</v>
      </c>
      <c r="F7" s="16">
        <f t="shared" si="0"/>
        <v>400000</v>
      </c>
      <c r="G7" s="16">
        <f t="shared" si="0"/>
        <v>639800</v>
      </c>
      <c r="H7" s="16">
        <f t="shared" si="0"/>
        <v>0</v>
      </c>
      <c r="I7" s="16">
        <f t="shared" si="0"/>
        <v>639800</v>
      </c>
      <c r="J7" s="16">
        <f t="shared" si="0"/>
        <v>0</v>
      </c>
      <c r="K7" s="16">
        <f t="shared" si="0"/>
        <v>639800</v>
      </c>
      <c r="L7" s="16">
        <f t="shared" si="0"/>
        <v>0</v>
      </c>
      <c r="M7" s="16">
        <f t="shared" si="0"/>
        <v>639800</v>
      </c>
      <c r="N7" s="16">
        <f t="shared" si="0"/>
        <v>0</v>
      </c>
      <c r="O7" s="16">
        <f t="shared" si="0"/>
        <v>639800</v>
      </c>
    </row>
    <row r="8" spans="1:15" s="24" customFormat="1" ht="24" customHeight="1">
      <c r="A8" s="67"/>
      <c r="B8" s="65" t="s">
        <v>239</v>
      </c>
      <c r="C8" s="69"/>
      <c r="D8" s="109" t="s">
        <v>6</v>
      </c>
      <c r="E8" s="74">
        <f aca="true" t="shared" si="1" ref="E8:K8">SUM(E9:E10)</f>
        <v>239800</v>
      </c>
      <c r="F8" s="74">
        <f t="shared" si="1"/>
        <v>400000</v>
      </c>
      <c r="G8" s="157">
        <f t="shared" si="1"/>
        <v>639800</v>
      </c>
      <c r="H8" s="74">
        <f t="shared" si="1"/>
        <v>0</v>
      </c>
      <c r="I8" s="157">
        <f t="shared" si="1"/>
        <v>639800</v>
      </c>
      <c r="J8" s="74">
        <f t="shared" si="1"/>
        <v>0</v>
      </c>
      <c r="K8" s="157">
        <f t="shared" si="1"/>
        <v>639800</v>
      </c>
      <c r="L8" s="74">
        <f>SUM(L9:L10)</f>
        <v>0</v>
      </c>
      <c r="M8" s="157">
        <f>SUM(M9:M10)</f>
        <v>639800</v>
      </c>
      <c r="N8" s="74">
        <f>SUM(N9:N10)</f>
        <v>0</v>
      </c>
      <c r="O8" s="157">
        <f>SUM(O9:O10)</f>
        <v>639800</v>
      </c>
    </row>
    <row r="9" spans="1:15" s="24" customFormat="1" ht="67.5">
      <c r="A9" s="67"/>
      <c r="B9" s="41"/>
      <c r="C9" s="68" t="s">
        <v>164</v>
      </c>
      <c r="D9" s="66" t="s">
        <v>56</v>
      </c>
      <c r="E9" s="74">
        <f>110000+9800</f>
        <v>119800</v>
      </c>
      <c r="F9" s="74"/>
      <c r="G9" s="157">
        <f aca="true" t="shared" si="2" ref="G9:G76">SUM(E9:F9)</f>
        <v>119800</v>
      </c>
      <c r="H9" s="74"/>
      <c r="I9" s="157">
        <f>SUM(G9:H9)</f>
        <v>119800</v>
      </c>
      <c r="J9" s="74"/>
      <c r="K9" s="157">
        <f>SUM(I9:J9)</f>
        <v>119800</v>
      </c>
      <c r="L9" s="74"/>
      <c r="M9" s="157">
        <f>SUM(K9:L9)</f>
        <v>119800</v>
      </c>
      <c r="N9" s="74"/>
      <c r="O9" s="157">
        <f>SUM(M9:N9)</f>
        <v>119800</v>
      </c>
    </row>
    <row r="10" spans="1:15" s="24" customFormat="1" ht="33.75">
      <c r="A10" s="67"/>
      <c r="B10" s="41"/>
      <c r="C10" s="68" t="s">
        <v>240</v>
      </c>
      <c r="D10" s="66" t="s">
        <v>241</v>
      </c>
      <c r="E10" s="74">
        <v>120000</v>
      </c>
      <c r="F10" s="74">
        <v>400000</v>
      </c>
      <c r="G10" s="157">
        <f t="shared" si="2"/>
        <v>520000</v>
      </c>
      <c r="H10" s="74"/>
      <c r="I10" s="157">
        <f>SUM(G10:H10)</f>
        <v>520000</v>
      </c>
      <c r="J10" s="74"/>
      <c r="K10" s="157">
        <f>SUM(I10:J10)</f>
        <v>520000</v>
      </c>
      <c r="L10" s="74"/>
      <c r="M10" s="157">
        <f>SUM(K10:L10)</f>
        <v>520000</v>
      </c>
      <c r="N10" s="74"/>
      <c r="O10" s="157">
        <f>SUM(M10:N10)</f>
        <v>520000</v>
      </c>
    </row>
    <row r="11" spans="1:15" s="6" customFormat="1" ht="24" customHeight="1">
      <c r="A11" s="29" t="s">
        <v>8</v>
      </c>
      <c r="B11" s="2"/>
      <c r="C11" s="3"/>
      <c r="D11" s="30" t="s">
        <v>9</v>
      </c>
      <c r="E11" s="48">
        <f aca="true" t="shared" si="3" ref="E11:O11">SUM(E12,)</f>
        <v>4801700</v>
      </c>
      <c r="F11" s="48">
        <f t="shared" si="3"/>
        <v>200000</v>
      </c>
      <c r="G11" s="48">
        <f t="shared" si="3"/>
        <v>5001700</v>
      </c>
      <c r="H11" s="48">
        <f t="shared" si="3"/>
        <v>0</v>
      </c>
      <c r="I11" s="48">
        <f t="shared" si="3"/>
        <v>5001700</v>
      </c>
      <c r="J11" s="48">
        <f t="shared" si="3"/>
        <v>0</v>
      </c>
      <c r="K11" s="48">
        <f t="shared" si="3"/>
        <v>5001700</v>
      </c>
      <c r="L11" s="48">
        <f t="shared" si="3"/>
        <v>0</v>
      </c>
      <c r="M11" s="48">
        <f t="shared" si="3"/>
        <v>5001700</v>
      </c>
      <c r="N11" s="48">
        <f t="shared" si="3"/>
        <v>0</v>
      </c>
      <c r="O11" s="48">
        <f t="shared" si="3"/>
        <v>5001700</v>
      </c>
    </row>
    <row r="12" spans="1:15" s="24" customFormat="1" ht="24" customHeight="1">
      <c r="A12" s="62"/>
      <c r="B12" s="63" t="s">
        <v>10</v>
      </c>
      <c r="C12" s="69"/>
      <c r="D12" s="66" t="s">
        <v>151</v>
      </c>
      <c r="E12" s="61">
        <f aca="true" t="shared" si="4" ref="E12:K12">SUM(E13:E17)</f>
        <v>4801700</v>
      </c>
      <c r="F12" s="61">
        <f t="shared" si="4"/>
        <v>200000</v>
      </c>
      <c r="G12" s="61">
        <f t="shared" si="4"/>
        <v>5001700</v>
      </c>
      <c r="H12" s="61">
        <f t="shared" si="4"/>
        <v>0</v>
      </c>
      <c r="I12" s="61">
        <f t="shared" si="4"/>
        <v>5001700</v>
      </c>
      <c r="J12" s="61">
        <f t="shared" si="4"/>
        <v>0</v>
      </c>
      <c r="K12" s="61">
        <f t="shared" si="4"/>
        <v>5001700</v>
      </c>
      <c r="L12" s="61">
        <f>SUM(L13:L17)</f>
        <v>0</v>
      </c>
      <c r="M12" s="61">
        <f>SUM(M13:M17)</f>
        <v>5001700</v>
      </c>
      <c r="N12" s="61">
        <f>SUM(N13:N17)</f>
        <v>0</v>
      </c>
      <c r="O12" s="61">
        <f>SUM(O13:O17)</f>
        <v>5001700</v>
      </c>
    </row>
    <row r="13" spans="1:15" s="24" customFormat="1" ht="24" customHeight="1">
      <c r="A13" s="62"/>
      <c r="B13" s="41"/>
      <c r="C13" s="68" t="s">
        <v>163</v>
      </c>
      <c r="D13" s="66" t="s">
        <v>216</v>
      </c>
      <c r="E13" s="61">
        <v>140000</v>
      </c>
      <c r="F13" s="61"/>
      <c r="G13" s="157">
        <f t="shared" si="2"/>
        <v>140000</v>
      </c>
      <c r="H13" s="61"/>
      <c r="I13" s="157">
        <f>SUM(G13:H13)</f>
        <v>140000</v>
      </c>
      <c r="J13" s="61"/>
      <c r="K13" s="157">
        <f>SUM(I13:J13)</f>
        <v>140000</v>
      </c>
      <c r="L13" s="61"/>
      <c r="M13" s="157">
        <f>SUM(K13:L13)</f>
        <v>140000</v>
      </c>
      <c r="N13" s="61"/>
      <c r="O13" s="157">
        <f>SUM(M13:N13)</f>
        <v>140000</v>
      </c>
    </row>
    <row r="14" spans="1:15" s="24" customFormat="1" ht="67.5">
      <c r="A14" s="62"/>
      <c r="B14" s="41"/>
      <c r="C14" s="64" t="s">
        <v>164</v>
      </c>
      <c r="D14" s="66" t="s">
        <v>56</v>
      </c>
      <c r="E14" s="61">
        <f>16000+82000+8000+4000+1420000+280000</f>
        <v>1810000</v>
      </c>
      <c r="F14" s="61"/>
      <c r="G14" s="157">
        <f t="shared" si="2"/>
        <v>1810000</v>
      </c>
      <c r="H14" s="61"/>
      <c r="I14" s="157">
        <f>SUM(G14:H14)</f>
        <v>1810000</v>
      </c>
      <c r="J14" s="61"/>
      <c r="K14" s="157">
        <f>SUM(I14:J14)</f>
        <v>1810000</v>
      </c>
      <c r="L14" s="61"/>
      <c r="M14" s="157">
        <f>SUM(K14:L14)</f>
        <v>1810000</v>
      </c>
      <c r="N14" s="61"/>
      <c r="O14" s="157">
        <f>SUM(M14:N14)</f>
        <v>1810000</v>
      </c>
    </row>
    <row r="15" spans="1:15" s="24" customFormat="1" ht="45">
      <c r="A15" s="62"/>
      <c r="B15" s="41"/>
      <c r="C15" s="64" t="s">
        <v>230</v>
      </c>
      <c r="D15" s="66" t="s">
        <v>248</v>
      </c>
      <c r="E15" s="61">
        <v>30000</v>
      </c>
      <c r="F15" s="61"/>
      <c r="G15" s="157">
        <f t="shared" si="2"/>
        <v>30000</v>
      </c>
      <c r="H15" s="61"/>
      <c r="I15" s="157">
        <f>SUM(G15:H15)</f>
        <v>30000</v>
      </c>
      <c r="J15" s="61"/>
      <c r="K15" s="157">
        <f>SUM(I15:J15)</f>
        <v>30000</v>
      </c>
      <c r="L15" s="61"/>
      <c r="M15" s="157">
        <f>SUM(K15:L15)</f>
        <v>30000</v>
      </c>
      <c r="N15" s="61"/>
      <c r="O15" s="157">
        <f>SUM(M15:N15)</f>
        <v>30000</v>
      </c>
    </row>
    <row r="16" spans="1:15" s="24" customFormat="1" ht="24" customHeight="1">
      <c r="A16" s="62"/>
      <c r="B16" s="41"/>
      <c r="C16" s="64" t="s">
        <v>240</v>
      </c>
      <c r="D16" s="66" t="s">
        <v>241</v>
      </c>
      <c r="E16" s="61">
        <f>402400+486700+1308000+400000+164600+50000</f>
        <v>2811700</v>
      </c>
      <c r="F16" s="61">
        <v>200000</v>
      </c>
      <c r="G16" s="157">
        <f t="shared" si="2"/>
        <v>3011700</v>
      </c>
      <c r="H16" s="61"/>
      <c r="I16" s="157">
        <f>SUM(G16:H16)</f>
        <v>3011700</v>
      </c>
      <c r="J16" s="61"/>
      <c r="K16" s="157">
        <f>SUM(I16:J16)</f>
        <v>3011700</v>
      </c>
      <c r="L16" s="61"/>
      <c r="M16" s="157">
        <f>SUM(K16:L16)</f>
        <v>3011700</v>
      </c>
      <c r="N16" s="61"/>
      <c r="O16" s="157">
        <f>SUM(M16:N16)</f>
        <v>3011700</v>
      </c>
    </row>
    <row r="17" spans="1:15" s="24" customFormat="1" ht="21.75" customHeight="1">
      <c r="A17" s="62"/>
      <c r="B17" s="41"/>
      <c r="C17" s="64" t="s">
        <v>165</v>
      </c>
      <c r="D17" s="66" t="s">
        <v>11</v>
      </c>
      <c r="E17" s="61">
        <v>10000</v>
      </c>
      <c r="F17" s="61"/>
      <c r="G17" s="157">
        <f t="shared" si="2"/>
        <v>10000</v>
      </c>
      <c r="H17" s="61"/>
      <c r="I17" s="157">
        <f>SUM(G17:H17)</f>
        <v>10000</v>
      </c>
      <c r="J17" s="61"/>
      <c r="K17" s="157">
        <f>SUM(I17:J17)</f>
        <v>10000</v>
      </c>
      <c r="L17" s="61"/>
      <c r="M17" s="157">
        <f>SUM(K17:L17)</f>
        <v>10000</v>
      </c>
      <c r="N17" s="61"/>
      <c r="O17" s="157">
        <f>SUM(M17:N17)</f>
        <v>10000</v>
      </c>
    </row>
    <row r="18" spans="1:15" s="113" customFormat="1" ht="21.75" customHeight="1">
      <c r="A18" s="173">
        <v>710</v>
      </c>
      <c r="B18" s="174"/>
      <c r="C18" s="177"/>
      <c r="D18" s="181" t="s">
        <v>82</v>
      </c>
      <c r="E18" s="178"/>
      <c r="F18" s="178"/>
      <c r="G18" s="179"/>
      <c r="H18" s="178"/>
      <c r="I18" s="179">
        <f aca="true" t="shared" si="5" ref="I18:O19">SUM(I19)</f>
        <v>0</v>
      </c>
      <c r="J18" s="179">
        <f t="shared" si="5"/>
        <v>24400</v>
      </c>
      <c r="K18" s="179">
        <f t="shared" si="5"/>
        <v>24400</v>
      </c>
      <c r="L18" s="179">
        <f t="shared" si="5"/>
        <v>0</v>
      </c>
      <c r="M18" s="179">
        <f t="shared" si="5"/>
        <v>24400</v>
      </c>
      <c r="N18" s="179">
        <f t="shared" si="5"/>
        <v>0</v>
      </c>
      <c r="O18" s="179">
        <f t="shared" si="5"/>
        <v>24400</v>
      </c>
    </row>
    <row r="19" spans="1:15" s="24" customFormat="1" ht="21.75" customHeight="1">
      <c r="A19" s="62"/>
      <c r="B19" s="41">
        <v>71004</v>
      </c>
      <c r="C19" s="64"/>
      <c r="D19" s="66" t="s">
        <v>84</v>
      </c>
      <c r="E19" s="61"/>
      <c r="F19" s="61"/>
      <c r="G19" s="157"/>
      <c r="H19" s="61"/>
      <c r="I19" s="157">
        <f t="shared" si="5"/>
        <v>0</v>
      </c>
      <c r="J19" s="157">
        <f t="shared" si="5"/>
        <v>24400</v>
      </c>
      <c r="K19" s="157">
        <f t="shared" si="5"/>
        <v>24400</v>
      </c>
      <c r="L19" s="157">
        <f t="shared" si="5"/>
        <v>0</v>
      </c>
      <c r="M19" s="157">
        <f t="shared" si="5"/>
        <v>24400</v>
      </c>
      <c r="N19" s="157">
        <f t="shared" si="5"/>
        <v>0</v>
      </c>
      <c r="O19" s="157">
        <f t="shared" si="5"/>
        <v>24400</v>
      </c>
    </row>
    <row r="20" spans="1:15" s="24" customFormat="1" ht="22.5">
      <c r="A20" s="62"/>
      <c r="B20" s="41"/>
      <c r="C20" s="64" t="s">
        <v>324</v>
      </c>
      <c r="D20" s="66" t="s">
        <v>325</v>
      </c>
      <c r="E20" s="61"/>
      <c r="F20" s="61"/>
      <c r="G20" s="157"/>
      <c r="H20" s="61"/>
      <c r="I20" s="157">
        <v>0</v>
      </c>
      <c r="J20" s="61">
        <v>24400</v>
      </c>
      <c r="K20" s="157">
        <f>SUM(I20:J20)</f>
        <v>24400</v>
      </c>
      <c r="L20" s="61"/>
      <c r="M20" s="157">
        <f>SUM(K20:L20)</f>
        <v>24400</v>
      </c>
      <c r="N20" s="61"/>
      <c r="O20" s="157">
        <f>SUM(M20:N20)</f>
        <v>24400</v>
      </c>
    </row>
    <row r="21" spans="1:15" s="6" customFormat="1" ht="24" customHeight="1">
      <c r="A21" s="29" t="s">
        <v>15</v>
      </c>
      <c r="B21" s="2"/>
      <c r="C21" s="3"/>
      <c r="D21" s="30" t="s">
        <v>16</v>
      </c>
      <c r="E21" s="48">
        <f aca="true" t="shared" si="6" ref="E21:K21">SUM(E22,E25)</f>
        <v>172350</v>
      </c>
      <c r="F21" s="48">
        <f t="shared" si="6"/>
        <v>0</v>
      </c>
      <c r="G21" s="48">
        <f t="shared" si="6"/>
        <v>172350</v>
      </c>
      <c r="H21" s="48">
        <f t="shared" si="6"/>
        <v>0</v>
      </c>
      <c r="I21" s="48">
        <f t="shared" si="6"/>
        <v>172350</v>
      </c>
      <c r="J21" s="48">
        <f t="shared" si="6"/>
        <v>0</v>
      </c>
      <c r="K21" s="48">
        <f t="shared" si="6"/>
        <v>172350</v>
      </c>
      <c r="L21" s="48">
        <f>SUM(L22,L25)</f>
        <v>0</v>
      </c>
      <c r="M21" s="48">
        <f>SUM(M22,M25)</f>
        <v>172350</v>
      </c>
      <c r="N21" s="48">
        <f>SUM(N22,N25)</f>
        <v>0</v>
      </c>
      <c r="O21" s="48">
        <f>SUM(O22,O25)</f>
        <v>172350</v>
      </c>
    </row>
    <row r="22" spans="1:15" s="24" customFormat="1" ht="24" customHeight="1">
      <c r="A22" s="62"/>
      <c r="B22" s="63">
        <v>75011</v>
      </c>
      <c r="C22" s="69"/>
      <c r="D22" s="66" t="s">
        <v>17</v>
      </c>
      <c r="E22" s="61">
        <f aca="true" t="shared" si="7" ref="E22:K22">SUM(E23:E24)</f>
        <v>160350</v>
      </c>
      <c r="F22" s="61">
        <f t="shared" si="7"/>
        <v>0</v>
      </c>
      <c r="G22" s="61">
        <f t="shared" si="7"/>
        <v>160350</v>
      </c>
      <c r="H22" s="61">
        <f t="shared" si="7"/>
        <v>0</v>
      </c>
      <c r="I22" s="61">
        <f t="shared" si="7"/>
        <v>160350</v>
      </c>
      <c r="J22" s="61">
        <f t="shared" si="7"/>
        <v>0</v>
      </c>
      <c r="K22" s="61">
        <f t="shared" si="7"/>
        <v>160350</v>
      </c>
      <c r="L22" s="61">
        <f>SUM(L23:L24)</f>
        <v>0</v>
      </c>
      <c r="M22" s="61">
        <f>SUM(M23:M24)</f>
        <v>160350</v>
      </c>
      <c r="N22" s="61">
        <f>SUM(N23:N24)</f>
        <v>0</v>
      </c>
      <c r="O22" s="61">
        <f>SUM(O23:O24)</f>
        <v>160350</v>
      </c>
    </row>
    <row r="23" spans="1:15" s="24" customFormat="1" ht="56.25">
      <c r="A23" s="62"/>
      <c r="B23" s="41"/>
      <c r="C23" s="64">
        <v>2010</v>
      </c>
      <c r="D23" s="66" t="s">
        <v>217</v>
      </c>
      <c r="E23" s="74">
        <v>156600</v>
      </c>
      <c r="F23" s="74"/>
      <c r="G23" s="157">
        <f t="shared" si="2"/>
        <v>156600</v>
      </c>
      <c r="H23" s="74"/>
      <c r="I23" s="157">
        <f>SUM(G23:H23)</f>
        <v>156600</v>
      </c>
      <c r="J23" s="74"/>
      <c r="K23" s="157">
        <f>SUM(I23:J23)</f>
        <v>156600</v>
      </c>
      <c r="L23" s="74"/>
      <c r="M23" s="157">
        <f>SUM(K23:L23)</f>
        <v>156600</v>
      </c>
      <c r="N23" s="74"/>
      <c r="O23" s="157">
        <f>SUM(M23:N23)</f>
        <v>156600</v>
      </c>
    </row>
    <row r="24" spans="1:15" s="24" customFormat="1" ht="45">
      <c r="A24" s="62"/>
      <c r="B24" s="41"/>
      <c r="C24" s="64">
        <v>2360</v>
      </c>
      <c r="D24" s="66" t="s">
        <v>189</v>
      </c>
      <c r="E24" s="61">
        <v>3750</v>
      </c>
      <c r="F24" s="61"/>
      <c r="G24" s="157">
        <f t="shared" si="2"/>
        <v>3750</v>
      </c>
      <c r="H24" s="61"/>
      <c r="I24" s="157">
        <f>SUM(G24:H24)</f>
        <v>3750</v>
      </c>
      <c r="J24" s="61"/>
      <c r="K24" s="157">
        <f>SUM(I24:J24)</f>
        <v>3750</v>
      </c>
      <c r="L24" s="61"/>
      <c r="M24" s="157">
        <f>SUM(K24:L24)</f>
        <v>3750</v>
      </c>
      <c r="N24" s="61"/>
      <c r="O24" s="157">
        <f>SUM(M24:N24)</f>
        <v>3750</v>
      </c>
    </row>
    <row r="25" spans="1:15" s="24" customFormat="1" ht="24" customHeight="1">
      <c r="A25" s="62"/>
      <c r="B25" s="41">
        <v>75023</v>
      </c>
      <c r="C25" s="64"/>
      <c r="D25" s="38" t="s">
        <v>19</v>
      </c>
      <c r="E25" s="61">
        <f aca="true" t="shared" si="8" ref="E25:O25">SUM(E26)</f>
        <v>12000</v>
      </c>
      <c r="F25" s="61">
        <f t="shared" si="8"/>
        <v>0</v>
      </c>
      <c r="G25" s="61">
        <f t="shared" si="8"/>
        <v>12000</v>
      </c>
      <c r="H25" s="61">
        <f t="shared" si="8"/>
        <v>0</v>
      </c>
      <c r="I25" s="61">
        <f t="shared" si="8"/>
        <v>12000</v>
      </c>
      <c r="J25" s="61">
        <f t="shared" si="8"/>
        <v>0</v>
      </c>
      <c r="K25" s="61">
        <f t="shared" si="8"/>
        <v>12000</v>
      </c>
      <c r="L25" s="61">
        <f t="shared" si="8"/>
        <v>0</v>
      </c>
      <c r="M25" s="61">
        <f t="shared" si="8"/>
        <v>12000</v>
      </c>
      <c r="N25" s="61">
        <f t="shared" si="8"/>
        <v>0</v>
      </c>
      <c r="O25" s="61">
        <f t="shared" si="8"/>
        <v>12000</v>
      </c>
    </row>
    <row r="26" spans="1:15" s="24" customFormat="1" ht="21.75" customHeight="1">
      <c r="A26" s="62"/>
      <c r="B26" s="41"/>
      <c r="C26" s="64" t="s">
        <v>166</v>
      </c>
      <c r="D26" s="66" t="s">
        <v>12</v>
      </c>
      <c r="E26" s="61">
        <f>8250+3750</f>
        <v>12000</v>
      </c>
      <c r="F26" s="61"/>
      <c r="G26" s="157">
        <f t="shared" si="2"/>
        <v>12000</v>
      </c>
      <c r="H26" s="61"/>
      <c r="I26" s="157">
        <f>SUM(G26:H26)</f>
        <v>12000</v>
      </c>
      <c r="J26" s="61"/>
      <c r="K26" s="157">
        <f>SUM(I26:J26)</f>
        <v>12000</v>
      </c>
      <c r="L26" s="61"/>
      <c r="M26" s="157">
        <f>SUM(K26:L26)</f>
        <v>12000</v>
      </c>
      <c r="N26" s="61"/>
      <c r="O26" s="157">
        <f>SUM(M26:N26)</f>
        <v>12000</v>
      </c>
    </row>
    <row r="27" spans="1:15" s="6" customFormat="1" ht="36">
      <c r="A27" s="29">
        <v>751</v>
      </c>
      <c r="B27" s="4"/>
      <c r="C27" s="20"/>
      <c r="D27" s="30" t="s">
        <v>20</v>
      </c>
      <c r="E27" s="48">
        <f aca="true" t="shared" si="9" ref="E27:O28">SUM(E28)</f>
        <v>3910</v>
      </c>
      <c r="F27" s="48">
        <f t="shared" si="9"/>
        <v>0</v>
      </c>
      <c r="G27" s="48">
        <f t="shared" si="9"/>
        <v>3910</v>
      </c>
      <c r="H27" s="48">
        <f t="shared" si="9"/>
        <v>0</v>
      </c>
      <c r="I27" s="48">
        <f t="shared" si="9"/>
        <v>3910</v>
      </c>
      <c r="J27" s="48">
        <f t="shared" si="9"/>
        <v>0</v>
      </c>
      <c r="K27" s="48">
        <f>SUM(K28,K30)</f>
        <v>3910</v>
      </c>
      <c r="L27" s="48">
        <f>SUM(L28,L30)</f>
        <v>19932</v>
      </c>
      <c r="M27" s="48">
        <f>SUM(M28,M30)</f>
        <v>23842</v>
      </c>
      <c r="N27" s="48">
        <f>SUM(N28,N30)</f>
        <v>0</v>
      </c>
      <c r="O27" s="48">
        <f>SUM(O28,O30)</f>
        <v>23842</v>
      </c>
    </row>
    <row r="28" spans="1:15" s="24" customFormat="1" ht="22.5">
      <c r="A28" s="67"/>
      <c r="B28" s="63">
        <v>75101</v>
      </c>
      <c r="C28" s="69"/>
      <c r="D28" s="66" t="s">
        <v>21</v>
      </c>
      <c r="E28" s="61">
        <f t="shared" si="9"/>
        <v>3910</v>
      </c>
      <c r="F28" s="61">
        <f t="shared" si="9"/>
        <v>0</v>
      </c>
      <c r="G28" s="61">
        <f t="shared" si="9"/>
        <v>3910</v>
      </c>
      <c r="H28" s="61">
        <f t="shared" si="9"/>
        <v>0</v>
      </c>
      <c r="I28" s="61">
        <f t="shared" si="9"/>
        <v>3910</v>
      </c>
      <c r="J28" s="61">
        <f t="shared" si="9"/>
        <v>0</v>
      </c>
      <c r="K28" s="61">
        <f t="shared" si="9"/>
        <v>3910</v>
      </c>
      <c r="L28" s="61">
        <f t="shared" si="9"/>
        <v>0</v>
      </c>
      <c r="M28" s="61">
        <f t="shared" si="9"/>
        <v>3910</v>
      </c>
      <c r="N28" s="61">
        <f t="shared" si="9"/>
        <v>0</v>
      </c>
      <c r="O28" s="61">
        <f t="shared" si="9"/>
        <v>3910</v>
      </c>
    </row>
    <row r="29" spans="1:15" s="24" customFormat="1" ht="56.25">
      <c r="A29" s="67"/>
      <c r="B29" s="63"/>
      <c r="C29" s="69">
        <v>2010</v>
      </c>
      <c r="D29" s="66" t="s">
        <v>217</v>
      </c>
      <c r="E29" s="61">
        <v>3910</v>
      </c>
      <c r="F29" s="61"/>
      <c r="G29" s="157">
        <f t="shared" si="2"/>
        <v>3910</v>
      </c>
      <c r="H29" s="61"/>
      <c r="I29" s="157">
        <f>SUM(G29:H29)</f>
        <v>3910</v>
      </c>
      <c r="J29" s="61"/>
      <c r="K29" s="157">
        <f>SUM(I29:J29)</f>
        <v>3910</v>
      </c>
      <c r="L29" s="61"/>
      <c r="M29" s="157">
        <f>SUM(K29:L29)</f>
        <v>3910</v>
      </c>
      <c r="N29" s="61"/>
      <c r="O29" s="157">
        <f>SUM(M29:N29)</f>
        <v>3910</v>
      </c>
    </row>
    <row r="30" spans="1:15" s="24" customFormat="1" ht="24" customHeight="1">
      <c r="A30" s="67"/>
      <c r="B30" s="63">
        <v>75113</v>
      </c>
      <c r="C30" s="69"/>
      <c r="D30" s="66" t="s">
        <v>346</v>
      </c>
      <c r="E30" s="61"/>
      <c r="F30" s="61"/>
      <c r="G30" s="157"/>
      <c r="H30" s="61"/>
      <c r="I30" s="157"/>
      <c r="J30" s="61"/>
      <c r="K30" s="157">
        <f>SUM(K31)</f>
        <v>0</v>
      </c>
      <c r="L30" s="157">
        <f>SUM(L31)</f>
        <v>19932</v>
      </c>
      <c r="M30" s="157">
        <f>SUM(M31)</f>
        <v>19932</v>
      </c>
      <c r="N30" s="157">
        <f>SUM(N31)</f>
        <v>0</v>
      </c>
      <c r="O30" s="157">
        <f>SUM(O31)</f>
        <v>19932</v>
      </c>
    </row>
    <row r="31" spans="1:15" s="24" customFormat="1" ht="56.25">
      <c r="A31" s="67"/>
      <c r="B31" s="63"/>
      <c r="C31" s="69">
        <v>2010</v>
      </c>
      <c r="D31" s="66" t="s">
        <v>217</v>
      </c>
      <c r="E31" s="61"/>
      <c r="F31" s="61"/>
      <c r="G31" s="157"/>
      <c r="H31" s="61"/>
      <c r="I31" s="157"/>
      <c r="J31" s="61"/>
      <c r="K31" s="157">
        <v>0</v>
      </c>
      <c r="L31" s="61">
        <v>19932</v>
      </c>
      <c r="M31" s="157">
        <f>SUM(K31:L31)</f>
        <v>19932</v>
      </c>
      <c r="N31" s="61"/>
      <c r="O31" s="157">
        <f>SUM(M31:N31)</f>
        <v>19932</v>
      </c>
    </row>
    <row r="32" spans="1:15" s="6" customFormat="1" ht="30" customHeight="1">
      <c r="A32" s="29" t="s">
        <v>22</v>
      </c>
      <c r="B32" s="2"/>
      <c r="C32" s="3"/>
      <c r="D32" s="30" t="s">
        <v>23</v>
      </c>
      <c r="E32" s="48">
        <f aca="true" t="shared" si="10" ref="E32:O32">SUM(E33)</f>
        <v>5500</v>
      </c>
      <c r="F32" s="48">
        <f t="shared" si="10"/>
        <v>0</v>
      </c>
      <c r="G32" s="48">
        <f t="shared" si="10"/>
        <v>5500</v>
      </c>
      <c r="H32" s="48">
        <f t="shared" si="10"/>
        <v>0</v>
      </c>
      <c r="I32" s="48">
        <f t="shared" si="10"/>
        <v>5500</v>
      </c>
      <c r="J32" s="48">
        <f t="shared" si="10"/>
        <v>0</v>
      </c>
      <c r="K32" s="48">
        <f t="shared" si="10"/>
        <v>5500</v>
      </c>
      <c r="L32" s="48">
        <f t="shared" si="10"/>
        <v>0</v>
      </c>
      <c r="M32" s="48">
        <f t="shared" si="10"/>
        <v>5500</v>
      </c>
      <c r="N32" s="48">
        <f t="shared" si="10"/>
        <v>0</v>
      </c>
      <c r="O32" s="48">
        <f t="shared" si="10"/>
        <v>5500</v>
      </c>
    </row>
    <row r="33" spans="1:15" s="24" customFormat="1" ht="24" customHeight="1">
      <c r="A33" s="67"/>
      <c r="B33" s="63" t="s">
        <v>24</v>
      </c>
      <c r="C33" s="69"/>
      <c r="D33" s="66" t="s">
        <v>25</v>
      </c>
      <c r="E33" s="61">
        <f aca="true" t="shared" si="11" ref="E33:K33">SUM(E34:E35)</f>
        <v>5500</v>
      </c>
      <c r="F33" s="61">
        <f t="shared" si="11"/>
        <v>0</v>
      </c>
      <c r="G33" s="61">
        <f t="shared" si="11"/>
        <v>5500</v>
      </c>
      <c r="H33" s="61">
        <f t="shared" si="11"/>
        <v>0</v>
      </c>
      <c r="I33" s="61">
        <f t="shared" si="11"/>
        <v>5500</v>
      </c>
      <c r="J33" s="61">
        <f t="shared" si="11"/>
        <v>0</v>
      </c>
      <c r="K33" s="61">
        <f t="shared" si="11"/>
        <v>5500</v>
      </c>
      <c r="L33" s="61">
        <f>SUM(L34:L35)</f>
        <v>0</v>
      </c>
      <c r="M33" s="61">
        <f>SUM(M34:M35)</f>
        <v>5500</v>
      </c>
      <c r="N33" s="61">
        <f>SUM(N34:N35)</f>
        <v>0</v>
      </c>
      <c r="O33" s="61">
        <f>SUM(O34:O35)</f>
        <v>5500</v>
      </c>
    </row>
    <row r="34" spans="1:15" s="24" customFormat="1" ht="21.75" customHeight="1">
      <c r="A34" s="67"/>
      <c r="B34" s="41"/>
      <c r="C34" s="64" t="s">
        <v>167</v>
      </c>
      <c r="D34" s="66" t="s">
        <v>26</v>
      </c>
      <c r="E34" s="61">
        <v>5000</v>
      </c>
      <c r="F34" s="61"/>
      <c r="G34" s="157">
        <f t="shared" si="2"/>
        <v>5000</v>
      </c>
      <c r="H34" s="61"/>
      <c r="I34" s="157">
        <f>SUM(G34:H34)</f>
        <v>5000</v>
      </c>
      <c r="J34" s="61"/>
      <c r="K34" s="157">
        <f>SUM(I34:J34)</f>
        <v>5000</v>
      </c>
      <c r="L34" s="61"/>
      <c r="M34" s="157">
        <f>SUM(K34:L34)</f>
        <v>5000</v>
      </c>
      <c r="N34" s="61"/>
      <c r="O34" s="157">
        <f>SUM(M34:N34)</f>
        <v>5000</v>
      </c>
    </row>
    <row r="35" spans="1:15" s="24" customFormat="1" ht="21.75" customHeight="1">
      <c r="A35" s="67"/>
      <c r="B35" s="41"/>
      <c r="C35" s="64" t="s">
        <v>165</v>
      </c>
      <c r="D35" s="66" t="s">
        <v>11</v>
      </c>
      <c r="E35" s="61">
        <v>500</v>
      </c>
      <c r="F35" s="61"/>
      <c r="G35" s="157">
        <f t="shared" si="2"/>
        <v>500</v>
      </c>
      <c r="H35" s="61"/>
      <c r="I35" s="157">
        <f>SUM(G35:H35)</f>
        <v>500</v>
      </c>
      <c r="J35" s="61"/>
      <c r="K35" s="157">
        <f>SUM(I35:J35)</f>
        <v>500</v>
      </c>
      <c r="L35" s="61"/>
      <c r="M35" s="157">
        <f>SUM(K35:L35)</f>
        <v>500</v>
      </c>
      <c r="N35" s="61"/>
      <c r="O35" s="157">
        <f>SUM(M35:N35)</f>
        <v>500</v>
      </c>
    </row>
    <row r="36" spans="1:15" s="6" customFormat="1" ht="60">
      <c r="A36" s="29" t="s">
        <v>27</v>
      </c>
      <c r="B36" s="2"/>
      <c r="C36" s="3"/>
      <c r="D36" s="30" t="s">
        <v>156</v>
      </c>
      <c r="E36" s="48">
        <f aca="true" t="shared" si="12" ref="E36:K36">SUM(E37,E40,E47,E56,E61,)</f>
        <v>23034971</v>
      </c>
      <c r="F36" s="48">
        <f t="shared" si="12"/>
        <v>0</v>
      </c>
      <c r="G36" s="48">
        <f t="shared" si="12"/>
        <v>23034971</v>
      </c>
      <c r="H36" s="48">
        <f t="shared" si="12"/>
        <v>0</v>
      </c>
      <c r="I36" s="48">
        <f t="shared" si="12"/>
        <v>23034971</v>
      </c>
      <c r="J36" s="48">
        <f t="shared" si="12"/>
        <v>-329</v>
      </c>
      <c r="K36" s="48">
        <f t="shared" si="12"/>
        <v>23034642</v>
      </c>
      <c r="L36" s="48">
        <f>SUM(L37,L40,L47,L56,L61,)</f>
        <v>14000</v>
      </c>
      <c r="M36" s="48">
        <f>SUM(M37,M40,M47,M56,M61,)</f>
        <v>23048642</v>
      </c>
      <c r="N36" s="48">
        <f>SUM(N37,N40,N47,N56,N61,)</f>
        <v>0</v>
      </c>
      <c r="O36" s="48">
        <f>SUM(O37,O40,O47,O56,O61,)</f>
        <v>23048642</v>
      </c>
    </row>
    <row r="37" spans="1:15" s="24" customFormat="1" ht="24" customHeight="1">
      <c r="A37" s="62"/>
      <c r="B37" s="41">
        <v>75601</v>
      </c>
      <c r="C37" s="69"/>
      <c r="D37" s="66" t="s">
        <v>28</v>
      </c>
      <c r="E37" s="61">
        <f aca="true" t="shared" si="13" ref="E37:K37">SUM(E38:E39)</f>
        <v>52500</v>
      </c>
      <c r="F37" s="61">
        <f t="shared" si="13"/>
        <v>0</v>
      </c>
      <c r="G37" s="61">
        <f t="shared" si="13"/>
        <v>52500</v>
      </c>
      <c r="H37" s="61">
        <f t="shared" si="13"/>
        <v>0</v>
      </c>
      <c r="I37" s="61">
        <f t="shared" si="13"/>
        <v>52500</v>
      </c>
      <c r="J37" s="61">
        <f t="shared" si="13"/>
        <v>0</v>
      </c>
      <c r="K37" s="61">
        <f t="shared" si="13"/>
        <v>52500</v>
      </c>
      <c r="L37" s="61">
        <f>SUM(L38:L39)</f>
        <v>0</v>
      </c>
      <c r="M37" s="61">
        <f>SUM(M38:M39)</f>
        <v>52500</v>
      </c>
      <c r="N37" s="61">
        <f>SUM(N38:N39)</f>
        <v>0</v>
      </c>
      <c r="O37" s="61">
        <f>SUM(O38:O39)</f>
        <v>52500</v>
      </c>
    </row>
    <row r="38" spans="1:15" s="24" customFormat="1" ht="24" customHeight="1">
      <c r="A38" s="62"/>
      <c r="B38" s="41"/>
      <c r="C38" s="68" t="s">
        <v>168</v>
      </c>
      <c r="D38" s="66" t="s">
        <v>29</v>
      </c>
      <c r="E38" s="61">
        <v>50000</v>
      </c>
      <c r="F38" s="61"/>
      <c r="G38" s="157">
        <f t="shared" si="2"/>
        <v>50000</v>
      </c>
      <c r="H38" s="61"/>
      <c r="I38" s="157">
        <f>SUM(G38:H38)</f>
        <v>50000</v>
      </c>
      <c r="J38" s="61"/>
      <c r="K38" s="157">
        <f>SUM(I38:J38)</f>
        <v>50000</v>
      </c>
      <c r="L38" s="61"/>
      <c r="M38" s="157">
        <f>SUM(K38:L38)</f>
        <v>50000</v>
      </c>
      <c r="N38" s="61"/>
      <c r="O38" s="157">
        <f>SUM(M38:N38)</f>
        <v>50000</v>
      </c>
    </row>
    <row r="39" spans="1:15" s="24" customFormat="1" ht="24" customHeight="1">
      <c r="A39" s="62"/>
      <c r="B39" s="41"/>
      <c r="C39" s="68" t="s">
        <v>169</v>
      </c>
      <c r="D39" s="66" t="s">
        <v>36</v>
      </c>
      <c r="E39" s="61">
        <v>2500</v>
      </c>
      <c r="F39" s="61"/>
      <c r="G39" s="157">
        <f t="shared" si="2"/>
        <v>2500</v>
      </c>
      <c r="H39" s="61"/>
      <c r="I39" s="157">
        <f>SUM(G39:H39)</f>
        <v>2500</v>
      </c>
      <c r="J39" s="61"/>
      <c r="K39" s="157">
        <f>SUM(I39:J39)</f>
        <v>2500</v>
      </c>
      <c r="L39" s="61"/>
      <c r="M39" s="157">
        <f>SUM(K39:L39)</f>
        <v>2500</v>
      </c>
      <c r="N39" s="61"/>
      <c r="O39" s="157">
        <f>SUM(M39:N39)</f>
        <v>2500</v>
      </c>
    </row>
    <row r="40" spans="1:15" s="24" customFormat="1" ht="56.25">
      <c r="A40" s="62"/>
      <c r="B40" s="63" t="s">
        <v>30</v>
      </c>
      <c r="C40" s="69"/>
      <c r="D40" s="66" t="s">
        <v>198</v>
      </c>
      <c r="E40" s="61">
        <f aca="true" t="shared" si="14" ref="E40:K40">SUM(E41:E46)</f>
        <v>7208496</v>
      </c>
      <c r="F40" s="61">
        <f t="shared" si="14"/>
        <v>0</v>
      </c>
      <c r="G40" s="61">
        <f t="shared" si="14"/>
        <v>7208496</v>
      </c>
      <c r="H40" s="61">
        <f t="shared" si="14"/>
        <v>0</v>
      </c>
      <c r="I40" s="61">
        <f t="shared" si="14"/>
        <v>7208496</v>
      </c>
      <c r="J40" s="61">
        <f t="shared" si="14"/>
        <v>0</v>
      </c>
      <c r="K40" s="61">
        <f t="shared" si="14"/>
        <v>7208496</v>
      </c>
      <c r="L40" s="61">
        <f>SUM(L41:L46)</f>
        <v>0</v>
      </c>
      <c r="M40" s="61">
        <f>SUM(M41:M46)</f>
        <v>7208496</v>
      </c>
      <c r="N40" s="61">
        <f>SUM(N41:N46)</f>
        <v>0</v>
      </c>
      <c r="O40" s="61">
        <f>SUM(O41:O46)</f>
        <v>7208496</v>
      </c>
    </row>
    <row r="41" spans="1:15" s="24" customFormat="1" ht="21.75" customHeight="1">
      <c r="A41" s="62"/>
      <c r="B41" s="63"/>
      <c r="C41" s="64" t="s">
        <v>170</v>
      </c>
      <c r="D41" s="66" t="s">
        <v>31</v>
      </c>
      <c r="E41" s="61">
        <v>6458259</v>
      </c>
      <c r="F41" s="61"/>
      <c r="G41" s="157">
        <f t="shared" si="2"/>
        <v>6458259</v>
      </c>
      <c r="H41" s="61"/>
      <c r="I41" s="157">
        <f aca="true" t="shared" si="15" ref="I41:I46">SUM(G41:H41)</f>
        <v>6458259</v>
      </c>
      <c r="J41" s="61"/>
      <c r="K41" s="157">
        <f aca="true" t="shared" si="16" ref="K41:K46">SUM(I41:J41)</f>
        <v>6458259</v>
      </c>
      <c r="L41" s="61"/>
      <c r="M41" s="157">
        <f aca="true" t="shared" si="17" ref="M41:M46">SUM(K41:L41)</f>
        <v>6458259</v>
      </c>
      <c r="N41" s="61"/>
      <c r="O41" s="157">
        <f aca="true" t="shared" si="18" ref="O41:O46">SUM(M41:N41)</f>
        <v>6458259</v>
      </c>
    </row>
    <row r="42" spans="1:15" s="24" customFormat="1" ht="21.75" customHeight="1">
      <c r="A42" s="62"/>
      <c r="B42" s="63"/>
      <c r="C42" s="64" t="s">
        <v>171</v>
      </c>
      <c r="D42" s="66" t="s">
        <v>32</v>
      </c>
      <c r="E42" s="61">
        <v>25000</v>
      </c>
      <c r="F42" s="61"/>
      <c r="G42" s="157">
        <f t="shared" si="2"/>
        <v>25000</v>
      </c>
      <c r="H42" s="61"/>
      <c r="I42" s="157">
        <f t="shared" si="15"/>
        <v>25000</v>
      </c>
      <c r="J42" s="61"/>
      <c r="K42" s="157">
        <f t="shared" si="16"/>
        <v>25000</v>
      </c>
      <c r="L42" s="61"/>
      <c r="M42" s="157">
        <f t="shared" si="17"/>
        <v>25000</v>
      </c>
      <c r="N42" s="61"/>
      <c r="O42" s="157">
        <f t="shared" si="18"/>
        <v>25000</v>
      </c>
    </row>
    <row r="43" spans="1:15" s="24" customFormat="1" ht="21.75" customHeight="1">
      <c r="A43" s="62"/>
      <c r="B43" s="63"/>
      <c r="C43" s="64" t="s">
        <v>172</v>
      </c>
      <c r="D43" s="66" t="s">
        <v>33</v>
      </c>
      <c r="E43" s="61">
        <v>350823</v>
      </c>
      <c r="F43" s="61"/>
      <c r="G43" s="157">
        <f t="shared" si="2"/>
        <v>350823</v>
      </c>
      <c r="H43" s="61"/>
      <c r="I43" s="157">
        <f t="shared" si="15"/>
        <v>350823</v>
      </c>
      <c r="J43" s="61"/>
      <c r="K43" s="157">
        <f t="shared" si="16"/>
        <v>350823</v>
      </c>
      <c r="L43" s="61"/>
      <c r="M43" s="157">
        <f t="shared" si="17"/>
        <v>350823</v>
      </c>
      <c r="N43" s="61"/>
      <c r="O43" s="157">
        <f t="shared" si="18"/>
        <v>350823</v>
      </c>
    </row>
    <row r="44" spans="1:15" s="24" customFormat="1" ht="21.75" customHeight="1">
      <c r="A44" s="62"/>
      <c r="B44" s="63"/>
      <c r="C44" s="64" t="s">
        <v>173</v>
      </c>
      <c r="D44" s="66" t="s">
        <v>34</v>
      </c>
      <c r="E44" s="61">
        <f>65000+20000</f>
        <v>85000</v>
      </c>
      <c r="F44" s="61"/>
      <c r="G44" s="157">
        <f t="shared" si="2"/>
        <v>85000</v>
      </c>
      <c r="H44" s="61"/>
      <c r="I44" s="157">
        <f t="shared" si="15"/>
        <v>85000</v>
      </c>
      <c r="J44" s="61"/>
      <c r="K44" s="157">
        <f t="shared" si="16"/>
        <v>85000</v>
      </c>
      <c r="L44" s="61"/>
      <c r="M44" s="157">
        <f t="shared" si="17"/>
        <v>85000</v>
      </c>
      <c r="N44" s="61"/>
      <c r="O44" s="157">
        <f t="shared" si="18"/>
        <v>85000</v>
      </c>
    </row>
    <row r="45" spans="1:15" s="24" customFormat="1" ht="24" customHeight="1">
      <c r="A45" s="62"/>
      <c r="B45" s="63"/>
      <c r="C45" s="59" t="s">
        <v>169</v>
      </c>
      <c r="D45" s="56" t="s">
        <v>206</v>
      </c>
      <c r="E45" s="70">
        <v>25000</v>
      </c>
      <c r="F45" s="70"/>
      <c r="G45" s="157">
        <f t="shared" si="2"/>
        <v>25000</v>
      </c>
      <c r="H45" s="70"/>
      <c r="I45" s="157">
        <f t="shared" si="15"/>
        <v>25000</v>
      </c>
      <c r="J45" s="70"/>
      <c r="K45" s="157">
        <f t="shared" si="16"/>
        <v>25000</v>
      </c>
      <c r="L45" s="70"/>
      <c r="M45" s="157">
        <f t="shared" si="17"/>
        <v>25000</v>
      </c>
      <c r="N45" s="70"/>
      <c r="O45" s="157">
        <f t="shared" si="18"/>
        <v>25000</v>
      </c>
    </row>
    <row r="46" spans="1:15" s="24" customFormat="1" ht="24" customHeight="1">
      <c r="A46" s="62"/>
      <c r="B46" s="63"/>
      <c r="C46" s="64">
        <v>2680</v>
      </c>
      <c r="D46" s="66" t="s">
        <v>249</v>
      </c>
      <c r="E46" s="61">
        <v>264414</v>
      </c>
      <c r="F46" s="61"/>
      <c r="G46" s="157">
        <f t="shared" si="2"/>
        <v>264414</v>
      </c>
      <c r="H46" s="61"/>
      <c r="I46" s="157">
        <f t="shared" si="15"/>
        <v>264414</v>
      </c>
      <c r="J46" s="61"/>
      <c r="K46" s="157">
        <f t="shared" si="16"/>
        <v>264414</v>
      </c>
      <c r="L46" s="61"/>
      <c r="M46" s="157">
        <f t="shared" si="17"/>
        <v>264414</v>
      </c>
      <c r="N46" s="61"/>
      <c r="O46" s="157">
        <f t="shared" si="18"/>
        <v>264414</v>
      </c>
    </row>
    <row r="47" spans="1:15" s="24" customFormat="1" ht="56.25">
      <c r="A47" s="62"/>
      <c r="B47" s="63">
        <v>75616</v>
      </c>
      <c r="C47" s="64"/>
      <c r="D47" s="66" t="s">
        <v>295</v>
      </c>
      <c r="E47" s="61">
        <f aca="true" t="shared" si="19" ref="E47:K47">SUM(E48:E55)</f>
        <v>4073240</v>
      </c>
      <c r="F47" s="61">
        <f t="shared" si="19"/>
        <v>0</v>
      </c>
      <c r="G47" s="61">
        <f t="shared" si="19"/>
        <v>4073240</v>
      </c>
      <c r="H47" s="61">
        <f t="shared" si="19"/>
        <v>0</v>
      </c>
      <c r="I47" s="61">
        <f t="shared" si="19"/>
        <v>4073240</v>
      </c>
      <c r="J47" s="61">
        <f t="shared" si="19"/>
        <v>0</v>
      </c>
      <c r="K47" s="61">
        <f t="shared" si="19"/>
        <v>4073240</v>
      </c>
      <c r="L47" s="61">
        <f>SUM(L48:L55)</f>
        <v>14000</v>
      </c>
      <c r="M47" s="61">
        <f>SUM(M48:M55)</f>
        <v>4087240</v>
      </c>
      <c r="N47" s="61">
        <f>SUM(N48:N55)</f>
        <v>0</v>
      </c>
      <c r="O47" s="61">
        <f>SUM(O48:O55)</f>
        <v>4087240</v>
      </c>
    </row>
    <row r="48" spans="1:15" s="24" customFormat="1" ht="21.75" customHeight="1">
      <c r="A48" s="62"/>
      <c r="B48" s="63"/>
      <c r="C48" s="64" t="s">
        <v>170</v>
      </c>
      <c r="D48" s="66" t="s">
        <v>31</v>
      </c>
      <c r="E48" s="61">
        <v>2447240</v>
      </c>
      <c r="F48" s="61"/>
      <c r="G48" s="157">
        <f t="shared" si="2"/>
        <v>2447240</v>
      </c>
      <c r="H48" s="61"/>
      <c r="I48" s="157">
        <f aca="true" t="shared" si="20" ref="I48:I55">SUM(G48:H48)</f>
        <v>2447240</v>
      </c>
      <c r="J48" s="61"/>
      <c r="K48" s="157">
        <f aca="true" t="shared" si="21" ref="K48:K55">SUM(I48:J48)</f>
        <v>2447240</v>
      </c>
      <c r="L48" s="61"/>
      <c r="M48" s="157">
        <f aca="true" t="shared" si="22" ref="M48:M55">SUM(K48:L48)</f>
        <v>2447240</v>
      </c>
      <c r="N48" s="61"/>
      <c r="O48" s="157">
        <f aca="true" t="shared" si="23" ref="O48:O55">SUM(M48:N48)</f>
        <v>2447240</v>
      </c>
    </row>
    <row r="49" spans="1:15" s="24" customFormat="1" ht="21.75" customHeight="1">
      <c r="A49" s="62"/>
      <c r="B49" s="63"/>
      <c r="C49" s="64" t="s">
        <v>171</v>
      </c>
      <c r="D49" s="66" t="s">
        <v>32</v>
      </c>
      <c r="E49" s="61">
        <v>575000</v>
      </c>
      <c r="F49" s="61"/>
      <c r="G49" s="157">
        <f t="shared" si="2"/>
        <v>575000</v>
      </c>
      <c r="H49" s="61"/>
      <c r="I49" s="157">
        <f t="shared" si="20"/>
        <v>575000</v>
      </c>
      <c r="J49" s="61"/>
      <c r="K49" s="157">
        <f t="shared" si="21"/>
        <v>575000</v>
      </c>
      <c r="L49" s="61"/>
      <c r="M49" s="157">
        <f t="shared" si="22"/>
        <v>575000</v>
      </c>
      <c r="N49" s="61"/>
      <c r="O49" s="157">
        <f t="shared" si="23"/>
        <v>575000</v>
      </c>
    </row>
    <row r="50" spans="1:15" s="24" customFormat="1" ht="21.75" customHeight="1">
      <c r="A50" s="62"/>
      <c r="B50" s="63"/>
      <c r="C50" s="64" t="s">
        <v>172</v>
      </c>
      <c r="D50" s="66" t="s">
        <v>33</v>
      </c>
      <c r="E50" s="61">
        <v>9000</v>
      </c>
      <c r="F50" s="61"/>
      <c r="G50" s="157">
        <f t="shared" si="2"/>
        <v>9000</v>
      </c>
      <c r="H50" s="61"/>
      <c r="I50" s="157">
        <f t="shared" si="20"/>
        <v>9000</v>
      </c>
      <c r="J50" s="61"/>
      <c r="K50" s="157">
        <f t="shared" si="21"/>
        <v>9000</v>
      </c>
      <c r="L50" s="61"/>
      <c r="M50" s="157">
        <f t="shared" si="22"/>
        <v>9000</v>
      </c>
      <c r="N50" s="61"/>
      <c r="O50" s="157">
        <f t="shared" si="23"/>
        <v>9000</v>
      </c>
    </row>
    <row r="51" spans="1:15" s="24" customFormat="1" ht="21.75" customHeight="1">
      <c r="A51" s="62"/>
      <c r="B51" s="63"/>
      <c r="C51" s="64" t="s">
        <v>173</v>
      </c>
      <c r="D51" s="66" t="s">
        <v>34</v>
      </c>
      <c r="E51" s="61">
        <f>160000+60000</f>
        <v>220000</v>
      </c>
      <c r="F51" s="61"/>
      <c r="G51" s="157">
        <f t="shared" si="2"/>
        <v>220000</v>
      </c>
      <c r="H51" s="61"/>
      <c r="I51" s="157">
        <f t="shared" si="20"/>
        <v>220000</v>
      </c>
      <c r="J51" s="61"/>
      <c r="K51" s="157">
        <f t="shared" si="21"/>
        <v>220000</v>
      </c>
      <c r="L51" s="61"/>
      <c r="M51" s="157">
        <f t="shared" si="22"/>
        <v>220000</v>
      </c>
      <c r="N51" s="61"/>
      <c r="O51" s="157">
        <f t="shared" si="23"/>
        <v>220000</v>
      </c>
    </row>
    <row r="52" spans="1:15" s="24" customFormat="1" ht="21.75" customHeight="1">
      <c r="A52" s="62"/>
      <c r="B52" s="63"/>
      <c r="C52" s="64" t="s">
        <v>285</v>
      </c>
      <c r="D52" s="66" t="s">
        <v>286</v>
      </c>
      <c r="E52" s="61">
        <v>2000</v>
      </c>
      <c r="F52" s="61"/>
      <c r="G52" s="157">
        <f t="shared" si="2"/>
        <v>2000</v>
      </c>
      <c r="H52" s="61"/>
      <c r="I52" s="157">
        <f t="shared" si="20"/>
        <v>2000</v>
      </c>
      <c r="J52" s="61"/>
      <c r="K52" s="157">
        <f t="shared" si="21"/>
        <v>2000</v>
      </c>
      <c r="L52" s="61"/>
      <c r="M52" s="157">
        <f t="shared" si="22"/>
        <v>2000</v>
      </c>
      <c r="N52" s="61"/>
      <c r="O52" s="157">
        <f t="shared" si="23"/>
        <v>2000</v>
      </c>
    </row>
    <row r="53" spans="1:15" s="24" customFormat="1" ht="21.75" customHeight="1">
      <c r="A53" s="62"/>
      <c r="B53" s="63"/>
      <c r="C53" s="64" t="s">
        <v>174</v>
      </c>
      <c r="D53" s="66" t="s">
        <v>37</v>
      </c>
      <c r="E53" s="61">
        <v>70000</v>
      </c>
      <c r="F53" s="61"/>
      <c r="G53" s="157">
        <f t="shared" si="2"/>
        <v>70000</v>
      </c>
      <c r="H53" s="61"/>
      <c r="I53" s="157">
        <f t="shared" si="20"/>
        <v>70000</v>
      </c>
      <c r="J53" s="61"/>
      <c r="K53" s="157">
        <f t="shared" si="21"/>
        <v>70000</v>
      </c>
      <c r="L53" s="61"/>
      <c r="M53" s="157">
        <f t="shared" si="22"/>
        <v>70000</v>
      </c>
      <c r="N53" s="61"/>
      <c r="O53" s="157">
        <f t="shared" si="23"/>
        <v>70000</v>
      </c>
    </row>
    <row r="54" spans="1:15" s="24" customFormat="1" ht="21.75" customHeight="1">
      <c r="A54" s="62"/>
      <c r="B54" s="63"/>
      <c r="C54" s="64" t="s">
        <v>176</v>
      </c>
      <c r="D54" s="66" t="s">
        <v>38</v>
      </c>
      <c r="E54" s="61">
        <v>700000</v>
      </c>
      <c r="F54" s="61"/>
      <c r="G54" s="157">
        <f t="shared" si="2"/>
        <v>700000</v>
      </c>
      <c r="H54" s="61"/>
      <c r="I54" s="157">
        <f t="shared" si="20"/>
        <v>700000</v>
      </c>
      <c r="J54" s="61"/>
      <c r="K54" s="157">
        <f t="shared" si="21"/>
        <v>700000</v>
      </c>
      <c r="L54" s="61">
        <v>14000</v>
      </c>
      <c r="M54" s="157">
        <f t="shared" si="22"/>
        <v>714000</v>
      </c>
      <c r="N54" s="61"/>
      <c r="O54" s="157">
        <f t="shared" si="23"/>
        <v>714000</v>
      </c>
    </row>
    <row r="55" spans="1:15" s="24" customFormat="1" ht="24" customHeight="1">
      <c r="A55" s="62"/>
      <c r="B55" s="63"/>
      <c r="C55" s="64" t="s">
        <v>169</v>
      </c>
      <c r="D55" s="66" t="s">
        <v>206</v>
      </c>
      <c r="E55" s="61">
        <v>50000</v>
      </c>
      <c r="F55" s="61"/>
      <c r="G55" s="157">
        <f t="shared" si="2"/>
        <v>50000</v>
      </c>
      <c r="H55" s="61"/>
      <c r="I55" s="157">
        <f t="shared" si="20"/>
        <v>50000</v>
      </c>
      <c r="J55" s="61"/>
      <c r="K55" s="157">
        <f t="shared" si="21"/>
        <v>50000</v>
      </c>
      <c r="L55" s="61"/>
      <c r="M55" s="157">
        <f t="shared" si="22"/>
        <v>50000</v>
      </c>
      <c r="N55" s="61"/>
      <c r="O55" s="157">
        <f t="shared" si="23"/>
        <v>50000</v>
      </c>
    </row>
    <row r="56" spans="1:15" s="24" customFormat="1" ht="33.75">
      <c r="A56" s="62"/>
      <c r="B56" s="63" t="s">
        <v>39</v>
      </c>
      <c r="C56" s="69"/>
      <c r="D56" s="66" t="s">
        <v>40</v>
      </c>
      <c r="E56" s="61">
        <f aca="true" t="shared" si="24" ref="E56:K56">SUM(E57:E60)</f>
        <v>670000</v>
      </c>
      <c r="F56" s="61">
        <f t="shared" si="24"/>
        <v>0</v>
      </c>
      <c r="G56" s="61">
        <f t="shared" si="24"/>
        <v>670000</v>
      </c>
      <c r="H56" s="61">
        <f t="shared" si="24"/>
        <v>0</v>
      </c>
      <c r="I56" s="61">
        <f t="shared" si="24"/>
        <v>670000</v>
      </c>
      <c r="J56" s="61">
        <f t="shared" si="24"/>
        <v>0</v>
      </c>
      <c r="K56" s="61">
        <f t="shared" si="24"/>
        <v>670000</v>
      </c>
      <c r="L56" s="61">
        <f>SUM(L57:L60)</f>
        <v>0</v>
      </c>
      <c r="M56" s="61">
        <f>SUM(M57:M60)</f>
        <v>670000</v>
      </c>
      <c r="N56" s="61">
        <f>SUM(N57:N60)</f>
        <v>0</v>
      </c>
      <c r="O56" s="61">
        <f>SUM(O57:O60)</f>
        <v>670000</v>
      </c>
    </row>
    <row r="57" spans="1:15" s="24" customFormat="1" ht="21.75" customHeight="1">
      <c r="A57" s="62"/>
      <c r="B57" s="63"/>
      <c r="C57" s="64" t="s">
        <v>177</v>
      </c>
      <c r="D57" s="66" t="s">
        <v>41</v>
      </c>
      <c r="E57" s="61">
        <v>120000</v>
      </c>
      <c r="F57" s="61"/>
      <c r="G57" s="157">
        <f t="shared" si="2"/>
        <v>120000</v>
      </c>
      <c r="H57" s="61"/>
      <c r="I57" s="157">
        <f>SUM(G57:H57)</f>
        <v>120000</v>
      </c>
      <c r="J57" s="61"/>
      <c r="K57" s="157">
        <f>SUM(I57:J57)</f>
        <v>120000</v>
      </c>
      <c r="L57" s="61"/>
      <c r="M57" s="157">
        <f>SUM(K57:L57)</f>
        <v>120000</v>
      </c>
      <c r="N57" s="61"/>
      <c r="O57" s="157">
        <f>SUM(M57:N57)</f>
        <v>120000</v>
      </c>
    </row>
    <row r="58" spans="1:15" s="24" customFormat="1" ht="21.75" customHeight="1">
      <c r="A58" s="62"/>
      <c r="B58" s="63"/>
      <c r="C58" s="64" t="s">
        <v>175</v>
      </c>
      <c r="D58" s="66" t="s">
        <v>35</v>
      </c>
      <c r="E58" s="61">
        <v>20000</v>
      </c>
      <c r="F58" s="61"/>
      <c r="G58" s="157">
        <f t="shared" si="2"/>
        <v>20000</v>
      </c>
      <c r="H58" s="61"/>
      <c r="I58" s="157">
        <f>SUM(G58:H58)</f>
        <v>20000</v>
      </c>
      <c r="J58" s="61"/>
      <c r="K58" s="157">
        <f>SUM(I58:J58)</f>
        <v>20000</v>
      </c>
      <c r="L58" s="61"/>
      <c r="M58" s="157">
        <f>SUM(K58:L58)</f>
        <v>20000</v>
      </c>
      <c r="N58" s="61"/>
      <c r="O58" s="157">
        <f>SUM(M58:N58)</f>
        <v>20000</v>
      </c>
    </row>
    <row r="59" spans="1:15" s="24" customFormat="1" ht="24" customHeight="1">
      <c r="A59" s="62"/>
      <c r="B59" s="63"/>
      <c r="C59" s="64" t="s">
        <v>181</v>
      </c>
      <c r="D59" s="66" t="s">
        <v>229</v>
      </c>
      <c r="E59" s="61">
        <v>330000</v>
      </c>
      <c r="F59" s="61"/>
      <c r="G59" s="157">
        <f t="shared" si="2"/>
        <v>330000</v>
      </c>
      <c r="H59" s="61"/>
      <c r="I59" s="157">
        <f>SUM(G59:H59)</f>
        <v>330000</v>
      </c>
      <c r="J59" s="61"/>
      <c r="K59" s="157">
        <f>SUM(I59:J59)</f>
        <v>330000</v>
      </c>
      <c r="L59" s="61"/>
      <c r="M59" s="157">
        <f>SUM(K59:L59)</f>
        <v>330000</v>
      </c>
      <c r="N59" s="61"/>
      <c r="O59" s="157">
        <f>SUM(M59:N59)</f>
        <v>330000</v>
      </c>
    </row>
    <row r="60" spans="1:15" s="24" customFormat="1" ht="45">
      <c r="A60" s="62"/>
      <c r="B60" s="63"/>
      <c r="C60" s="64" t="s">
        <v>162</v>
      </c>
      <c r="D60" s="66" t="s">
        <v>7</v>
      </c>
      <c r="E60" s="61">
        <f>170000+30000</f>
        <v>200000</v>
      </c>
      <c r="F60" s="61"/>
      <c r="G60" s="157">
        <f t="shared" si="2"/>
        <v>200000</v>
      </c>
      <c r="H60" s="61"/>
      <c r="I60" s="157">
        <f>SUM(G60:H60)</f>
        <v>200000</v>
      </c>
      <c r="J60" s="61"/>
      <c r="K60" s="157">
        <f>SUM(I60:J60)</f>
        <v>200000</v>
      </c>
      <c r="L60" s="61"/>
      <c r="M60" s="157">
        <f>SUM(K60:L60)</f>
        <v>200000</v>
      </c>
      <c r="N60" s="61"/>
      <c r="O60" s="157">
        <f>SUM(M60:N60)</f>
        <v>200000</v>
      </c>
    </row>
    <row r="61" spans="1:15" s="24" customFormat="1" ht="24" customHeight="1">
      <c r="A61" s="62"/>
      <c r="B61" s="63" t="s">
        <v>42</v>
      </c>
      <c r="C61" s="69"/>
      <c r="D61" s="66" t="s">
        <v>43</v>
      </c>
      <c r="E61" s="61">
        <f aca="true" t="shared" si="25" ref="E61:K61">SUM(E62:E63)</f>
        <v>11030735</v>
      </c>
      <c r="F61" s="61">
        <f t="shared" si="25"/>
        <v>0</v>
      </c>
      <c r="G61" s="61">
        <f t="shared" si="25"/>
        <v>11030735</v>
      </c>
      <c r="H61" s="61">
        <f t="shared" si="25"/>
        <v>0</v>
      </c>
      <c r="I61" s="61">
        <f t="shared" si="25"/>
        <v>11030735</v>
      </c>
      <c r="J61" s="61">
        <f t="shared" si="25"/>
        <v>-329</v>
      </c>
      <c r="K61" s="61">
        <f t="shared" si="25"/>
        <v>11030406</v>
      </c>
      <c r="L61" s="61">
        <f>SUM(L62:L63)</f>
        <v>0</v>
      </c>
      <c r="M61" s="61">
        <f>SUM(M62:M63)</f>
        <v>11030406</v>
      </c>
      <c r="N61" s="61">
        <f>SUM(N62:N63)</f>
        <v>0</v>
      </c>
      <c r="O61" s="61">
        <f>SUM(O62:O63)</f>
        <v>11030406</v>
      </c>
    </row>
    <row r="62" spans="1:15" s="24" customFormat="1" ht="21.75" customHeight="1">
      <c r="A62" s="62"/>
      <c r="B62" s="63"/>
      <c r="C62" s="64" t="s">
        <v>178</v>
      </c>
      <c r="D62" s="66" t="s">
        <v>44</v>
      </c>
      <c r="E62" s="61">
        <v>10030735</v>
      </c>
      <c r="F62" s="61"/>
      <c r="G62" s="157">
        <f t="shared" si="2"/>
        <v>10030735</v>
      </c>
      <c r="H62" s="61"/>
      <c r="I62" s="157">
        <f>SUM(G62:H62)</f>
        <v>10030735</v>
      </c>
      <c r="J62" s="61">
        <v>-329</v>
      </c>
      <c r="K62" s="157">
        <f>SUM(I62:J62)</f>
        <v>10030406</v>
      </c>
      <c r="L62" s="61"/>
      <c r="M62" s="157">
        <f>SUM(K62:L62)</f>
        <v>10030406</v>
      </c>
      <c r="N62" s="61"/>
      <c r="O62" s="157">
        <f>SUM(M62:N62)</f>
        <v>10030406</v>
      </c>
    </row>
    <row r="63" spans="1:15" s="24" customFormat="1" ht="21.75" customHeight="1">
      <c r="A63" s="62"/>
      <c r="B63" s="63"/>
      <c r="C63" s="64" t="s">
        <v>179</v>
      </c>
      <c r="D63" s="66" t="s">
        <v>45</v>
      </c>
      <c r="E63" s="61">
        <v>1000000</v>
      </c>
      <c r="F63" s="61"/>
      <c r="G63" s="157">
        <f t="shared" si="2"/>
        <v>1000000</v>
      </c>
      <c r="H63" s="61"/>
      <c r="I63" s="157">
        <f>SUM(G63:H63)</f>
        <v>1000000</v>
      </c>
      <c r="J63" s="61"/>
      <c r="K63" s="157">
        <f>SUM(I63:J63)</f>
        <v>1000000</v>
      </c>
      <c r="L63" s="61"/>
      <c r="M63" s="157">
        <f>SUM(K63:L63)</f>
        <v>1000000</v>
      </c>
      <c r="N63" s="61"/>
      <c r="O63" s="157">
        <f>SUM(M63:N63)</f>
        <v>1000000</v>
      </c>
    </row>
    <row r="64" spans="1:15" s="6" customFormat="1" ht="24" customHeight="1">
      <c r="A64" s="29" t="s">
        <v>46</v>
      </c>
      <c r="B64" s="2"/>
      <c r="C64" s="3"/>
      <c r="D64" s="30" t="s">
        <v>47</v>
      </c>
      <c r="E64" s="48">
        <f>SUM(E65,E67,E69,E71)</f>
        <v>19119259</v>
      </c>
      <c r="F64" s="48">
        <f>SUM(F65,F67,F69,F71)</f>
        <v>0</v>
      </c>
      <c r="G64" s="16">
        <f t="shared" si="2"/>
        <v>19119259</v>
      </c>
      <c r="H64" s="48">
        <f>SUM(H65,H67,H69,H71)</f>
        <v>0</v>
      </c>
      <c r="I64" s="16">
        <f>SUM(G64:H64)</f>
        <v>19119259</v>
      </c>
      <c r="J64" s="48">
        <f>SUM(J65,J67,J69,J71)</f>
        <v>-175597</v>
      </c>
      <c r="K64" s="16">
        <f>SUM(I64:J64)</f>
        <v>18943662</v>
      </c>
      <c r="L64" s="48">
        <f>SUM(L65,L67,L69,L71)</f>
        <v>0</v>
      </c>
      <c r="M64" s="16">
        <f>SUM(K64:L64)</f>
        <v>18943662</v>
      </c>
      <c r="N64" s="48">
        <f>SUM(N65,N67,N69,N71)</f>
        <v>0</v>
      </c>
      <c r="O64" s="16">
        <f>SUM(M64:N64)</f>
        <v>18943662</v>
      </c>
    </row>
    <row r="65" spans="1:15" s="24" customFormat="1" ht="24" customHeight="1">
      <c r="A65" s="62"/>
      <c r="B65" s="63" t="s">
        <v>48</v>
      </c>
      <c r="C65" s="69"/>
      <c r="D65" s="66" t="s">
        <v>49</v>
      </c>
      <c r="E65" s="61">
        <f aca="true" t="shared" si="26" ref="E65:O65">SUM(E66)</f>
        <v>14073448</v>
      </c>
      <c r="F65" s="61">
        <f t="shared" si="26"/>
        <v>0</v>
      </c>
      <c r="G65" s="61">
        <f t="shared" si="26"/>
        <v>14073448</v>
      </c>
      <c r="H65" s="61">
        <f t="shared" si="26"/>
        <v>0</v>
      </c>
      <c r="I65" s="61">
        <f t="shared" si="26"/>
        <v>14073448</v>
      </c>
      <c r="J65" s="61">
        <f t="shared" si="26"/>
        <v>-175597</v>
      </c>
      <c r="K65" s="61">
        <f t="shared" si="26"/>
        <v>13897851</v>
      </c>
      <c r="L65" s="61">
        <f t="shared" si="26"/>
        <v>0</v>
      </c>
      <c r="M65" s="61">
        <f t="shared" si="26"/>
        <v>13897851</v>
      </c>
      <c r="N65" s="61">
        <f t="shared" si="26"/>
        <v>0</v>
      </c>
      <c r="O65" s="61">
        <f t="shared" si="26"/>
        <v>13897851</v>
      </c>
    </row>
    <row r="66" spans="1:15" s="24" customFormat="1" ht="21.75" customHeight="1">
      <c r="A66" s="62"/>
      <c r="B66" s="63"/>
      <c r="C66" s="64">
        <v>2920</v>
      </c>
      <c r="D66" s="66" t="s">
        <v>50</v>
      </c>
      <c r="E66" s="61">
        <v>14073448</v>
      </c>
      <c r="F66" s="61"/>
      <c r="G66" s="157">
        <f t="shared" si="2"/>
        <v>14073448</v>
      </c>
      <c r="H66" s="61"/>
      <c r="I66" s="157">
        <f>SUM(G66:H66)</f>
        <v>14073448</v>
      </c>
      <c r="J66" s="61">
        <v>-175597</v>
      </c>
      <c r="K66" s="157">
        <f>SUM(I66:J66)</f>
        <v>13897851</v>
      </c>
      <c r="L66" s="61"/>
      <c r="M66" s="157">
        <f>SUM(K66:L66)</f>
        <v>13897851</v>
      </c>
      <c r="N66" s="61"/>
      <c r="O66" s="157">
        <f>SUM(M66:N66)</f>
        <v>13897851</v>
      </c>
    </row>
    <row r="67" spans="1:15" s="24" customFormat="1" ht="21.75" customHeight="1">
      <c r="A67" s="62"/>
      <c r="B67" s="63" t="s">
        <v>191</v>
      </c>
      <c r="C67" s="69"/>
      <c r="D67" s="66" t="s">
        <v>190</v>
      </c>
      <c r="E67" s="61">
        <f aca="true" t="shared" si="27" ref="E67:O67">SUM(E68)</f>
        <v>4225670</v>
      </c>
      <c r="F67" s="61">
        <f t="shared" si="27"/>
        <v>0</v>
      </c>
      <c r="G67" s="61">
        <f t="shared" si="27"/>
        <v>4225670</v>
      </c>
      <c r="H67" s="61">
        <f t="shared" si="27"/>
        <v>0</v>
      </c>
      <c r="I67" s="61">
        <f t="shared" si="27"/>
        <v>4225670</v>
      </c>
      <c r="J67" s="61">
        <f t="shared" si="27"/>
        <v>0</v>
      </c>
      <c r="K67" s="61">
        <f t="shared" si="27"/>
        <v>4225670</v>
      </c>
      <c r="L67" s="61">
        <f t="shared" si="27"/>
        <v>0</v>
      </c>
      <c r="M67" s="61">
        <f t="shared" si="27"/>
        <v>4225670</v>
      </c>
      <c r="N67" s="61">
        <f t="shared" si="27"/>
        <v>0</v>
      </c>
      <c r="O67" s="61">
        <f t="shared" si="27"/>
        <v>4225670</v>
      </c>
    </row>
    <row r="68" spans="1:15" s="24" customFormat="1" ht="21.75" customHeight="1">
      <c r="A68" s="62"/>
      <c r="B68" s="63"/>
      <c r="C68" s="64">
        <v>2920</v>
      </c>
      <c r="D68" s="66" t="s">
        <v>50</v>
      </c>
      <c r="E68" s="61">
        <v>4225670</v>
      </c>
      <c r="F68" s="61"/>
      <c r="G68" s="167">
        <f t="shared" si="2"/>
        <v>4225670</v>
      </c>
      <c r="H68" s="61"/>
      <c r="I68" s="167">
        <f>SUM(G68:H68)</f>
        <v>4225670</v>
      </c>
      <c r="J68" s="61"/>
      <c r="K68" s="167">
        <f>SUM(I68:J68)</f>
        <v>4225670</v>
      </c>
      <c r="L68" s="61"/>
      <c r="M68" s="167">
        <f>SUM(K68:L68)</f>
        <v>4225670</v>
      </c>
      <c r="N68" s="61"/>
      <c r="O68" s="167">
        <f>SUM(M68:N68)</f>
        <v>4225670</v>
      </c>
    </row>
    <row r="69" spans="1:15" s="24" customFormat="1" ht="21" customHeight="1">
      <c r="A69" s="62"/>
      <c r="B69" s="63">
        <v>75814</v>
      </c>
      <c r="C69" s="69"/>
      <c r="D69" s="66" t="s">
        <v>51</v>
      </c>
      <c r="E69" s="61">
        <f aca="true" t="shared" si="28" ref="E69:O69">SUM(E70)</f>
        <v>50000</v>
      </c>
      <c r="F69" s="61">
        <f t="shared" si="28"/>
        <v>0</v>
      </c>
      <c r="G69" s="61">
        <f t="shared" si="28"/>
        <v>50000</v>
      </c>
      <c r="H69" s="61">
        <f t="shared" si="28"/>
        <v>0</v>
      </c>
      <c r="I69" s="61">
        <f t="shared" si="28"/>
        <v>50000</v>
      </c>
      <c r="J69" s="61">
        <f t="shared" si="28"/>
        <v>0</v>
      </c>
      <c r="K69" s="61">
        <f t="shared" si="28"/>
        <v>50000</v>
      </c>
      <c r="L69" s="61">
        <f t="shared" si="28"/>
        <v>0</v>
      </c>
      <c r="M69" s="61">
        <f t="shared" si="28"/>
        <v>50000</v>
      </c>
      <c r="N69" s="61">
        <f t="shared" si="28"/>
        <v>0</v>
      </c>
      <c r="O69" s="61">
        <f t="shared" si="28"/>
        <v>50000</v>
      </c>
    </row>
    <row r="70" spans="1:15" s="24" customFormat="1" ht="21.75" customHeight="1">
      <c r="A70" s="62"/>
      <c r="B70" s="63"/>
      <c r="C70" s="64" t="s">
        <v>165</v>
      </c>
      <c r="D70" s="66" t="s">
        <v>11</v>
      </c>
      <c r="E70" s="61">
        <v>50000</v>
      </c>
      <c r="F70" s="61"/>
      <c r="G70" s="157">
        <f t="shared" si="2"/>
        <v>50000</v>
      </c>
      <c r="H70" s="61"/>
      <c r="I70" s="157">
        <f>SUM(G70:H70)</f>
        <v>50000</v>
      </c>
      <c r="J70" s="61"/>
      <c r="K70" s="157">
        <f>SUM(I70:J70)</f>
        <v>50000</v>
      </c>
      <c r="L70" s="61"/>
      <c r="M70" s="157">
        <f>SUM(K70:L70)</f>
        <v>50000</v>
      </c>
      <c r="N70" s="61"/>
      <c r="O70" s="157">
        <f>SUM(M70:N70)</f>
        <v>50000</v>
      </c>
    </row>
    <row r="71" spans="1:15" s="24" customFormat="1" ht="22.5">
      <c r="A71" s="62"/>
      <c r="B71" s="63" t="s">
        <v>220</v>
      </c>
      <c r="C71" s="69"/>
      <c r="D71" s="66" t="s">
        <v>221</v>
      </c>
      <c r="E71" s="61">
        <f aca="true" t="shared" si="29" ref="E71:O71">SUM(E72)</f>
        <v>770141</v>
      </c>
      <c r="F71" s="61">
        <f t="shared" si="29"/>
        <v>0</v>
      </c>
      <c r="G71" s="61">
        <f t="shared" si="29"/>
        <v>770141</v>
      </c>
      <c r="H71" s="61">
        <f t="shared" si="29"/>
        <v>0</v>
      </c>
      <c r="I71" s="61">
        <f t="shared" si="29"/>
        <v>770141</v>
      </c>
      <c r="J71" s="61">
        <f t="shared" si="29"/>
        <v>0</v>
      </c>
      <c r="K71" s="61">
        <f t="shared" si="29"/>
        <v>770141</v>
      </c>
      <c r="L71" s="61">
        <f t="shared" si="29"/>
        <v>0</v>
      </c>
      <c r="M71" s="61">
        <f t="shared" si="29"/>
        <v>770141</v>
      </c>
      <c r="N71" s="61">
        <f t="shared" si="29"/>
        <v>0</v>
      </c>
      <c r="O71" s="61">
        <f t="shared" si="29"/>
        <v>770141</v>
      </c>
    </row>
    <row r="72" spans="1:15" s="24" customFormat="1" ht="21.75" customHeight="1">
      <c r="A72" s="62"/>
      <c r="B72" s="63"/>
      <c r="C72" s="64">
        <v>2920</v>
      </c>
      <c r="D72" s="66" t="s">
        <v>50</v>
      </c>
      <c r="E72" s="61">
        <v>770141</v>
      </c>
      <c r="F72" s="61"/>
      <c r="G72" s="157">
        <f t="shared" si="2"/>
        <v>770141</v>
      </c>
      <c r="H72" s="61"/>
      <c r="I72" s="157">
        <f>SUM(G72:H72)</f>
        <v>770141</v>
      </c>
      <c r="J72" s="61"/>
      <c r="K72" s="157">
        <f>SUM(I72:J72)</f>
        <v>770141</v>
      </c>
      <c r="L72" s="61"/>
      <c r="M72" s="157">
        <f>SUM(K72:L72)</f>
        <v>770141</v>
      </c>
      <c r="N72" s="61"/>
      <c r="O72" s="157">
        <f>SUM(M72:N72)</f>
        <v>770141</v>
      </c>
    </row>
    <row r="73" spans="1:15" s="24" customFormat="1" ht="24" customHeight="1">
      <c r="A73" s="33" t="s">
        <v>111</v>
      </c>
      <c r="B73" s="34"/>
      <c r="C73" s="35"/>
      <c r="D73" s="36" t="s">
        <v>112</v>
      </c>
      <c r="E73" s="48">
        <f aca="true" t="shared" si="30" ref="E73:K73">SUM(E74,E80,E82,E88,E85)</f>
        <v>268995</v>
      </c>
      <c r="F73" s="48">
        <f t="shared" si="30"/>
        <v>0</v>
      </c>
      <c r="G73" s="48">
        <f t="shared" si="30"/>
        <v>268995</v>
      </c>
      <c r="H73" s="48">
        <f t="shared" si="30"/>
        <v>0</v>
      </c>
      <c r="I73" s="48">
        <f t="shared" si="30"/>
        <v>268995</v>
      </c>
      <c r="J73" s="48">
        <f t="shared" si="30"/>
        <v>0</v>
      </c>
      <c r="K73" s="48">
        <f t="shared" si="30"/>
        <v>268995</v>
      </c>
      <c r="L73" s="48">
        <f>SUM(L74,L80,L82,L88,L85)</f>
        <v>0</v>
      </c>
      <c r="M73" s="48">
        <f>SUM(M74,M80,M82,M88,M85)</f>
        <v>268995</v>
      </c>
      <c r="N73" s="48">
        <f>SUM(N74,N80,N82,N88,N85)</f>
        <v>0</v>
      </c>
      <c r="O73" s="48">
        <f>SUM(O74,O80,O82,O88,O85)</f>
        <v>268995</v>
      </c>
    </row>
    <row r="74" spans="1:15" s="24" customFormat="1" ht="24" customHeight="1">
      <c r="A74" s="57"/>
      <c r="B74" s="71" t="s">
        <v>113</v>
      </c>
      <c r="C74" s="75"/>
      <c r="D74" s="38" t="s">
        <v>52</v>
      </c>
      <c r="E74" s="61">
        <f aca="true" t="shared" si="31" ref="E74:K74">SUM(E75:E79)</f>
        <v>77684</v>
      </c>
      <c r="F74" s="61">
        <f t="shared" si="31"/>
        <v>0</v>
      </c>
      <c r="G74" s="61">
        <f t="shared" si="31"/>
        <v>77684</v>
      </c>
      <c r="H74" s="61">
        <f t="shared" si="31"/>
        <v>0</v>
      </c>
      <c r="I74" s="61">
        <f t="shared" si="31"/>
        <v>77684</v>
      </c>
      <c r="J74" s="61">
        <f t="shared" si="31"/>
        <v>0</v>
      </c>
      <c r="K74" s="61">
        <f t="shared" si="31"/>
        <v>77684</v>
      </c>
      <c r="L74" s="61">
        <f>SUM(L75:L79)</f>
        <v>0</v>
      </c>
      <c r="M74" s="61">
        <f>SUM(M75:M79)</f>
        <v>77684</v>
      </c>
      <c r="N74" s="61">
        <f>SUM(N75:N79)</f>
        <v>0</v>
      </c>
      <c r="O74" s="61">
        <f>SUM(O75:O79)</f>
        <v>77684</v>
      </c>
    </row>
    <row r="75" spans="1:15" s="24" customFormat="1" ht="24" customHeight="1">
      <c r="A75" s="71"/>
      <c r="B75" s="71"/>
      <c r="C75" s="72" t="s">
        <v>187</v>
      </c>
      <c r="D75" s="38" t="s">
        <v>147</v>
      </c>
      <c r="E75" s="61">
        <v>400</v>
      </c>
      <c r="F75" s="61"/>
      <c r="G75" s="157">
        <f t="shared" si="2"/>
        <v>400</v>
      </c>
      <c r="H75" s="61"/>
      <c r="I75" s="157">
        <f>SUM(G75:H75)</f>
        <v>400</v>
      </c>
      <c r="J75" s="61"/>
      <c r="K75" s="157">
        <f>SUM(I75:J75)</f>
        <v>400</v>
      </c>
      <c r="L75" s="61"/>
      <c r="M75" s="157">
        <f>SUM(K75:L75)</f>
        <v>400</v>
      </c>
      <c r="N75" s="61"/>
      <c r="O75" s="157">
        <f>SUM(M75:N75)</f>
        <v>400</v>
      </c>
    </row>
    <row r="76" spans="1:15" s="24" customFormat="1" ht="67.5">
      <c r="A76" s="71"/>
      <c r="B76" s="57"/>
      <c r="C76" s="72" t="s">
        <v>164</v>
      </c>
      <c r="D76" s="38" t="s">
        <v>56</v>
      </c>
      <c r="E76" s="61">
        <v>48899</v>
      </c>
      <c r="F76" s="61"/>
      <c r="G76" s="157">
        <f t="shared" si="2"/>
        <v>48899</v>
      </c>
      <c r="H76" s="61"/>
      <c r="I76" s="157">
        <f>SUM(G76:H76)</f>
        <v>48899</v>
      </c>
      <c r="J76" s="61"/>
      <c r="K76" s="157">
        <f>SUM(I76:J76)</f>
        <v>48899</v>
      </c>
      <c r="L76" s="61"/>
      <c r="M76" s="157">
        <f>SUM(K76:L76)</f>
        <v>48899</v>
      </c>
      <c r="N76" s="61"/>
      <c r="O76" s="157">
        <f>SUM(M76:N76)</f>
        <v>48899</v>
      </c>
    </row>
    <row r="77" spans="1:15" s="24" customFormat="1" ht="23.25" customHeight="1">
      <c r="A77" s="71"/>
      <c r="B77" s="57"/>
      <c r="C77" s="101" t="s">
        <v>165</v>
      </c>
      <c r="D77" s="56" t="s">
        <v>11</v>
      </c>
      <c r="E77" s="61">
        <v>853</v>
      </c>
      <c r="F77" s="61"/>
      <c r="G77" s="157">
        <f aca="true" t="shared" si="32" ref="G77:G118">SUM(E77:F77)</f>
        <v>853</v>
      </c>
      <c r="H77" s="61"/>
      <c r="I77" s="157">
        <f>SUM(G77:H77)</f>
        <v>853</v>
      </c>
      <c r="J77" s="61"/>
      <c r="K77" s="157">
        <f>SUM(I77:J77)</f>
        <v>853</v>
      </c>
      <c r="L77" s="61"/>
      <c r="M77" s="157">
        <f>SUM(K77:L77)</f>
        <v>853</v>
      </c>
      <c r="N77" s="61"/>
      <c r="O77" s="157">
        <f>SUM(M77:N77)</f>
        <v>853</v>
      </c>
    </row>
    <row r="78" spans="1:15" s="24" customFormat="1" ht="22.5" customHeight="1">
      <c r="A78" s="71"/>
      <c r="B78" s="57"/>
      <c r="C78" s="101" t="s">
        <v>166</v>
      </c>
      <c r="D78" s="38" t="s">
        <v>12</v>
      </c>
      <c r="E78" s="61">
        <v>22750</v>
      </c>
      <c r="F78" s="61"/>
      <c r="G78" s="157">
        <f t="shared" si="32"/>
        <v>22750</v>
      </c>
      <c r="H78" s="61"/>
      <c r="I78" s="157">
        <f>SUM(G78:H78)</f>
        <v>22750</v>
      </c>
      <c r="J78" s="61"/>
      <c r="K78" s="157">
        <f>SUM(I78:J78)</f>
        <v>22750</v>
      </c>
      <c r="L78" s="61"/>
      <c r="M78" s="157">
        <f>SUM(K78:L78)</f>
        <v>22750</v>
      </c>
      <c r="N78" s="61"/>
      <c r="O78" s="157">
        <f>SUM(M78:N78)</f>
        <v>22750</v>
      </c>
    </row>
    <row r="79" spans="1:15" s="24" customFormat="1" ht="45">
      <c r="A79" s="71"/>
      <c r="B79" s="57"/>
      <c r="C79" s="101">
        <v>2310</v>
      </c>
      <c r="D79" s="38" t="s">
        <v>237</v>
      </c>
      <c r="E79" s="61">
        <v>4782</v>
      </c>
      <c r="F79" s="61"/>
      <c r="G79" s="157">
        <f t="shared" si="32"/>
        <v>4782</v>
      </c>
      <c r="H79" s="61"/>
      <c r="I79" s="157">
        <f>SUM(G79:H79)</f>
        <v>4782</v>
      </c>
      <c r="J79" s="61"/>
      <c r="K79" s="157">
        <f>SUM(I79:J79)</f>
        <v>4782</v>
      </c>
      <c r="L79" s="61"/>
      <c r="M79" s="157">
        <f>SUM(K79:L79)</f>
        <v>4782</v>
      </c>
      <c r="N79" s="61"/>
      <c r="O79" s="157">
        <f>SUM(M79:N79)</f>
        <v>4782</v>
      </c>
    </row>
    <row r="80" spans="1:15" s="24" customFormat="1" ht="24" customHeight="1">
      <c r="A80" s="62"/>
      <c r="B80" s="63">
        <v>80104</v>
      </c>
      <c r="C80" s="64"/>
      <c r="D80" s="38" t="s">
        <v>126</v>
      </c>
      <c r="E80" s="61">
        <f aca="true" t="shared" si="33" ref="E80:O80">SUM(E81)</f>
        <v>2000</v>
      </c>
      <c r="F80" s="61">
        <f t="shared" si="33"/>
        <v>0</v>
      </c>
      <c r="G80" s="61">
        <f t="shared" si="33"/>
        <v>2000</v>
      </c>
      <c r="H80" s="61">
        <f t="shared" si="33"/>
        <v>0</v>
      </c>
      <c r="I80" s="61">
        <f t="shared" si="33"/>
        <v>2000</v>
      </c>
      <c r="J80" s="61">
        <f t="shared" si="33"/>
        <v>0</v>
      </c>
      <c r="K80" s="61">
        <f t="shared" si="33"/>
        <v>2000</v>
      </c>
      <c r="L80" s="61">
        <f t="shared" si="33"/>
        <v>0</v>
      </c>
      <c r="M80" s="61">
        <f t="shared" si="33"/>
        <v>2000</v>
      </c>
      <c r="N80" s="61">
        <f t="shared" si="33"/>
        <v>0</v>
      </c>
      <c r="O80" s="61">
        <f t="shared" si="33"/>
        <v>2000</v>
      </c>
    </row>
    <row r="81" spans="1:15" s="24" customFormat="1" ht="67.5">
      <c r="A81" s="62"/>
      <c r="B81" s="63"/>
      <c r="C81" s="64" t="s">
        <v>164</v>
      </c>
      <c r="D81" s="38" t="s">
        <v>56</v>
      </c>
      <c r="E81" s="61">
        <v>2000</v>
      </c>
      <c r="F81" s="61"/>
      <c r="G81" s="157">
        <f t="shared" si="32"/>
        <v>2000</v>
      </c>
      <c r="H81" s="61"/>
      <c r="I81" s="157">
        <f>SUM(G81:H81)</f>
        <v>2000</v>
      </c>
      <c r="J81" s="61"/>
      <c r="K81" s="157">
        <f>SUM(I81:J81)</f>
        <v>2000</v>
      </c>
      <c r="L81" s="61"/>
      <c r="M81" s="157">
        <f>SUM(K81:L81)</f>
        <v>2000</v>
      </c>
      <c r="N81" s="61"/>
      <c r="O81" s="157">
        <f>SUM(M81:N81)</f>
        <v>2000</v>
      </c>
    </row>
    <row r="82" spans="1:15" s="24" customFormat="1" ht="24" customHeight="1">
      <c r="A82" s="62"/>
      <c r="B82" s="63">
        <v>80110</v>
      </c>
      <c r="C82" s="64"/>
      <c r="D82" s="38" t="s">
        <v>53</v>
      </c>
      <c r="E82" s="61">
        <f aca="true" t="shared" si="34" ref="E82:K82">SUM(E83:E84)</f>
        <v>8519</v>
      </c>
      <c r="F82" s="61">
        <f t="shared" si="34"/>
        <v>0</v>
      </c>
      <c r="G82" s="61">
        <f t="shared" si="34"/>
        <v>8519</v>
      </c>
      <c r="H82" s="61">
        <f t="shared" si="34"/>
        <v>0</v>
      </c>
      <c r="I82" s="61">
        <f t="shared" si="34"/>
        <v>8519</v>
      </c>
      <c r="J82" s="61">
        <f t="shared" si="34"/>
        <v>0</v>
      </c>
      <c r="K82" s="61">
        <f t="shared" si="34"/>
        <v>8519</v>
      </c>
      <c r="L82" s="61">
        <f>SUM(L83:L84)</f>
        <v>0</v>
      </c>
      <c r="M82" s="61">
        <f>SUM(M83:M84)</f>
        <v>8519</v>
      </c>
      <c r="N82" s="61">
        <f>SUM(N83:N84)</f>
        <v>0</v>
      </c>
      <c r="O82" s="61">
        <f>SUM(O83:O84)</f>
        <v>8519</v>
      </c>
    </row>
    <row r="83" spans="1:15" s="24" customFormat="1" ht="67.5">
      <c r="A83" s="62"/>
      <c r="B83" s="63"/>
      <c r="C83" s="64" t="s">
        <v>164</v>
      </c>
      <c r="D83" s="38" t="s">
        <v>56</v>
      </c>
      <c r="E83" s="61">
        <v>8510</v>
      </c>
      <c r="F83" s="61"/>
      <c r="G83" s="157">
        <f t="shared" si="32"/>
        <v>8510</v>
      </c>
      <c r="H83" s="61"/>
      <c r="I83" s="157">
        <f>SUM(G83:H83)</f>
        <v>8510</v>
      </c>
      <c r="J83" s="61"/>
      <c r="K83" s="157">
        <f>SUM(I83:J83)</f>
        <v>8510</v>
      </c>
      <c r="L83" s="61"/>
      <c r="M83" s="157">
        <f>SUM(K83:L83)</f>
        <v>8510</v>
      </c>
      <c r="N83" s="61"/>
      <c r="O83" s="157">
        <f>SUM(M83:N83)</f>
        <v>8510</v>
      </c>
    </row>
    <row r="84" spans="1:15" s="24" customFormat="1" ht="22.5" customHeight="1">
      <c r="A84" s="62"/>
      <c r="B84" s="63"/>
      <c r="C84" s="64" t="s">
        <v>165</v>
      </c>
      <c r="D84" s="56" t="s">
        <v>11</v>
      </c>
      <c r="E84" s="61">
        <v>9</v>
      </c>
      <c r="F84" s="61"/>
      <c r="G84" s="157">
        <f t="shared" si="32"/>
        <v>9</v>
      </c>
      <c r="H84" s="61"/>
      <c r="I84" s="157">
        <f>SUM(G84:H84)</f>
        <v>9</v>
      </c>
      <c r="J84" s="61"/>
      <c r="K84" s="157">
        <f>SUM(I84:J84)</f>
        <v>9</v>
      </c>
      <c r="L84" s="61"/>
      <c r="M84" s="157">
        <f>SUM(K84:L84)</f>
        <v>9</v>
      </c>
      <c r="N84" s="61"/>
      <c r="O84" s="157">
        <f>SUM(M84:N84)</f>
        <v>9</v>
      </c>
    </row>
    <row r="85" spans="1:15" s="24" customFormat="1" ht="22.5" customHeight="1">
      <c r="A85" s="62"/>
      <c r="B85" s="63">
        <v>80148</v>
      </c>
      <c r="C85" s="64"/>
      <c r="D85" s="56" t="s">
        <v>243</v>
      </c>
      <c r="E85" s="61">
        <f aca="true" t="shared" si="35" ref="E85:K85">SUM(E86:E87)</f>
        <v>129806</v>
      </c>
      <c r="F85" s="61">
        <f t="shared" si="35"/>
        <v>0</v>
      </c>
      <c r="G85" s="61">
        <f t="shared" si="35"/>
        <v>129806</v>
      </c>
      <c r="H85" s="61">
        <f t="shared" si="35"/>
        <v>0</v>
      </c>
      <c r="I85" s="61">
        <f t="shared" si="35"/>
        <v>129806</v>
      </c>
      <c r="J85" s="61">
        <f t="shared" si="35"/>
        <v>0</v>
      </c>
      <c r="K85" s="61">
        <f t="shared" si="35"/>
        <v>129806</v>
      </c>
      <c r="L85" s="61">
        <f>SUM(L86:L87)</f>
        <v>0</v>
      </c>
      <c r="M85" s="61">
        <f>SUM(M86:M87)</f>
        <v>129806</v>
      </c>
      <c r="N85" s="61">
        <f>SUM(N86:N87)</f>
        <v>0</v>
      </c>
      <c r="O85" s="61">
        <f>SUM(O86:O87)</f>
        <v>129806</v>
      </c>
    </row>
    <row r="86" spans="1:15" s="24" customFormat="1" ht="22.5" customHeight="1">
      <c r="A86" s="62"/>
      <c r="B86" s="63"/>
      <c r="C86" s="64" t="s">
        <v>200</v>
      </c>
      <c r="D86" s="56" t="s">
        <v>201</v>
      </c>
      <c r="E86" s="61">
        <v>129800</v>
      </c>
      <c r="F86" s="61"/>
      <c r="G86" s="157">
        <f t="shared" si="32"/>
        <v>129800</v>
      </c>
      <c r="H86" s="61"/>
      <c r="I86" s="157">
        <f>SUM(G86:H86)</f>
        <v>129800</v>
      </c>
      <c r="J86" s="61"/>
      <c r="K86" s="157">
        <f>SUM(I86:J86)</f>
        <v>129800</v>
      </c>
      <c r="L86" s="61"/>
      <c r="M86" s="157">
        <f>SUM(K86:L86)</f>
        <v>129800</v>
      </c>
      <c r="N86" s="61"/>
      <c r="O86" s="157">
        <f>SUM(M86:N86)</f>
        <v>129800</v>
      </c>
    </row>
    <row r="87" spans="1:15" s="24" customFormat="1" ht="22.5" customHeight="1">
      <c r="A87" s="62"/>
      <c r="B87" s="63"/>
      <c r="C87" s="64" t="s">
        <v>165</v>
      </c>
      <c r="D87" s="56" t="s">
        <v>11</v>
      </c>
      <c r="E87" s="61">
        <v>6</v>
      </c>
      <c r="F87" s="61"/>
      <c r="G87" s="157">
        <f t="shared" si="32"/>
        <v>6</v>
      </c>
      <c r="H87" s="61"/>
      <c r="I87" s="157">
        <f>SUM(G87:H87)</f>
        <v>6</v>
      </c>
      <c r="J87" s="61"/>
      <c r="K87" s="157">
        <f>SUM(I87:J87)</f>
        <v>6</v>
      </c>
      <c r="L87" s="61"/>
      <c r="M87" s="157">
        <f>SUM(K87:L87)</f>
        <v>6</v>
      </c>
      <c r="N87" s="61"/>
      <c r="O87" s="157">
        <f>SUM(M87:N87)</f>
        <v>6</v>
      </c>
    </row>
    <row r="88" spans="1:15" s="24" customFormat="1" ht="24" customHeight="1">
      <c r="A88" s="62"/>
      <c r="B88" s="63">
        <v>80195</v>
      </c>
      <c r="C88" s="64"/>
      <c r="D88" s="56" t="s">
        <v>6</v>
      </c>
      <c r="E88" s="61">
        <f aca="true" t="shared" si="36" ref="E88:O88">SUM(E89)</f>
        <v>50986</v>
      </c>
      <c r="F88" s="61">
        <f t="shared" si="36"/>
        <v>0</v>
      </c>
      <c r="G88" s="61">
        <f t="shared" si="36"/>
        <v>50986</v>
      </c>
      <c r="H88" s="61">
        <f t="shared" si="36"/>
        <v>0</v>
      </c>
      <c r="I88" s="61">
        <f t="shared" si="36"/>
        <v>50986</v>
      </c>
      <c r="J88" s="61">
        <f t="shared" si="36"/>
        <v>0</v>
      </c>
      <c r="K88" s="61">
        <f t="shared" si="36"/>
        <v>50986</v>
      </c>
      <c r="L88" s="61">
        <f t="shared" si="36"/>
        <v>0</v>
      </c>
      <c r="M88" s="61">
        <f t="shared" si="36"/>
        <v>50986</v>
      </c>
      <c r="N88" s="61">
        <f t="shared" si="36"/>
        <v>0</v>
      </c>
      <c r="O88" s="61">
        <f t="shared" si="36"/>
        <v>50986</v>
      </c>
    </row>
    <row r="89" spans="1:15" s="24" customFormat="1" ht="33.75">
      <c r="A89" s="62"/>
      <c r="B89" s="63"/>
      <c r="C89" s="64">
        <v>2030</v>
      </c>
      <c r="D89" s="66" t="s">
        <v>218</v>
      </c>
      <c r="E89" s="61">
        <v>50986</v>
      </c>
      <c r="F89" s="61"/>
      <c r="G89" s="157">
        <f t="shared" si="32"/>
        <v>50986</v>
      </c>
      <c r="H89" s="61"/>
      <c r="I89" s="157">
        <f>SUM(G89:H89)</f>
        <v>50986</v>
      </c>
      <c r="J89" s="61"/>
      <c r="K89" s="157">
        <f>SUM(I89:J89)</f>
        <v>50986</v>
      </c>
      <c r="L89" s="61"/>
      <c r="M89" s="157">
        <f>SUM(K89:L89)</f>
        <v>50986</v>
      </c>
      <c r="N89" s="61"/>
      <c r="O89" s="157">
        <f>SUM(M89:N89)</f>
        <v>50986</v>
      </c>
    </row>
    <row r="90" spans="1:15" s="6" customFormat="1" ht="24.75" customHeight="1">
      <c r="A90" s="29" t="s">
        <v>157</v>
      </c>
      <c r="B90" s="2"/>
      <c r="C90" s="3"/>
      <c r="D90" s="30" t="s">
        <v>193</v>
      </c>
      <c r="E90" s="48">
        <f aca="true" t="shared" si="37" ref="E90:K90">SUM(E91,E93,E95,E99,E103,)</f>
        <v>9133600</v>
      </c>
      <c r="F90" s="48">
        <f t="shared" si="37"/>
        <v>0</v>
      </c>
      <c r="G90" s="48">
        <f t="shared" si="37"/>
        <v>9133600</v>
      </c>
      <c r="H90" s="48">
        <f t="shared" si="37"/>
        <v>0</v>
      </c>
      <c r="I90" s="48">
        <f t="shared" si="37"/>
        <v>9133600</v>
      </c>
      <c r="J90" s="48">
        <f t="shared" si="37"/>
        <v>312600</v>
      </c>
      <c r="K90" s="48">
        <f t="shared" si="37"/>
        <v>9446200</v>
      </c>
      <c r="L90" s="48">
        <f>SUM(L91,L93,L95,L99,L103,)</f>
        <v>13050</v>
      </c>
      <c r="M90" s="48">
        <f>SUM(M91,M93,M95,M99,M103,)</f>
        <v>9459250</v>
      </c>
      <c r="N90" s="48">
        <f>SUM(N91,N93,N95,N99,N103,)</f>
        <v>75000</v>
      </c>
      <c r="O90" s="48">
        <f>SUM(O91,O93,O95,O99,O103,)</f>
        <v>9534250</v>
      </c>
    </row>
    <row r="91" spans="1:15" s="24" customFormat="1" ht="45">
      <c r="A91" s="62"/>
      <c r="B91" s="41">
        <v>85212</v>
      </c>
      <c r="C91" s="68"/>
      <c r="D91" s="66" t="s">
        <v>323</v>
      </c>
      <c r="E91" s="61">
        <f aca="true" t="shared" si="38" ref="E91:O91">SUM(E92:E92)</f>
        <v>6479100</v>
      </c>
      <c r="F91" s="61">
        <f t="shared" si="38"/>
        <v>0</v>
      </c>
      <c r="G91" s="61">
        <f t="shared" si="38"/>
        <v>6479100</v>
      </c>
      <c r="H91" s="61">
        <f t="shared" si="38"/>
        <v>0</v>
      </c>
      <c r="I91" s="61">
        <f t="shared" si="38"/>
        <v>6479100</v>
      </c>
      <c r="J91" s="61">
        <f t="shared" si="38"/>
        <v>334300</v>
      </c>
      <c r="K91" s="61">
        <f t="shared" si="38"/>
        <v>6813400</v>
      </c>
      <c r="L91" s="61">
        <f t="shared" si="38"/>
        <v>0</v>
      </c>
      <c r="M91" s="61">
        <f t="shared" si="38"/>
        <v>6813400</v>
      </c>
      <c r="N91" s="61">
        <f t="shared" si="38"/>
        <v>0</v>
      </c>
      <c r="O91" s="61">
        <f t="shared" si="38"/>
        <v>6813400</v>
      </c>
    </row>
    <row r="92" spans="1:15" s="24" customFormat="1" ht="56.25">
      <c r="A92" s="62"/>
      <c r="B92" s="41"/>
      <c r="C92" s="68">
        <v>2010</v>
      </c>
      <c r="D92" s="66" t="s">
        <v>217</v>
      </c>
      <c r="E92" s="61">
        <v>6479100</v>
      </c>
      <c r="F92" s="61"/>
      <c r="G92" s="157">
        <f t="shared" si="32"/>
        <v>6479100</v>
      </c>
      <c r="H92" s="61"/>
      <c r="I92" s="157">
        <f>SUM(G92:H92)</f>
        <v>6479100</v>
      </c>
      <c r="J92" s="61">
        <v>334300</v>
      </c>
      <c r="K92" s="157">
        <f>SUM(I92:J92)</f>
        <v>6813400</v>
      </c>
      <c r="L92" s="61"/>
      <c r="M92" s="157">
        <f>SUM(K92:L92)</f>
        <v>6813400</v>
      </c>
      <c r="N92" s="61"/>
      <c r="O92" s="157">
        <f>SUM(M92:N92)</f>
        <v>6813400</v>
      </c>
    </row>
    <row r="93" spans="1:15" s="24" customFormat="1" ht="46.5" customHeight="1">
      <c r="A93" s="62"/>
      <c r="B93" s="41">
        <v>85213</v>
      </c>
      <c r="C93" s="69"/>
      <c r="D93" s="66" t="s">
        <v>297</v>
      </c>
      <c r="E93" s="61">
        <f aca="true" t="shared" si="39" ref="E93:O93">SUM(E94)</f>
        <v>59100</v>
      </c>
      <c r="F93" s="61">
        <f t="shared" si="39"/>
        <v>0</v>
      </c>
      <c r="G93" s="61">
        <f t="shared" si="39"/>
        <v>59100</v>
      </c>
      <c r="H93" s="61">
        <f t="shared" si="39"/>
        <v>0</v>
      </c>
      <c r="I93" s="61">
        <f t="shared" si="39"/>
        <v>59100</v>
      </c>
      <c r="J93" s="61">
        <f t="shared" si="39"/>
        <v>-4100</v>
      </c>
      <c r="K93" s="61">
        <f t="shared" si="39"/>
        <v>55000</v>
      </c>
      <c r="L93" s="61">
        <f t="shared" si="39"/>
        <v>0</v>
      </c>
      <c r="M93" s="61">
        <f t="shared" si="39"/>
        <v>55000</v>
      </c>
      <c r="N93" s="61">
        <f t="shared" si="39"/>
        <v>0</v>
      </c>
      <c r="O93" s="61">
        <f t="shared" si="39"/>
        <v>55000</v>
      </c>
    </row>
    <row r="94" spans="1:15" s="24" customFormat="1" ht="56.25">
      <c r="A94" s="62"/>
      <c r="B94" s="41"/>
      <c r="C94" s="69">
        <v>2010</v>
      </c>
      <c r="D94" s="66" t="s">
        <v>217</v>
      </c>
      <c r="E94" s="61">
        <v>59100</v>
      </c>
      <c r="F94" s="61"/>
      <c r="G94" s="157">
        <f t="shared" si="32"/>
        <v>59100</v>
      </c>
      <c r="H94" s="61"/>
      <c r="I94" s="157">
        <f>SUM(G94:H94)</f>
        <v>59100</v>
      </c>
      <c r="J94" s="61">
        <v>-4100</v>
      </c>
      <c r="K94" s="157">
        <f>SUM(I94:J94)</f>
        <v>55000</v>
      </c>
      <c r="L94" s="61"/>
      <c r="M94" s="157">
        <f>SUM(K94:L94)</f>
        <v>55000</v>
      </c>
      <c r="N94" s="61"/>
      <c r="O94" s="157">
        <f>SUM(M94:N94)</f>
        <v>55000</v>
      </c>
    </row>
    <row r="95" spans="1:15" s="24" customFormat="1" ht="26.25" customHeight="1">
      <c r="A95" s="62"/>
      <c r="B95" s="63" t="s">
        <v>158</v>
      </c>
      <c r="C95" s="69"/>
      <c r="D95" s="66" t="s">
        <v>57</v>
      </c>
      <c r="E95" s="61">
        <f aca="true" t="shared" si="40" ref="E95:K95">SUM(E96:E98)</f>
        <v>1126700</v>
      </c>
      <c r="F95" s="61">
        <f t="shared" si="40"/>
        <v>0</v>
      </c>
      <c r="G95" s="61">
        <f t="shared" si="40"/>
        <v>1126700</v>
      </c>
      <c r="H95" s="61">
        <f t="shared" si="40"/>
        <v>0</v>
      </c>
      <c r="I95" s="61">
        <f t="shared" si="40"/>
        <v>1126700</v>
      </c>
      <c r="J95" s="61">
        <f t="shared" si="40"/>
        <v>-17600</v>
      </c>
      <c r="K95" s="61">
        <f t="shared" si="40"/>
        <v>1109100</v>
      </c>
      <c r="L95" s="61">
        <f>SUM(L96:L98)</f>
        <v>0</v>
      </c>
      <c r="M95" s="61">
        <f>SUM(M96:M98)</f>
        <v>1109100</v>
      </c>
      <c r="N95" s="61">
        <f>SUM(N96:N98)</f>
        <v>0</v>
      </c>
      <c r="O95" s="61">
        <f>SUM(O96:O98)</f>
        <v>1109100</v>
      </c>
    </row>
    <row r="96" spans="1:15" s="24" customFormat="1" ht="26.25" customHeight="1">
      <c r="A96" s="62"/>
      <c r="B96" s="63"/>
      <c r="C96" s="68" t="s">
        <v>200</v>
      </c>
      <c r="D96" s="66" t="s">
        <v>201</v>
      </c>
      <c r="E96" s="61">
        <v>2600</v>
      </c>
      <c r="F96" s="61"/>
      <c r="G96" s="157">
        <f t="shared" si="32"/>
        <v>2600</v>
      </c>
      <c r="H96" s="61"/>
      <c r="I96" s="157">
        <f>SUM(G96:H96)</f>
        <v>2600</v>
      </c>
      <c r="J96" s="61"/>
      <c r="K96" s="157">
        <f>SUM(I96:J96)</f>
        <v>2600</v>
      </c>
      <c r="L96" s="61"/>
      <c r="M96" s="157">
        <f>SUM(K96:L96)</f>
        <v>2600</v>
      </c>
      <c r="N96" s="61"/>
      <c r="O96" s="157">
        <f>SUM(M96:N96)</f>
        <v>2600</v>
      </c>
    </row>
    <row r="97" spans="1:15" s="24" customFormat="1" ht="67.5" customHeight="1">
      <c r="A97" s="62"/>
      <c r="B97" s="63"/>
      <c r="C97" s="64">
        <v>2010</v>
      </c>
      <c r="D97" s="66" t="s">
        <v>217</v>
      </c>
      <c r="E97" s="61">
        <v>468000</v>
      </c>
      <c r="F97" s="61"/>
      <c r="G97" s="157">
        <f t="shared" si="32"/>
        <v>468000</v>
      </c>
      <c r="H97" s="61"/>
      <c r="I97" s="157">
        <f>SUM(G97:H97)</f>
        <v>468000</v>
      </c>
      <c r="J97" s="61">
        <v>50700</v>
      </c>
      <c r="K97" s="157">
        <f>SUM(I97:J97)</f>
        <v>518700</v>
      </c>
      <c r="L97" s="61"/>
      <c r="M97" s="157">
        <f>SUM(K97:L97)</f>
        <v>518700</v>
      </c>
      <c r="N97" s="61"/>
      <c r="O97" s="157">
        <f>SUM(M97:N97)</f>
        <v>518700</v>
      </c>
    </row>
    <row r="98" spans="1:15" s="24" customFormat="1" ht="48.75" customHeight="1">
      <c r="A98" s="62"/>
      <c r="B98" s="63"/>
      <c r="C98" s="64">
        <v>2030</v>
      </c>
      <c r="D98" s="66" t="s">
        <v>218</v>
      </c>
      <c r="E98" s="61">
        <v>656100</v>
      </c>
      <c r="F98" s="61"/>
      <c r="G98" s="157">
        <f t="shared" si="32"/>
        <v>656100</v>
      </c>
      <c r="H98" s="61"/>
      <c r="I98" s="157">
        <f>SUM(G98:H98)</f>
        <v>656100</v>
      </c>
      <c r="J98" s="61">
        <v>-68300</v>
      </c>
      <c r="K98" s="157">
        <f>SUM(I98:J98)</f>
        <v>587800</v>
      </c>
      <c r="L98" s="61"/>
      <c r="M98" s="157">
        <f>SUM(K98:L98)</f>
        <v>587800</v>
      </c>
      <c r="N98" s="61"/>
      <c r="O98" s="157">
        <f>SUM(M98:N98)</f>
        <v>587800</v>
      </c>
    </row>
    <row r="99" spans="1:15" s="24" customFormat="1" ht="24" customHeight="1">
      <c r="A99" s="62"/>
      <c r="B99" s="63" t="s">
        <v>159</v>
      </c>
      <c r="C99" s="69"/>
      <c r="D99" s="66" t="s">
        <v>59</v>
      </c>
      <c r="E99" s="61">
        <f aca="true" t="shared" si="41" ref="E99:K99">SUM(E100:E102)</f>
        <v>602400</v>
      </c>
      <c r="F99" s="61">
        <f t="shared" si="41"/>
        <v>0</v>
      </c>
      <c r="G99" s="61">
        <f t="shared" si="41"/>
        <v>602400</v>
      </c>
      <c r="H99" s="61">
        <f t="shared" si="41"/>
        <v>0</v>
      </c>
      <c r="I99" s="61">
        <f t="shared" si="41"/>
        <v>602400</v>
      </c>
      <c r="J99" s="61">
        <f t="shared" si="41"/>
        <v>0</v>
      </c>
      <c r="K99" s="61">
        <f t="shared" si="41"/>
        <v>602400</v>
      </c>
      <c r="L99" s="61">
        <f>SUM(L100:L102)</f>
        <v>13050</v>
      </c>
      <c r="M99" s="61">
        <f>SUM(M100:M102)</f>
        <v>615450</v>
      </c>
      <c r="N99" s="61">
        <f>SUM(N100:N102)</f>
        <v>0</v>
      </c>
      <c r="O99" s="61">
        <f>SUM(O100:O102)</f>
        <v>615450</v>
      </c>
    </row>
    <row r="100" spans="1:15" s="24" customFormat="1" ht="76.5" customHeight="1">
      <c r="A100" s="62"/>
      <c r="B100" s="63"/>
      <c r="C100" s="68" t="s">
        <v>164</v>
      </c>
      <c r="D100" s="38" t="s">
        <v>56</v>
      </c>
      <c r="E100" s="61">
        <v>2800</v>
      </c>
      <c r="F100" s="61"/>
      <c r="G100" s="157">
        <f t="shared" si="32"/>
        <v>2800</v>
      </c>
      <c r="H100" s="61"/>
      <c r="I100" s="157">
        <f>SUM(G100:H100)</f>
        <v>2800</v>
      </c>
      <c r="J100" s="61"/>
      <c r="K100" s="157">
        <f>SUM(I100:J100)</f>
        <v>2800</v>
      </c>
      <c r="L100" s="61"/>
      <c r="M100" s="157">
        <f>SUM(K100:L100)</f>
        <v>2800</v>
      </c>
      <c r="N100" s="61"/>
      <c r="O100" s="157">
        <f>SUM(M100:N100)</f>
        <v>2800</v>
      </c>
    </row>
    <row r="101" spans="1:15" s="24" customFormat="1" ht="21.75" customHeight="1">
      <c r="A101" s="62"/>
      <c r="B101" s="63"/>
      <c r="C101" s="68" t="s">
        <v>165</v>
      </c>
      <c r="D101" s="66" t="s">
        <v>11</v>
      </c>
      <c r="E101" s="61">
        <v>1800</v>
      </c>
      <c r="F101" s="61"/>
      <c r="G101" s="157">
        <f t="shared" si="32"/>
        <v>1800</v>
      </c>
      <c r="H101" s="61"/>
      <c r="I101" s="157">
        <f>SUM(G101:H101)</f>
        <v>1800</v>
      </c>
      <c r="J101" s="61"/>
      <c r="K101" s="157">
        <f>SUM(I101:J101)</f>
        <v>1800</v>
      </c>
      <c r="L101" s="61"/>
      <c r="M101" s="157">
        <f>SUM(K101:L101)</f>
        <v>1800</v>
      </c>
      <c r="N101" s="61"/>
      <c r="O101" s="157">
        <f>SUM(M101:N101)</f>
        <v>1800</v>
      </c>
    </row>
    <row r="102" spans="1:15" s="24" customFormat="1" ht="33.75">
      <c r="A102" s="62"/>
      <c r="B102" s="63"/>
      <c r="C102" s="64">
        <v>2030</v>
      </c>
      <c r="D102" s="66" t="s">
        <v>218</v>
      </c>
      <c r="E102" s="61">
        <v>597800</v>
      </c>
      <c r="F102" s="61"/>
      <c r="G102" s="157">
        <f t="shared" si="32"/>
        <v>597800</v>
      </c>
      <c r="H102" s="61"/>
      <c r="I102" s="157">
        <f>SUM(G102:H102)</f>
        <v>597800</v>
      </c>
      <c r="J102" s="61"/>
      <c r="K102" s="157">
        <f>SUM(I102:J102)</f>
        <v>597800</v>
      </c>
      <c r="L102" s="61">
        <v>13050</v>
      </c>
      <c r="M102" s="157">
        <f>SUM(K102:L102)</f>
        <v>610850</v>
      </c>
      <c r="N102" s="61"/>
      <c r="O102" s="157">
        <f>SUM(M102:N102)</f>
        <v>610850</v>
      </c>
    </row>
    <row r="103" spans="1:15" s="24" customFormat="1" ht="24" customHeight="1">
      <c r="A103" s="62"/>
      <c r="B103" s="63">
        <v>85295</v>
      </c>
      <c r="C103" s="64"/>
      <c r="D103" s="66" t="s">
        <v>208</v>
      </c>
      <c r="E103" s="61">
        <f aca="true" t="shared" si="42" ref="E103:K103">SUM(E104:E105)</f>
        <v>866300</v>
      </c>
      <c r="F103" s="61">
        <f t="shared" si="42"/>
        <v>0</v>
      </c>
      <c r="G103" s="61">
        <f t="shared" si="42"/>
        <v>866300</v>
      </c>
      <c r="H103" s="61">
        <f t="shared" si="42"/>
        <v>0</v>
      </c>
      <c r="I103" s="61">
        <f t="shared" si="42"/>
        <v>866300</v>
      </c>
      <c r="J103" s="61">
        <f t="shared" si="42"/>
        <v>0</v>
      </c>
      <c r="K103" s="61">
        <f t="shared" si="42"/>
        <v>866300</v>
      </c>
      <c r="L103" s="61">
        <f>SUM(L104:L105)</f>
        <v>0</v>
      </c>
      <c r="M103" s="61">
        <f>SUM(M104:M105)</f>
        <v>866300</v>
      </c>
      <c r="N103" s="61">
        <f>SUM(N104:N105)</f>
        <v>75000</v>
      </c>
      <c r="O103" s="61">
        <f>SUM(O104:O105)</f>
        <v>941300</v>
      </c>
    </row>
    <row r="104" spans="1:15" s="24" customFormat="1" ht="24" customHeight="1">
      <c r="A104" s="62"/>
      <c r="B104" s="63"/>
      <c r="C104" s="68" t="s">
        <v>200</v>
      </c>
      <c r="D104" s="66" t="s">
        <v>201</v>
      </c>
      <c r="E104" s="61">
        <v>325000</v>
      </c>
      <c r="F104" s="61"/>
      <c r="G104" s="157">
        <f t="shared" si="32"/>
        <v>325000</v>
      </c>
      <c r="H104" s="61"/>
      <c r="I104" s="157">
        <f>SUM(G104:H104)</f>
        <v>325000</v>
      </c>
      <c r="J104" s="61"/>
      <c r="K104" s="157">
        <f>SUM(I104:J104)</f>
        <v>325000</v>
      </c>
      <c r="L104" s="61"/>
      <c r="M104" s="157">
        <f>SUM(K104:L104)</f>
        <v>325000</v>
      </c>
      <c r="N104" s="61"/>
      <c r="O104" s="157">
        <f>SUM(M104:N104)</f>
        <v>325000</v>
      </c>
    </row>
    <row r="105" spans="1:15" s="24" customFormat="1" ht="33.75">
      <c r="A105" s="62"/>
      <c r="B105" s="63"/>
      <c r="C105" s="64">
        <v>2030</v>
      </c>
      <c r="D105" s="66" t="s">
        <v>218</v>
      </c>
      <c r="E105" s="61">
        <v>541300</v>
      </c>
      <c r="F105" s="61"/>
      <c r="G105" s="157">
        <f t="shared" si="32"/>
        <v>541300</v>
      </c>
      <c r="H105" s="61"/>
      <c r="I105" s="157">
        <f>SUM(G105:H105)</f>
        <v>541300</v>
      </c>
      <c r="J105" s="61"/>
      <c r="K105" s="157">
        <f>SUM(I105:J105)</f>
        <v>541300</v>
      </c>
      <c r="L105" s="61"/>
      <c r="M105" s="157">
        <f>SUM(K105:L105)</f>
        <v>541300</v>
      </c>
      <c r="N105" s="61">
        <v>75000</v>
      </c>
      <c r="O105" s="157">
        <f>SUM(M105:N105)</f>
        <v>616300</v>
      </c>
    </row>
    <row r="106" spans="1:15" s="113" customFormat="1" ht="22.5" customHeight="1">
      <c r="A106" s="173">
        <v>854</v>
      </c>
      <c r="B106" s="176"/>
      <c r="C106" s="177"/>
      <c r="D106" s="36" t="s">
        <v>60</v>
      </c>
      <c r="E106" s="178"/>
      <c r="F106" s="178"/>
      <c r="G106" s="179">
        <f aca="true" t="shared" si="43" ref="G106:O107">SUM(G107)</f>
        <v>0</v>
      </c>
      <c r="H106" s="179">
        <f t="shared" si="43"/>
        <v>252163</v>
      </c>
      <c r="I106" s="179">
        <f t="shared" si="43"/>
        <v>252163</v>
      </c>
      <c r="J106" s="179">
        <f t="shared" si="43"/>
        <v>0</v>
      </c>
      <c r="K106" s="179">
        <f t="shared" si="43"/>
        <v>252163</v>
      </c>
      <c r="L106" s="179">
        <f t="shared" si="43"/>
        <v>0</v>
      </c>
      <c r="M106" s="179">
        <f t="shared" si="43"/>
        <v>252163</v>
      </c>
      <c r="N106" s="179">
        <f t="shared" si="43"/>
        <v>0</v>
      </c>
      <c r="O106" s="179">
        <f t="shared" si="43"/>
        <v>252163</v>
      </c>
    </row>
    <row r="107" spans="1:15" s="24" customFormat="1" ht="22.5" customHeight="1">
      <c r="A107" s="62"/>
      <c r="B107" s="63">
        <v>85415</v>
      </c>
      <c r="C107" s="64"/>
      <c r="D107" s="38" t="s">
        <v>235</v>
      </c>
      <c r="E107" s="61"/>
      <c r="F107" s="61"/>
      <c r="G107" s="74">
        <f t="shared" si="43"/>
        <v>0</v>
      </c>
      <c r="H107" s="74">
        <f t="shared" si="43"/>
        <v>252163</v>
      </c>
      <c r="I107" s="74">
        <f t="shared" si="43"/>
        <v>252163</v>
      </c>
      <c r="J107" s="74">
        <f t="shared" si="43"/>
        <v>0</v>
      </c>
      <c r="K107" s="74">
        <f t="shared" si="43"/>
        <v>252163</v>
      </c>
      <c r="L107" s="74">
        <f t="shared" si="43"/>
        <v>0</v>
      </c>
      <c r="M107" s="74">
        <f t="shared" si="43"/>
        <v>252163</v>
      </c>
      <c r="N107" s="74">
        <f t="shared" si="43"/>
        <v>0</v>
      </c>
      <c r="O107" s="74">
        <f t="shared" si="43"/>
        <v>252163</v>
      </c>
    </row>
    <row r="108" spans="1:15" s="24" customFormat="1" ht="33.75">
      <c r="A108" s="62"/>
      <c r="B108" s="63"/>
      <c r="C108" s="64">
        <v>2030</v>
      </c>
      <c r="D108" s="66" t="s">
        <v>218</v>
      </c>
      <c r="E108" s="61"/>
      <c r="F108" s="61"/>
      <c r="G108" s="74">
        <v>0</v>
      </c>
      <c r="H108" s="61">
        <v>252163</v>
      </c>
      <c r="I108" s="74">
        <f>SUM(G108:H108)</f>
        <v>252163</v>
      </c>
      <c r="J108" s="61"/>
      <c r="K108" s="74">
        <f>SUM(I108:J108)</f>
        <v>252163</v>
      </c>
      <c r="L108" s="61"/>
      <c r="M108" s="74">
        <f>SUM(K108:L108)</f>
        <v>252163</v>
      </c>
      <c r="N108" s="61"/>
      <c r="O108" s="74">
        <f>SUM(M108:N108)</f>
        <v>252163</v>
      </c>
    </row>
    <row r="109" spans="1:15" s="7" customFormat="1" ht="24" customHeight="1">
      <c r="A109" s="29">
        <v>900</v>
      </c>
      <c r="B109" s="31"/>
      <c r="C109" s="32"/>
      <c r="D109" s="30" t="s">
        <v>62</v>
      </c>
      <c r="E109" s="48">
        <f aca="true" t="shared" si="44" ref="E109:K109">SUM(E112,E110)</f>
        <v>16000</v>
      </c>
      <c r="F109" s="48">
        <f t="shared" si="44"/>
        <v>0</v>
      </c>
      <c r="G109" s="48">
        <f t="shared" si="44"/>
        <v>16000</v>
      </c>
      <c r="H109" s="48">
        <f t="shared" si="44"/>
        <v>0</v>
      </c>
      <c r="I109" s="48">
        <f t="shared" si="44"/>
        <v>16000</v>
      </c>
      <c r="J109" s="48">
        <f t="shared" si="44"/>
        <v>0</v>
      </c>
      <c r="K109" s="48">
        <f t="shared" si="44"/>
        <v>16000</v>
      </c>
      <c r="L109" s="48">
        <f>SUM(L112,L110)</f>
        <v>0</v>
      </c>
      <c r="M109" s="48">
        <f>SUM(M112,M110)</f>
        <v>16000</v>
      </c>
      <c r="N109" s="48">
        <f>SUM(N112,N110)</f>
        <v>0</v>
      </c>
      <c r="O109" s="48">
        <f>SUM(O112,O110)</f>
        <v>16000</v>
      </c>
    </row>
    <row r="110" spans="1:15" s="147" customFormat="1" ht="24" customHeight="1">
      <c r="A110" s="150"/>
      <c r="B110" s="151">
        <v>90001</v>
      </c>
      <c r="C110" s="152"/>
      <c r="D110" s="38" t="s">
        <v>63</v>
      </c>
      <c r="E110" s="153">
        <f aca="true" t="shared" si="45" ref="E110:O110">SUM(E111)</f>
        <v>10000</v>
      </c>
      <c r="F110" s="153">
        <f t="shared" si="45"/>
        <v>0</v>
      </c>
      <c r="G110" s="153">
        <f t="shared" si="45"/>
        <v>10000</v>
      </c>
      <c r="H110" s="153">
        <f t="shared" si="45"/>
        <v>0</v>
      </c>
      <c r="I110" s="153">
        <f t="shared" si="45"/>
        <v>10000</v>
      </c>
      <c r="J110" s="153">
        <f t="shared" si="45"/>
        <v>0</v>
      </c>
      <c r="K110" s="153">
        <f t="shared" si="45"/>
        <v>10000</v>
      </c>
      <c r="L110" s="153">
        <f t="shared" si="45"/>
        <v>0</v>
      </c>
      <c r="M110" s="153">
        <f t="shared" si="45"/>
        <v>10000</v>
      </c>
      <c r="N110" s="153">
        <f t="shared" si="45"/>
        <v>0</v>
      </c>
      <c r="O110" s="153">
        <f t="shared" si="45"/>
        <v>10000</v>
      </c>
    </row>
    <row r="111" spans="1:15" s="147" customFormat="1" ht="24" customHeight="1">
      <c r="A111" s="154"/>
      <c r="B111" s="155"/>
      <c r="C111" s="68" t="s">
        <v>166</v>
      </c>
      <c r="D111" s="66" t="s">
        <v>12</v>
      </c>
      <c r="E111" s="153">
        <v>10000</v>
      </c>
      <c r="F111" s="153"/>
      <c r="G111" s="157">
        <f t="shared" si="32"/>
        <v>10000</v>
      </c>
      <c r="H111" s="153"/>
      <c r="I111" s="157">
        <f>SUM(G111:H111)</f>
        <v>10000</v>
      </c>
      <c r="J111" s="153"/>
      <c r="K111" s="157">
        <f>SUM(I111:J111)</f>
        <v>10000</v>
      </c>
      <c r="L111" s="153"/>
      <c r="M111" s="157">
        <f>SUM(K111:L111)</f>
        <v>10000</v>
      </c>
      <c r="N111" s="153"/>
      <c r="O111" s="157">
        <f>SUM(M111:N111)</f>
        <v>10000</v>
      </c>
    </row>
    <row r="112" spans="1:15" s="24" customFormat="1" ht="24" customHeight="1">
      <c r="A112" s="62"/>
      <c r="B112" s="63">
        <v>90095</v>
      </c>
      <c r="C112" s="64"/>
      <c r="D112" s="66" t="s">
        <v>6</v>
      </c>
      <c r="E112" s="61">
        <f aca="true" t="shared" si="46" ref="E112:O112">SUM(E113)</f>
        <v>6000</v>
      </c>
      <c r="F112" s="61">
        <f t="shared" si="46"/>
        <v>0</v>
      </c>
      <c r="G112" s="61">
        <f t="shared" si="46"/>
        <v>6000</v>
      </c>
      <c r="H112" s="61">
        <f t="shared" si="46"/>
        <v>0</v>
      </c>
      <c r="I112" s="61">
        <f t="shared" si="46"/>
        <v>6000</v>
      </c>
      <c r="J112" s="61">
        <f t="shared" si="46"/>
        <v>0</v>
      </c>
      <c r="K112" s="61">
        <f t="shared" si="46"/>
        <v>6000</v>
      </c>
      <c r="L112" s="61">
        <f t="shared" si="46"/>
        <v>0</v>
      </c>
      <c r="M112" s="61">
        <f t="shared" si="46"/>
        <v>6000</v>
      </c>
      <c r="N112" s="61">
        <f t="shared" si="46"/>
        <v>0</v>
      </c>
      <c r="O112" s="61">
        <f t="shared" si="46"/>
        <v>6000</v>
      </c>
    </row>
    <row r="113" spans="1:15" s="24" customFormat="1" ht="21.75" customHeight="1">
      <c r="A113" s="62"/>
      <c r="B113" s="63"/>
      <c r="C113" s="64" t="s">
        <v>180</v>
      </c>
      <c r="D113" s="66" t="s">
        <v>242</v>
      </c>
      <c r="E113" s="61">
        <v>6000</v>
      </c>
      <c r="F113" s="61"/>
      <c r="G113" s="157">
        <f t="shared" si="32"/>
        <v>6000</v>
      </c>
      <c r="H113" s="61"/>
      <c r="I113" s="157">
        <f>SUM(G113:H113)</f>
        <v>6000</v>
      </c>
      <c r="J113" s="61"/>
      <c r="K113" s="157">
        <f>SUM(I113:J113)</f>
        <v>6000</v>
      </c>
      <c r="L113" s="61"/>
      <c r="M113" s="157">
        <f>SUM(K113:L113)</f>
        <v>6000</v>
      </c>
      <c r="N113" s="61"/>
      <c r="O113" s="157">
        <f>SUM(M113:N113)</f>
        <v>6000</v>
      </c>
    </row>
    <row r="114" spans="1:15" s="7" customFormat="1" ht="24" customHeight="1">
      <c r="A114" s="29" t="s">
        <v>64</v>
      </c>
      <c r="B114" s="2"/>
      <c r="C114" s="3"/>
      <c r="D114" s="30" t="s">
        <v>70</v>
      </c>
      <c r="E114" s="48">
        <f>SUM(E117)</f>
        <v>60000</v>
      </c>
      <c r="F114" s="48">
        <f>SUM(F117)</f>
        <v>0</v>
      </c>
      <c r="G114" s="48">
        <f>SUM(G117)</f>
        <v>60000</v>
      </c>
      <c r="H114" s="48">
        <f>SUM(H117)</f>
        <v>0</v>
      </c>
      <c r="I114" s="48">
        <f aca="true" t="shared" si="47" ref="I114:O114">SUM(I115,I117)</f>
        <v>60000</v>
      </c>
      <c r="J114" s="48">
        <f t="shared" si="47"/>
        <v>9350</v>
      </c>
      <c r="K114" s="48">
        <f t="shared" si="47"/>
        <v>69350</v>
      </c>
      <c r="L114" s="48">
        <f t="shared" si="47"/>
        <v>0</v>
      </c>
      <c r="M114" s="48">
        <f t="shared" si="47"/>
        <v>69350</v>
      </c>
      <c r="N114" s="48">
        <f t="shared" si="47"/>
        <v>0</v>
      </c>
      <c r="O114" s="48">
        <f t="shared" si="47"/>
        <v>69350</v>
      </c>
    </row>
    <row r="115" spans="1:15" s="147" customFormat="1" ht="24" customHeight="1">
      <c r="A115" s="150"/>
      <c r="B115" s="156">
        <v>92105</v>
      </c>
      <c r="C115" s="165"/>
      <c r="D115" s="182" t="s">
        <v>326</v>
      </c>
      <c r="E115" s="153"/>
      <c r="F115" s="153"/>
      <c r="G115" s="153"/>
      <c r="H115" s="153"/>
      <c r="I115" s="153">
        <f aca="true" t="shared" si="48" ref="I115:O115">SUM(I116)</f>
        <v>0</v>
      </c>
      <c r="J115" s="153">
        <f t="shared" si="48"/>
        <v>9350</v>
      </c>
      <c r="K115" s="153">
        <f t="shared" si="48"/>
        <v>9350</v>
      </c>
      <c r="L115" s="153">
        <f t="shared" si="48"/>
        <v>0</v>
      </c>
      <c r="M115" s="153">
        <f t="shared" si="48"/>
        <v>9350</v>
      </c>
      <c r="N115" s="153">
        <f t="shared" si="48"/>
        <v>0</v>
      </c>
      <c r="O115" s="153">
        <f t="shared" si="48"/>
        <v>9350</v>
      </c>
    </row>
    <row r="116" spans="1:15" s="147" customFormat="1" ht="51" customHeight="1">
      <c r="A116" s="150"/>
      <c r="B116" s="156"/>
      <c r="C116" s="165">
        <v>2320</v>
      </c>
      <c r="D116" s="66" t="s">
        <v>219</v>
      </c>
      <c r="E116" s="153"/>
      <c r="F116" s="153"/>
      <c r="G116" s="153"/>
      <c r="H116" s="153"/>
      <c r="I116" s="153">
        <v>0</v>
      </c>
      <c r="J116" s="153">
        <f>2850+6500</f>
        <v>9350</v>
      </c>
      <c r="K116" s="153">
        <f>SUM(I116:J116)</f>
        <v>9350</v>
      </c>
      <c r="L116" s="153"/>
      <c r="M116" s="153">
        <f>SUM(K116:L116)</f>
        <v>9350</v>
      </c>
      <c r="N116" s="153"/>
      <c r="O116" s="153">
        <f>SUM(M116:N116)</f>
        <v>9350</v>
      </c>
    </row>
    <row r="117" spans="1:15" s="24" customFormat="1" ht="24" customHeight="1">
      <c r="A117" s="62"/>
      <c r="B117" s="63" t="s">
        <v>65</v>
      </c>
      <c r="C117" s="69"/>
      <c r="D117" s="66" t="s">
        <v>66</v>
      </c>
      <c r="E117" s="61">
        <f aca="true" t="shared" si="49" ref="E117:O117">SUM(E118)</f>
        <v>60000</v>
      </c>
      <c r="F117" s="61">
        <f t="shared" si="49"/>
        <v>0</v>
      </c>
      <c r="G117" s="61">
        <f t="shared" si="49"/>
        <v>60000</v>
      </c>
      <c r="H117" s="61">
        <f t="shared" si="49"/>
        <v>0</v>
      </c>
      <c r="I117" s="61">
        <f t="shared" si="49"/>
        <v>60000</v>
      </c>
      <c r="J117" s="61">
        <f t="shared" si="49"/>
        <v>0</v>
      </c>
      <c r="K117" s="61">
        <f t="shared" si="49"/>
        <v>60000</v>
      </c>
      <c r="L117" s="61">
        <f t="shared" si="49"/>
        <v>0</v>
      </c>
      <c r="M117" s="61">
        <f t="shared" si="49"/>
        <v>60000</v>
      </c>
      <c r="N117" s="61">
        <f t="shared" si="49"/>
        <v>0</v>
      </c>
      <c r="O117" s="61">
        <f t="shared" si="49"/>
        <v>60000</v>
      </c>
    </row>
    <row r="118" spans="1:15" s="24" customFormat="1" ht="54.75" customHeight="1">
      <c r="A118" s="63"/>
      <c r="B118" s="63"/>
      <c r="C118" s="64">
        <v>2320</v>
      </c>
      <c r="D118" s="66" t="s">
        <v>219</v>
      </c>
      <c r="E118" s="61">
        <v>60000</v>
      </c>
      <c r="F118" s="61"/>
      <c r="G118" s="157">
        <f t="shared" si="32"/>
        <v>60000</v>
      </c>
      <c r="H118" s="61"/>
      <c r="I118" s="157">
        <f>SUM(G118:H118)</f>
        <v>60000</v>
      </c>
      <c r="J118" s="61"/>
      <c r="K118" s="157">
        <f>SUM(I118:J118)</f>
        <v>60000</v>
      </c>
      <c r="L118" s="61"/>
      <c r="M118" s="157">
        <f>SUM(K118:L118)</f>
        <v>60000</v>
      </c>
      <c r="N118" s="61"/>
      <c r="O118" s="157">
        <f>SUM(M118:N118)</f>
        <v>60000</v>
      </c>
    </row>
    <row r="119" spans="1:15" s="113" customFormat="1" ht="30" customHeight="1">
      <c r="A119" s="176">
        <v>926</v>
      </c>
      <c r="B119" s="176"/>
      <c r="C119" s="176"/>
      <c r="D119" s="36" t="s">
        <v>139</v>
      </c>
      <c r="E119" s="178"/>
      <c r="F119" s="178"/>
      <c r="G119" s="179"/>
      <c r="H119" s="178"/>
      <c r="I119" s="179">
        <f aca="true" t="shared" si="50" ref="I119:O120">SUM(I120)</f>
        <v>0</v>
      </c>
      <c r="J119" s="179">
        <f t="shared" si="50"/>
        <v>3200</v>
      </c>
      <c r="K119" s="179">
        <f t="shared" si="50"/>
        <v>3200</v>
      </c>
      <c r="L119" s="179">
        <f t="shared" si="50"/>
        <v>0</v>
      </c>
      <c r="M119" s="179">
        <f t="shared" si="50"/>
        <v>3200</v>
      </c>
      <c r="N119" s="179">
        <f t="shared" si="50"/>
        <v>0</v>
      </c>
      <c r="O119" s="179">
        <f t="shared" si="50"/>
        <v>3200</v>
      </c>
    </row>
    <row r="120" spans="1:15" s="24" customFormat="1" ht="30" customHeight="1">
      <c r="A120" s="63"/>
      <c r="B120" s="63">
        <v>92605</v>
      </c>
      <c r="C120" s="63"/>
      <c r="D120" s="38" t="s">
        <v>68</v>
      </c>
      <c r="E120" s="61"/>
      <c r="F120" s="61"/>
      <c r="G120" s="74"/>
      <c r="H120" s="61"/>
      <c r="I120" s="74">
        <f t="shared" si="50"/>
        <v>0</v>
      </c>
      <c r="J120" s="74">
        <f t="shared" si="50"/>
        <v>3200</v>
      </c>
      <c r="K120" s="74">
        <f t="shared" si="50"/>
        <v>3200</v>
      </c>
      <c r="L120" s="74">
        <f t="shared" si="50"/>
        <v>0</v>
      </c>
      <c r="M120" s="74">
        <f t="shared" si="50"/>
        <v>3200</v>
      </c>
      <c r="N120" s="74">
        <f t="shared" si="50"/>
        <v>0</v>
      </c>
      <c r="O120" s="74">
        <f t="shared" si="50"/>
        <v>3200</v>
      </c>
    </row>
    <row r="121" spans="1:15" s="24" customFormat="1" ht="52.5" customHeight="1">
      <c r="A121" s="63"/>
      <c r="B121" s="63"/>
      <c r="C121" s="63">
        <v>2320</v>
      </c>
      <c r="D121" s="66" t="s">
        <v>219</v>
      </c>
      <c r="E121" s="61"/>
      <c r="F121" s="61"/>
      <c r="G121" s="74"/>
      <c r="H121" s="61"/>
      <c r="I121" s="74">
        <v>0</v>
      </c>
      <c r="J121" s="61">
        <v>3200</v>
      </c>
      <c r="K121" s="74">
        <f>SUM(I121:J121)</f>
        <v>3200</v>
      </c>
      <c r="L121" s="61"/>
      <c r="M121" s="74">
        <f>SUM(K121:L121)</f>
        <v>3200</v>
      </c>
      <c r="N121" s="61"/>
      <c r="O121" s="74">
        <f>SUM(M121:N121)</f>
        <v>3200</v>
      </c>
    </row>
    <row r="122" spans="1:15" ht="26.25" customHeight="1">
      <c r="A122" s="12"/>
      <c r="B122" s="13"/>
      <c r="C122" s="14"/>
      <c r="D122" s="15" t="s">
        <v>69</v>
      </c>
      <c r="E122" s="48">
        <f>SUM(E7,E11,E21,E27,E32,E36,E64,E90,E109,E114,E73)</f>
        <v>56856085</v>
      </c>
      <c r="F122" s="48">
        <f>SUM(F7,F11,F21,F27,F32,F36,F64,F90,F109,F114,F73)</f>
        <v>600000</v>
      </c>
      <c r="G122" s="48">
        <f>SUM(G7,G11,G21,G27,G32,G36,G64,G90,G109,G114,G73,G106)</f>
        <v>57456085</v>
      </c>
      <c r="H122" s="48">
        <f>SUM(H7,H11,H21,H27,H32,H36,H64,H90,H109,H114,H73,H106)</f>
        <v>252163</v>
      </c>
      <c r="I122" s="48">
        <f aca="true" t="shared" si="51" ref="I122:O122">SUM(I7,I11,I21,I27,I32,I36,I64,I90,I109,I114,I73,I106,I18,I119)</f>
        <v>57708248</v>
      </c>
      <c r="J122" s="48">
        <f t="shared" si="51"/>
        <v>173624</v>
      </c>
      <c r="K122" s="48">
        <f t="shared" si="51"/>
        <v>57881872</v>
      </c>
      <c r="L122" s="48">
        <f t="shared" si="51"/>
        <v>46982</v>
      </c>
      <c r="M122" s="48">
        <f t="shared" si="51"/>
        <v>57928854</v>
      </c>
      <c r="N122" s="48">
        <f t="shared" si="51"/>
        <v>75000</v>
      </c>
      <c r="O122" s="48">
        <f t="shared" si="51"/>
        <v>58003854</v>
      </c>
    </row>
    <row r="124" spans="4:6" ht="12.75">
      <c r="D124" s="90"/>
      <c r="E124" s="28">
        <f>SUM(E122-'wydatki 2009 zał.2'!E456)</f>
        <v>-11111691</v>
      </c>
      <c r="F124" s="28">
        <f>SUM(F122-'wydatki 2009 zał.2'!F456)</f>
        <v>1488500</v>
      </c>
    </row>
    <row r="125" ht="12.75">
      <c r="D125" s="90"/>
    </row>
    <row r="126" spans="4:11" ht="12.75">
      <c r="D126" s="90"/>
      <c r="J126" s="28">
        <v>12550</v>
      </c>
      <c r="K126" s="28" t="s">
        <v>327</v>
      </c>
    </row>
    <row r="127" spans="4:11" ht="12.75">
      <c r="D127" s="90"/>
      <c r="J127" s="28">
        <v>-175597</v>
      </c>
      <c r="K127" s="28" t="s">
        <v>328</v>
      </c>
    </row>
    <row r="128" spans="4:11" ht="12.75">
      <c r="D128" s="90"/>
      <c r="E128" s="28">
        <v>19069259</v>
      </c>
      <c r="J128" s="28">
        <v>24400</v>
      </c>
      <c r="K128" s="28" t="s">
        <v>329</v>
      </c>
    </row>
    <row r="129" spans="4:11" ht="12.75">
      <c r="D129" s="90"/>
      <c r="J129" s="28">
        <v>-329</v>
      </c>
      <c r="K129" s="28" t="s">
        <v>334</v>
      </c>
    </row>
    <row r="130" spans="4:11" ht="12.75">
      <c r="D130" s="90"/>
      <c r="J130" s="28">
        <v>334300</v>
      </c>
      <c r="K130" s="28" t="s">
        <v>335</v>
      </c>
    </row>
    <row r="131" spans="4:11" ht="12.75">
      <c r="D131" s="90"/>
      <c r="J131" s="28">
        <v>-4100</v>
      </c>
      <c r="K131" s="28" t="s">
        <v>336</v>
      </c>
    </row>
    <row r="132" spans="4:11" ht="12.75">
      <c r="D132" s="90"/>
      <c r="J132" s="28">
        <v>50700</v>
      </c>
      <c r="K132" s="28" t="s">
        <v>337</v>
      </c>
    </row>
    <row r="133" spans="4:11" ht="12.75">
      <c r="D133" s="90"/>
      <c r="J133" s="28">
        <v>-68300</v>
      </c>
      <c r="K133" s="28" t="s">
        <v>338</v>
      </c>
    </row>
    <row r="134" spans="4:14" ht="12.75">
      <c r="D134" s="90"/>
      <c r="E134" s="28">
        <v>10030735</v>
      </c>
      <c r="J134" s="115">
        <f>SUM(J126:J128)</f>
        <v>-138647</v>
      </c>
      <c r="L134" s="115"/>
      <c r="N134" s="115"/>
    </row>
    <row r="135" spans="4:5" ht="12.75">
      <c r="D135" s="90"/>
      <c r="E135" s="28">
        <v>9008986</v>
      </c>
    </row>
    <row r="136" spans="4:5" ht="12.75">
      <c r="D136" s="90"/>
      <c r="E136" s="28">
        <v>330000</v>
      </c>
    </row>
    <row r="137" spans="4:5" ht="12.75">
      <c r="D137" s="90"/>
      <c r="E137" s="28">
        <v>211227</v>
      </c>
    </row>
    <row r="138" spans="4:5" ht="12.75">
      <c r="D138" s="90"/>
      <c r="E138" s="28">
        <v>3910</v>
      </c>
    </row>
    <row r="139" spans="4:5" ht="12.75">
      <c r="D139" s="90"/>
      <c r="E139" s="28">
        <v>3750</v>
      </c>
    </row>
    <row r="140" spans="4:5" ht="12.75">
      <c r="D140" s="90"/>
      <c r="E140" s="28">
        <v>60000</v>
      </c>
    </row>
    <row r="141" ht="12.75">
      <c r="D141" s="90"/>
    </row>
    <row r="142" ht="12.75">
      <c r="D142" s="90"/>
    </row>
    <row r="143" ht="12.75">
      <c r="D143" s="90"/>
    </row>
    <row r="144" ht="12.75">
      <c r="D144" s="90"/>
    </row>
    <row r="145" spans="4:15" ht="12.75">
      <c r="D145" s="90"/>
      <c r="E145" s="115">
        <f>SUM(E128:E140)</f>
        <v>38717867</v>
      </c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</row>
    <row r="146" ht="12.75">
      <c r="D146" s="90"/>
    </row>
    <row r="147" ht="12.75">
      <c r="D147" s="90"/>
    </row>
    <row r="148" spans="1:4" ht="12.75">
      <c r="A148" s="175"/>
      <c r="B148" s="175"/>
      <c r="C148" s="175"/>
      <c r="D148" s="89"/>
    </row>
    <row r="149" spans="3:4" ht="12.75">
      <c r="C149" s="175"/>
      <c r="D149" s="89"/>
    </row>
    <row r="150" ht="12.75">
      <c r="D150" s="90"/>
    </row>
    <row r="151" ht="12.75">
      <c r="D151" s="89"/>
    </row>
    <row r="164" spans="5:15" ht="12.75"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5:15" ht="12.75"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7"/>
  <sheetViews>
    <sheetView tabSelected="1" zoomScalePageLayoutView="0" workbookViewId="0" topLeftCell="A433">
      <selection activeCell="S442" sqref="S442"/>
    </sheetView>
  </sheetViews>
  <sheetFormatPr defaultColWidth="9.00390625" defaultRowHeight="12.75"/>
  <cols>
    <col min="1" max="1" width="5.75390625" style="7" customWidth="1"/>
    <col min="2" max="2" width="8.125" style="7" customWidth="1"/>
    <col min="3" max="3" width="6.625" style="7" customWidth="1"/>
    <col min="4" max="4" width="33.125" style="7" customWidth="1"/>
    <col min="5" max="5" width="13.875" style="28" hidden="1" customWidth="1"/>
    <col min="6" max="6" width="11.875" style="28" hidden="1" customWidth="1"/>
    <col min="7" max="7" width="41.00390625" style="28" hidden="1" customWidth="1"/>
    <col min="8" max="8" width="11.25390625" style="28" hidden="1" customWidth="1"/>
    <col min="9" max="9" width="43.375" style="28" hidden="1" customWidth="1"/>
    <col min="10" max="10" width="11.25390625" style="28" hidden="1" customWidth="1"/>
    <col min="11" max="11" width="44.875" style="28" hidden="1" customWidth="1"/>
    <col min="12" max="12" width="11.25390625" style="28" hidden="1" customWidth="1"/>
    <col min="13" max="13" width="13.00390625" style="28" customWidth="1"/>
    <col min="14" max="14" width="13.375" style="28" customWidth="1"/>
    <col min="15" max="15" width="13.00390625" style="28" customWidth="1"/>
    <col min="17" max="17" width="11.75390625" style="0" bestFit="1" customWidth="1"/>
  </cols>
  <sheetData>
    <row r="1" spans="1:15" ht="12.75">
      <c r="A1" s="92"/>
      <c r="B1" s="92"/>
      <c r="C1" s="92"/>
      <c r="D1" s="92"/>
      <c r="E1" s="47" t="s">
        <v>195</v>
      </c>
      <c r="F1" s="47"/>
      <c r="G1" s="47" t="s">
        <v>311</v>
      </c>
      <c r="H1" s="47"/>
      <c r="I1" s="47" t="s">
        <v>341</v>
      </c>
      <c r="J1" s="47"/>
      <c r="K1" s="47" t="s">
        <v>351</v>
      </c>
      <c r="L1" s="47"/>
      <c r="M1" s="47" t="s">
        <v>355</v>
      </c>
      <c r="N1" s="47"/>
      <c r="O1" s="47"/>
    </row>
    <row r="2" spans="1:15" ht="12.75">
      <c r="A2" s="92"/>
      <c r="B2" s="92"/>
      <c r="C2" s="92"/>
      <c r="D2" s="92"/>
      <c r="E2" s="47" t="s">
        <v>227</v>
      </c>
      <c r="F2" s="47"/>
      <c r="G2" s="47" t="s">
        <v>310</v>
      </c>
      <c r="H2" s="47"/>
      <c r="I2" s="47" t="s">
        <v>340</v>
      </c>
      <c r="J2" s="47"/>
      <c r="K2" s="47" t="s">
        <v>348</v>
      </c>
      <c r="L2" s="47"/>
      <c r="M2" s="47" t="s">
        <v>359</v>
      </c>
      <c r="N2" s="47"/>
      <c r="O2" s="47"/>
    </row>
    <row r="3" spans="1:15" ht="12.75">
      <c r="A3" s="92"/>
      <c r="B3" s="92"/>
      <c r="C3" s="92"/>
      <c r="D3" s="92"/>
      <c r="E3" s="47" t="s">
        <v>149</v>
      </c>
      <c r="F3" s="47"/>
      <c r="G3" s="47" t="s">
        <v>312</v>
      </c>
      <c r="H3" s="47"/>
      <c r="I3" s="47" t="s">
        <v>311</v>
      </c>
      <c r="J3" s="47"/>
      <c r="K3" s="47" t="s">
        <v>341</v>
      </c>
      <c r="L3" s="47"/>
      <c r="M3" s="47" t="s">
        <v>351</v>
      </c>
      <c r="N3" s="47"/>
      <c r="O3" s="47"/>
    </row>
    <row r="4" spans="1:15" ht="12.75">
      <c r="A4" s="92"/>
      <c r="B4" s="92"/>
      <c r="C4" s="92"/>
      <c r="D4" s="92"/>
      <c r="E4" s="47" t="s">
        <v>228</v>
      </c>
      <c r="F4" s="47"/>
      <c r="G4" s="47" t="s">
        <v>308</v>
      </c>
      <c r="H4" s="47"/>
      <c r="I4" s="47" t="s">
        <v>321</v>
      </c>
      <c r="J4" s="47"/>
      <c r="K4" s="47" t="s">
        <v>345</v>
      </c>
      <c r="L4" s="47"/>
      <c r="M4" s="47" t="s">
        <v>352</v>
      </c>
      <c r="N4" s="47"/>
      <c r="O4" s="47"/>
    </row>
    <row r="5" spans="1:15" ht="21" customHeight="1">
      <c r="A5" s="200" t="s">
        <v>316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7" customFormat="1" ht="24.75" customHeight="1">
      <c r="A6" s="35" t="s">
        <v>0</v>
      </c>
      <c r="B6" s="35" t="s">
        <v>1</v>
      </c>
      <c r="C6" s="35" t="s">
        <v>2</v>
      </c>
      <c r="D6" s="35" t="s">
        <v>3</v>
      </c>
      <c r="E6" s="49" t="s">
        <v>145</v>
      </c>
      <c r="F6" s="49" t="s">
        <v>300</v>
      </c>
      <c r="G6" s="49" t="s">
        <v>146</v>
      </c>
      <c r="H6" s="49" t="s">
        <v>300</v>
      </c>
      <c r="I6" s="49" t="s">
        <v>146</v>
      </c>
      <c r="J6" s="49" t="s">
        <v>300</v>
      </c>
      <c r="K6" s="49" t="s">
        <v>146</v>
      </c>
      <c r="L6" s="49" t="s">
        <v>300</v>
      </c>
      <c r="M6" s="49" t="s">
        <v>146</v>
      </c>
      <c r="N6" s="49" t="s">
        <v>300</v>
      </c>
      <c r="O6" s="49" t="s">
        <v>301</v>
      </c>
    </row>
    <row r="7" spans="1:15" s="10" customFormat="1" ht="21" customHeight="1">
      <c r="A7" s="33" t="s">
        <v>4</v>
      </c>
      <c r="B7" s="50"/>
      <c r="C7" s="51"/>
      <c r="D7" s="36" t="s">
        <v>5</v>
      </c>
      <c r="E7" s="37">
        <f>SUM(E8,E10)</f>
        <v>12000</v>
      </c>
      <c r="F7" s="37">
        <f>SUM(F8,F10)</f>
        <v>300000</v>
      </c>
      <c r="G7" s="37">
        <f>SUM(G8,G10)</f>
        <v>312000</v>
      </c>
      <c r="H7" s="37">
        <f>SUM(H8,H10)</f>
        <v>0</v>
      </c>
      <c r="I7" s="37">
        <f aca="true" t="shared" si="0" ref="I7:O7">SUM(I8,I10,I12)</f>
        <v>312000</v>
      </c>
      <c r="J7" s="37">
        <f t="shared" si="0"/>
        <v>45000</v>
      </c>
      <c r="K7" s="37">
        <f t="shared" si="0"/>
        <v>357000</v>
      </c>
      <c r="L7" s="37">
        <f t="shared" si="0"/>
        <v>0</v>
      </c>
      <c r="M7" s="37">
        <f t="shared" si="0"/>
        <v>357000</v>
      </c>
      <c r="N7" s="37">
        <f t="shared" si="0"/>
        <v>0</v>
      </c>
      <c r="O7" s="37">
        <f t="shared" si="0"/>
        <v>357000</v>
      </c>
    </row>
    <row r="8" spans="1:15" s="24" customFormat="1" ht="21" customHeight="1">
      <c r="A8" s="57"/>
      <c r="B8" s="71" t="s">
        <v>71</v>
      </c>
      <c r="C8" s="60"/>
      <c r="D8" s="38" t="s">
        <v>72</v>
      </c>
      <c r="E8" s="70">
        <f aca="true" t="shared" si="1" ref="E8:O8">SUM(E9)</f>
        <v>12000</v>
      </c>
      <c r="F8" s="70">
        <f t="shared" si="1"/>
        <v>0</v>
      </c>
      <c r="G8" s="70">
        <f t="shared" si="1"/>
        <v>12000</v>
      </c>
      <c r="H8" s="70">
        <f t="shared" si="1"/>
        <v>0</v>
      </c>
      <c r="I8" s="70">
        <f t="shared" si="1"/>
        <v>12000</v>
      </c>
      <c r="J8" s="70">
        <f t="shared" si="1"/>
        <v>0</v>
      </c>
      <c r="K8" s="70">
        <f t="shared" si="1"/>
        <v>12000</v>
      </c>
      <c r="L8" s="70">
        <f t="shared" si="1"/>
        <v>0</v>
      </c>
      <c r="M8" s="70">
        <f t="shared" si="1"/>
        <v>12000</v>
      </c>
      <c r="N8" s="70">
        <f t="shared" si="1"/>
        <v>0</v>
      </c>
      <c r="O8" s="70">
        <f t="shared" si="1"/>
        <v>12000</v>
      </c>
    </row>
    <row r="9" spans="1:15" s="24" customFormat="1" ht="36">
      <c r="A9" s="72"/>
      <c r="B9" s="73"/>
      <c r="C9" s="60">
        <v>2850</v>
      </c>
      <c r="D9" s="38" t="s">
        <v>73</v>
      </c>
      <c r="E9" s="70">
        <v>12000</v>
      </c>
      <c r="F9" s="70"/>
      <c r="G9" s="70">
        <f>SUM(E9:F9)</f>
        <v>12000</v>
      </c>
      <c r="H9" s="70"/>
      <c r="I9" s="70">
        <f>SUM(G9:H9)</f>
        <v>12000</v>
      </c>
      <c r="J9" s="70"/>
      <c r="K9" s="70">
        <f>SUM(I9:J9)</f>
        <v>12000</v>
      </c>
      <c r="L9" s="70"/>
      <c r="M9" s="70">
        <f>SUM(K9:L9)</f>
        <v>12000</v>
      </c>
      <c r="N9" s="70"/>
      <c r="O9" s="70">
        <f>SUM(M9:N9)</f>
        <v>12000</v>
      </c>
    </row>
    <row r="10" spans="1:15" s="172" customFormat="1" ht="24" customHeight="1">
      <c r="A10" s="171"/>
      <c r="B10" s="73" t="s">
        <v>303</v>
      </c>
      <c r="C10" s="60"/>
      <c r="D10" s="38" t="s">
        <v>320</v>
      </c>
      <c r="E10" s="70">
        <f aca="true" t="shared" si="2" ref="E10:O10">SUM(E11)</f>
        <v>0</v>
      </c>
      <c r="F10" s="70">
        <f t="shared" si="2"/>
        <v>300000</v>
      </c>
      <c r="G10" s="70">
        <f t="shared" si="2"/>
        <v>300000</v>
      </c>
      <c r="H10" s="70">
        <f t="shared" si="2"/>
        <v>0</v>
      </c>
      <c r="I10" s="70">
        <f t="shared" si="2"/>
        <v>300000</v>
      </c>
      <c r="J10" s="70">
        <f t="shared" si="2"/>
        <v>0</v>
      </c>
      <c r="K10" s="70">
        <f t="shared" si="2"/>
        <v>300000</v>
      </c>
      <c r="L10" s="70">
        <f t="shared" si="2"/>
        <v>0</v>
      </c>
      <c r="M10" s="70">
        <f t="shared" si="2"/>
        <v>300000</v>
      </c>
      <c r="N10" s="70">
        <f t="shared" si="2"/>
        <v>0</v>
      </c>
      <c r="O10" s="70">
        <f t="shared" si="2"/>
        <v>300000</v>
      </c>
    </row>
    <row r="11" spans="1:15" s="24" customFormat="1" ht="20.25" customHeight="1">
      <c r="A11" s="72"/>
      <c r="B11" s="73"/>
      <c r="C11" s="60">
        <v>4300</v>
      </c>
      <c r="D11" s="38" t="s">
        <v>81</v>
      </c>
      <c r="E11" s="70">
        <v>0</v>
      </c>
      <c r="F11" s="70">
        <v>300000</v>
      </c>
      <c r="G11" s="70">
        <f>SUM(E11:F11)</f>
        <v>300000</v>
      </c>
      <c r="H11" s="70"/>
      <c r="I11" s="70">
        <f>SUM(G11:H11)</f>
        <v>300000</v>
      </c>
      <c r="J11" s="70"/>
      <c r="K11" s="70">
        <f>SUM(I11:J11)</f>
        <v>300000</v>
      </c>
      <c r="L11" s="70"/>
      <c r="M11" s="70">
        <f>SUM(K11:L11)</f>
        <v>300000</v>
      </c>
      <c r="N11" s="70"/>
      <c r="O11" s="70">
        <f>SUM(M11:N11)</f>
        <v>300000</v>
      </c>
    </row>
    <row r="12" spans="1:15" s="24" customFormat="1" ht="20.25" customHeight="1">
      <c r="A12" s="72"/>
      <c r="B12" s="73" t="s">
        <v>332</v>
      </c>
      <c r="C12" s="60"/>
      <c r="D12" s="38" t="s">
        <v>333</v>
      </c>
      <c r="E12" s="70"/>
      <c r="F12" s="70"/>
      <c r="G12" s="70"/>
      <c r="H12" s="70"/>
      <c r="I12" s="70">
        <f aca="true" t="shared" si="3" ref="I12:O12">SUM(I13)</f>
        <v>0</v>
      </c>
      <c r="J12" s="70">
        <f t="shared" si="3"/>
        <v>45000</v>
      </c>
      <c r="K12" s="70">
        <f t="shared" si="3"/>
        <v>45000</v>
      </c>
      <c r="L12" s="70">
        <f t="shared" si="3"/>
        <v>0</v>
      </c>
      <c r="M12" s="70">
        <f t="shared" si="3"/>
        <v>45000</v>
      </c>
      <c r="N12" s="70">
        <f t="shared" si="3"/>
        <v>0</v>
      </c>
      <c r="O12" s="70">
        <f t="shared" si="3"/>
        <v>45000</v>
      </c>
    </row>
    <row r="13" spans="1:15" s="24" customFormat="1" ht="48">
      <c r="A13" s="72"/>
      <c r="B13" s="73"/>
      <c r="C13" s="60">
        <v>2830</v>
      </c>
      <c r="D13" s="38" t="s">
        <v>318</v>
      </c>
      <c r="E13" s="70"/>
      <c r="F13" s="70"/>
      <c r="G13" s="70"/>
      <c r="H13" s="70"/>
      <c r="I13" s="70">
        <v>0</v>
      </c>
      <c r="J13" s="70">
        <v>45000</v>
      </c>
      <c r="K13" s="70">
        <f>SUM(I13:J13)</f>
        <v>45000</v>
      </c>
      <c r="L13" s="70"/>
      <c r="M13" s="70">
        <f>SUM(K13:L13)</f>
        <v>45000</v>
      </c>
      <c r="N13" s="70"/>
      <c r="O13" s="70">
        <f>SUM(M13:N13)</f>
        <v>45000</v>
      </c>
    </row>
    <row r="14" spans="1:15" s="6" customFormat="1" ht="21" customHeight="1">
      <c r="A14" s="33" t="s">
        <v>76</v>
      </c>
      <c r="B14" s="34"/>
      <c r="C14" s="35"/>
      <c r="D14" s="36" t="s">
        <v>77</v>
      </c>
      <c r="E14" s="37">
        <f aca="true" t="shared" si="4" ref="E14:O14">E15</f>
        <v>5719925</v>
      </c>
      <c r="F14" s="37">
        <f t="shared" si="4"/>
        <v>1935000</v>
      </c>
      <c r="G14" s="37">
        <f t="shared" si="4"/>
        <v>7654925</v>
      </c>
      <c r="H14" s="37">
        <f t="shared" si="4"/>
        <v>0</v>
      </c>
      <c r="I14" s="37">
        <f t="shared" si="4"/>
        <v>7654925</v>
      </c>
      <c r="J14" s="37">
        <f t="shared" si="4"/>
        <v>20000</v>
      </c>
      <c r="K14" s="37">
        <f t="shared" si="4"/>
        <v>7674925</v>
      </c>
      <c r="L14" s="37">
        <f t="shared" si="4"/>
        <v>25000</v>
      </c>
      <c r="M14" s="37">
        <f t="shared" si="4"/>
        <v>7699925</v>
      </c>
      <c r="N14" s="37">
        <f t="shared" si="4"/>
        <v>0</v>
      </c>
      <c r="O14" s="37">
        <f t="shared" si="4"/>
        <v>7699925</v>
      </c>
    </row>
    <row r="15" spans="1:15" s="24" customFormat="1" ht="21" customHeight="1">
      <c r="A15" s="57"/>
      <c r="B15" s="71" t="s">
        <v>78</v>
      </c>
      <c r="C15" s="75"/>
      <c r="D15" s="38" t="s">
        <v>79</v>
      </c>
      <c r="E15" s="70">
        <f aca="true" t="shared" si="5" ref="E15:K15">SUM(E16:E20)</f>
        <v>5719925</v>
      </c>
      <c r="F15" s="70">
        <f t="shared" si="5"/>
        <v>1935000</v>
      </c>
      <c r="G15" s="70">
        <f t="shared" si="5"/>
        <v>7654925</v>
      </c>
      <c r="H15" s="70">
        <f t="shared" si="5"/>
        <v>0</v>
      </c>
      <c r="I15" s="70">
        <f t="shared" si="5"/>
        <v>7654925</v>
      </c>
      <c r="J15" s="70">
        <f t="shared" si="5"/>
        <v>20000</v>
      </c>
      <c r="K15" s="70">
        <f t="shared" si="5"/>
        <v>7674925</v>
      </c>
      <c r="L15" s="70">
        <f>SUM(L16:L20)</f>
        <v>25000</v>
      </c>
      <c r="M15" s="70">
        <f>SUM(M16:M20)</f>
        <v>7699925</v>
      </c>
      <c r="N15" s="70">
        <f>SUM(N16:N20)</f>
        <v>0</v>
      </c>
      <c r="O15" s="70">
        <f>SUM(O16:O20)</f>
        <v>7699925</v>
      </c>
    </row>
    <row r="16" spans="1:15" s="24" customFormat="1" ht="21" customHeight="1">
      <c r="A16" s="57"/>
      <c r="B16" s="76"/>
      <c r="C16" s="57">
        <v>4210</v>
      </c>
      <c r="D16" s="38" t="s">
        <v>74</v>
      </c>
      <c r="E16" s="70">
        <v>57205</v>
      </c>
      <c r="F16" s="70"/>
      <c r="G16" s="70">
        <f>SUM(E16:F16)</f>
        <v>57205</v>
      </c>
      <c r="H16" s="70"/>
      <c r="I16" s="70">
        <f>SUM(G16:H16)</f>
        <v>57205</v>
      </c>
      <c r="J16" s="70"/>
      <c r="K16" s="70">
        <f>SUM(I16:J16)</f>
        <v>57205</v>
      </c>
      <c r="L16" s="70"/>
      <c r="M16" s="70">
        <f>SUM(K16:L16)</f>
        <v>57205</v>
      </c>
      <c r="N16" s="70"/>
      <c r="O16" s="70">
        <f>SUM(M16:N16)</f>
        <v>57205</v>
      </c>
    </row>
    <row r="17" spans="1:15" s="24" customFormat="1" ht="21" customHeight="1">
      <c r="A17" s="57"/>
      <c r="B17" s="76"/>
      <c r="C17" s="57">
        <v>4270</v>
      </c>
      <c r="D17" s="38" t="s">
        <v>80</v>
      </c>
      <c r="E17" s="70">
        <f>70000+15000+60000</f>
        <v>145000</v>
      </c>
      <c r="F17" s="70">
        <v>100000</v>
      </c>
      <c r="G17" s="70">
        <f>SUM(E17:F17)</f>
        <v>245000</v>
      </c>
      <c r="H17" s="70"/>
      <c r="I17" s="70">
        <f>SUM(G17:H17)</f>
        <v>245000</v>
      </c>
      <c r="J17" s="70"/>
      <c r="K17" s="70">
        <f>SUM(I17:J17)</f>
        <v>245000</v>
      </c>
      <c r="L17" s="70"/>
      <c r="M17" s="70">
        <f>SUM(K17:L17)</f>
        <v>245000</v>
      </c>
      <c r="N17" s="70"/>
      <c r="O17" s="70">
        <f>SUM(M17:N17)</f>
        <v>245000</v>
      </c>
    </row>
    <row r="18" spans="1:15" s="24" customFormat="1" ht="21" customHeight="1">
      <c r="A18" s="57"/>
      <c r="B18" s="76"/>
      <c r="C18" s="57">
        <v>4300</v>
      </c>
      <c r="D18" s="38" t="s">
        <v>81</v>
      </c>
      <c r="E18" s="70">
        <f>21800+200000+80000+30000+25000</f>
        <v>356800</v>
      </c>
      <c r="F18" s="70"/>
      <c r="G18" s="70">
        <f>SUM(E18:F18)</f>
        <v>356800</v>
      </c>
      <c r="H18" s="70"/>
      <c r="I18" s="70">
        <f>SUM(G18:H18)</f>
        <v>356800</v>
      </c>
      <c r="J18" s="70"/>
      <c r="K18" s="70">
        <f>SUM(I18:J18)</f>
        <v>356800</v>
      </c>
      <c r="L18" s="70"/>
      <c r="M18" s="70">
        <f>SUM(K18:L18)</f>
        <v>356800</v>
      </c>
      <c r="N18" s="70"/>
      <c r="O18" s="70">
        <f>SUM(M18:N18)</f>
        <v>356800</v>
      </c>
    </row>
    <row r="19" spans="1:15" s="24" customFormat="1" ht="21" customHeight="1">
      <c r="A19" s="57"/>
      <c r="B19" s="76"/>
      <c r="C19" s="57">
        <v>6050</v>
      </c>
      <c r="D19" s="38" t="s">
        <v>75</v>
      </c>
      <c r="E19" s="70">
        <f>14120+3800+18000+5110000</f>
        <v>5145920</v>
      </c>
      <c r="F19" s="70">
        <f>-190000-1500000-490000-70000-70000-70000+135000+340000+500000+250000+250000+800000+700000+700000+500000+50000</f>
        <v>1835000</v>
      </c>
      <c r="G19" s="70">
        <f>SUM(E19:F19)</f>
        <v>6980920</v>
      </c>
      <c r="H19" s="70"/>
      <c r="I19" s="70">
        <f>SUM(G19:H19)</f>
        <v>6980920</v>
      </c>
      <c r="J19" s="70">
        <v>20000</v>
      </c>
      <c r="K19" s="70">
        <f>SUM(I19:J19)</f>
        <v>7000920</v>
      </c>
      <c r="L19" s="70">
        <v>25000</v>
      </c>
      <c r="M19" s="70">
        <f>SUM(K19:L19)</f>
        <v>7025920</v>
      </c>
      <c r="N19" s="70"/>
      <c r="O19" s="70">
        <f>SUM(M19:N19)</f>
        <v>7025920</v>
      </c>
    </row>
    <row r="20" spans="1:15" s="24" customFormat="1" ht="24">
      <c r="A20" s="57"/>
      <c r="B20" s="76"/>
      <c r="C20" s="57">
        <v>6060</v>
      </c>
      <c r="D20" s="38" t="s">
        <v>98</v>
      </c>
      <c r="E20" s="70">
        <v>15000</v>
      </c>
      <c r="F20" s="70"/>
      <c r="G20" s="70">
        <f>SUM(E20:F20)</f>
        <v>15000</v>
      </c>
      <c r="H20" s="70"/>
      <c r="I20" s="70">
        <f>SUM(G20:H20)</f>
        <v>15000</v>
      </c>
      <c r="J20" s="70"/>
      <c r="K20" s="70">
        <f>SUM(I20:J20)</f>
        <v>15000</v>
      </c>
      <c r="L20" s="70"/>
      <c r="M20" s="70">
        <f>SUM(K20:L20)</f>
        <v>15000</v>
      </c>
      <c r="N20" s="70"/>
      <c r="O20" s="70">
        <f>SUM(M20:N20)</f>
        <v>15000</v>
      </c>
    </row>
    <row r="21" spans="1:15" s="6" customFormat="1" ht="21" customHeight="1">
      <c r="A21" s="33" t="s">
        <v>8</v>
      </c>
      <c r="B21" s="34"/>
      <c r="C21" s="35"/>
      <c r="D21" s="36" t="s">
        <v>9</v>
      </c>
      <c r="E21" s="37">
        <f aca="true" t="shared" si="6" ref="E21:K21">SUM(E22,E24,E34,E37)</f>
        <v>3482512</v>
      </c>
      <c r="F21" s="37">
        <f t="shared" si="6"/>
        <v>80000</v>
      </c>
      <c r="G21" s="37">
        <f t="shared" si="6"/>
        <v>3562512</v>
      </c>
      <c r="H21" s="37">
        <f t="shared" si="6"/>
        <v>0</v>
      </c>
      <c r="I21" s="37">
        <f t="shared" si="6"/>
        <v>3562512</v>
      </c>
      <c r="J21" s="37">
        <f t="shared" si="6"/>
        <v>0</v>
      </c>
      <c r="K21" s="37">
        <f t="shared" si="6"/>
        <v>3562512</v>
      </c>
      <c r="L21" s="37">
        <f>SUM(L22,L24,L34,L37)</f>
        <v>0</v>
      </c>
      <c r="M21" s="37">
        <f>SUM(M22,M24,M34,M37)</f>
        <v>3562512</v>
      </c>
      <c r="N21" s="37">
        <f>SUM(N22,N24,N34,N37)</f>
        <v>0</v>
      </c>
      <c r="O21" s="37">
        <f>SUM(O22,O24,O34,O37)</f>
        <v>3562512</v>
      </c>
    </row>
    <row r="22" spans="1:15" s="24" customFormat="1" ht="24">
      <c r="A22" s="57"/>
      <c r="B22" s="76">
        <v>70004</v>
      </c>
      <c r="C22" s="75"/>
      <c r="D22" s="38" t="s">
        <v>205</v>
      </c>
      <c r="E22" s="70">
        <f aca="true" t="shared" si="7" ref="E22:O22">SUM(E23)</f>
        <v>45000</v>
      </c>
      <c r="F22" s="70">
        <f t="shared" si="7"/>
        <v>0</v>
      </c>
      <c r="G22" s="70">
        <f t="shared" si="7"/>
        <v>45000</v>
      </c>
      <c r="H22" s="70">
        <f t="shared" si="7"/>
        <v>0</v>
      </c>
      <c r="I22" s="70">
        <f t="shared" si="7"/>
        <v>45000</v>
      </c>
      <c r="J22" s="70">
        <f t="shared" si="7"/>
        <v>0</v>
      </c>
      <c r="K22" s="70">
        <f t="shared" si="7"/>
        <v>45000</v>
      </c>
      <c r="L22" s="70">
        <f t="shared" si="7"/>
        <v>0</v>
      </c>
      <c r="M22" s="70">
        <f t="shared" si="7"/>
        <v>45000</v>
      </c>
      <c r="N22" s="70">
        <f t="shared" si="7"/>
        <v>0</v>
      </c>
      <c r="O22" s="70">
        <f t="shared" si="7"/>
        <v>45000</v>
      </c>
    </row>
    <row r="23" spans="1:15" s="24" customFormat="1" ht="21" customHeight="1">
      <c r="A23" s="57"/>
      <c r="B23" s="76"/>
      <c r="C23" s="75">
        <v>4300</v>
      </c>
      <c r="D23" s="38" t="s">
        <v>81</v>
      </c>
      <c r="E23" s="70">
        <v>45000</v>
      </c>
      <c r="F23" s="70"/>
      <c r="G23" s="70">
        <f>SUM(E23:F23)</f>
        <v>45000</v>
      </c>
      <c r="H23" s="70"/>
      <c r="I23" s="70">
        <f>SUM(G23:H23)</f>
        <v>45000</v>
      </c>
      <c r="J23" s="70"/>
      <c r="K23" s="70">
        <f>SUM(I23:J23)</f>
        <v>45000</v>
      </c>
      <c r="L23" s="70"/>
      <c r="M23" s="70">
        <f>SUM(K23:L23)</f>
        <v>45000</v>
      </c>
      <c r="N23" s="70"/>
      <c r="O23" s="70">
        <f>SUM(M23:N23)</f>
        <v>45000</v>
      </c>
    </row>
    <row r="24" spans="1:15" s="24" customFormat="1" ht="21" customHeight="1">
      <c r="A24" s="57"/>
      <c r="B24" s="71" t="s">
        <v>10</v>
      </c>
      <c r="C24" s="75"/>
      <c r="D24" s="38" t="s">
        <v>151</v>
      </c>
      <c r="E24" s="70">
        <f aca="true" t="shared" si="8" ref="E24:J24">SUM(E26:E33)</f>
        <v>2236932</v>
      </c>
      <c r="F24" s="70">
        <f t="shared" si="8"/>
        <v>0</v>
      </c>
      <c r="G24" s="70">
        <f t="shared" si="8"/>
        <v>2236932</v>
      </c>
      <c r="H24" s="70">
        <f t="shared" si="8"/>
        <v>0</v>
      </c>
      <c r="I24" s="70">
        <f t="shared" si="8"/>
        <v>2236932</v>
      </c>
      <c r="J24" s="70">
        <f t="shared" si="8"/>
        <v>0</v>
      </c>
      <c r="K24" s="70">
        <f>SUM(K25:K33)</f>
        <v>2236932</v>
      </c>
      <c r="L24" s="70">
        <f>SUM(L25:L33)</f>
        <v>0</v>
      </c>
      <c r="M24" s="70">
        <f>SUM(M25:M33)</f>
        <v>2236932</v>
      </c>
      <c r="N24" s="70">
        <f>SUM(N25:N33)</f>
        <v>0</v>
      </c>
      <c r="O24" s="70">
        <f>SUM(O25:O33)</f>
        <v>2236932</v>
      </c>
    </row>
    <row r="25" spans="1:17" s="24" customFormat="1" ht="21" customHeight="1">
      <c r="A25" s="57"/>
      <c r="B25" s="71"/>
      <c r="C25" s="75">
        <v>4170</v>
      </c>
      <c r="D25" s="38" t="s">
        <v>199</v>
      </c>
      <c r="E25" s="70"/>
      <c r="F25" s="70"/>
      <c r="G25" s="70"/>
      <c r="H25" s="70"/>
      <c r="I25" s="70"/>
      <c r="J25" s="70"/>
      <c r="K25" s="70">
        <v>0</v>
      </c>
      <c r="L25" s="70">
        <v>3000</v>
      </c>
      <c r="M25" s="70">
        <f>SUM(K25:L25)</f>
        <v>3000</v>
      </c>
      <c r="N25" s="70"/>
      <c r="O25" s="70">
        <f>SUM(M25:N25)</f>
        <v>3000</v>
      </c>
      <c r="P25" s="98"/>
      <c r="Q25" s="98"/>
    </row>
    <row r="26" spans="1:15" s="24" customFormat="1" ht="21" customHeight="1">
      <c r="A26" s="57"/>
      <c r="B26" s="71"/>
      <c r="C26" s="75">
        <v>4210</v>
      </c>
      <c r="D26" s="38" t="s">
        <v>74</v>
      </c>
      <c r="E26" s="70">
        <v>30000</v>
      </c>
      <c r="F26" s="70"/>
      <c r="G26" s="70">
        <f>SUM(E26:F26)</f>
        <v>30000</v>
      </c>
      <c r="H26" s="70"/>
      <c r="I26" s="70">
        <f>SUM(G26:H26)</f>
        <v>30000</v>
      </c>
      <c r="J26" s="70">
        <v>52000</v>
      </c>
      <c r="K26" s="70">
        <f>SUM(I26:J26)</f>
        <v>82000</v>
      </c>
      <c r="L26" s="70"/>
      <c r="M26" s="70">
        <f>SUM(K26:L26)</f>
        <v>82000</v>
      </c>
      <c r="N26" s="70"/>
      <c r="O26" s="70">
        <f>SUM(M26:N26)</f>
        <v>82000</v>
      </c>
    </row>
    <row r="27" spans="1:15" s="24" customFormat="1" ht="21" customHeight="1">
      <c r="A27" s="57"/>
      <c r="B27" s="71"/>
      <c r="C27" s="75">
        <v>4260</v>
      </c>
      <c r="D27" s="38" t="s">
        <v>97</v>
      </c>
      <c r="E27" s="70">
        <v>106000</v>
      </c>
      <c r="F27" s="70"/>
      <c r="G27" s="70">
        <f aca="true" t="shared" si="9" ref="G27:G33">SUM(E27:F27)</f>
        <v>106000</v>
      </c>
      <c r="H27" s="70"/>
      <c r="I27" s="70">
        <f aca="true" t="shared" si="10" ref="I27:I33">SUM(G27:H27)</f>
        <v>106000</v>
      </c>
      <c r="J27" s="70">
        <v>-52000</v>
      </c>
      <c r="K27" s="70">
        <f aca="true" t="shared" si="11" ref="K27:K33">SUM(I27:J27)</f>
        <v>54000</v>
      </c>
      <c r="L27" s="70"/>
      <c r="M27" s="70">
        <f aca="true" t="shared" si="12" ref="M27:M33">SUM(K27:L27)</f>
        <v>54000</v>
      </c>
      <c r="N27" s="70"/>
      <c r="O27" s="70">
        <f aca="true" t="shared" si="13" ref="O27:O33">SUM(M27:N27)</f>
        <v>54000</v>
      </c>
    </row>
    <row r="28" spans="1:15" s="24" customFormat="1" ht="21" customHeight="1">
      <c r="A28" s="57"/>
      <c r="B28" s="71"/>
      <c r="C28" s="75">
        <v>4270</v>
      </c>
      <c r="D28" s="38" t="s">
        <v>80</v>
      </c>
      <c r="E28" s="70">
        <v>900000</v>
      </c>
      <c r="F28" s="70"/>
      <c r="G28" s="70">
        <f t="shared" si="9"/>
        <v>900000</v>
      </c>
      <c r="H28" s="70"/>
      <c r="I28" s="70">
        <f t="shared" si="10"/>
        <v>900000</v>
      </c>
      <c r="J28" s="70"/>
      <c r="K28" s="70">
        <f t="shared" si="11"/>
        <v>900000</v>
      </c>
      <c r="L28" s="70">
        <v>-3000</v>
      </c>
      <c r="M28" s="70">
        <f t="shared" si="12"/>
        <v>897000</v>
      </c>
      <c r="N28" s="70"/>
      <c r="O28" s="70">
        <f t="shared" si="13"/>
        <v>897000</v>
      </c>
    </row>
    <row r="29" spans="1:15" s="24" customFormat="1" ht="21" customHeight="1">
      <c r="A29" s="57"/>
      <c r="B29" s="76"/>
      <c r="C29" s="57">
        <v>4300</v>
      </c>
      <c r="D29" s="38" t="s">
        <v>81</v>
      </c>
      <c r="E29" s="70">
        <f>136600+160000</f>
        <v>296600</v>
      </c>
      <c r="F29" s="70"/>
      <c r="G29" s="70">
        <f t="shared" si="9"/>
        <v>296600</v>
      </c>
      <c r="H29" s="70"/>
      <c r="I29" s="70">
        <f t="shared" si="10"/>
        <v>296600</v>
      </c>
      <c r="J29" s="70"/>
      <c r="K29" s="70">
        <f t="shared" si="11"/>
        <v>296600</v>
      </c>
      <c r="L29" s="70"/>
      <c r="M29" s="70">
        <f t="shared" si="12"/>
        <v>296600</v>
      </c>
      <c r="N29" s="70"/>
      <c r="O29" s="70">
        <f t="shared" si="13"/>
        <v>296600</v>
      </c>
    </row>
    <row r="30" spans="1:15" s="24" customFormat="1" ht="24">
      <c r="A30" s="57"/>
      <c r="B30" s="76"/>
      <c r="C30" s="57">
        <v>4400</v>
      </c>
      <c r="D30" s="38" t="s">
        <v>238</v>
      </c>
      <c r="E30" s="70">
        <v>778500</v>
      </c>
      <c r="F30" s="70"/>
      <c r="G30" s="70">
        <f t="shared" si="9"/>
        <v>778500</v>
      </c>
      <c r="H30" s="70"/>
      <c r="I30" s="70">
        <f t="shared" si="10"/>
        <v>778500</v>
      </c>
      <c r="J30" s="70"/>
      <c r="K30" s="70">
        <f t="shared" si="11"/>
        <v>778500</v>
      </c>
      <c r="L30" s="70"/>
      <c r="M30" s="70">
        <f t="shared" si="12"/>
        <v>778500</v>
      </c>
      <c r="N30" s="70"/>
      <c r="O30" s="70">
        <f t="shared" si="13"/>
        <v>778500</v>
      </c>
    </row>
    <row r="31" spans="1:15" s="24" customFormat="1" ht="21" customHeight="1">
      <c r="A31" s="57"/>
      <c r="B31" s="76"/>
      <c r="C31" s="57">
        <v>4480</v>
      </c>
      <c r="D31" s="38" t="s">
        <v>31</v>
      </c>
      <c r="E31" s="70">
        <v>132</v>
      </c>
      <c r="F31" s="70"/>
      <c r="G31" s="70">
        <f t="shared" si="9"/>
        <v>132</v>
      </c>
      <c r="H31" s="70"/>
      <c r="I31" s="70">
        <f t="shared" si="10"/>
        <v>132</v>
      </c>
      <c r="J31" s="70"/>
      <c r="K31" s="70">
        <f t="shared" si="11"/>
        <v>132</v>
      </c>
      <c r="L31" s="70"/>
      <c r="M31" s="70">
        <f t="shared" si="12"/>
        <v>132</v>
      </c>
      <c r="N31" s="70"/>
      <c r="O31" s="70">
        <f t="shared" si="13"/>
        <v>132</v>
      </c>
    </row>
    <row r="32" spans="1:15" s="24" customFormat="1" ht="21" customHeight="1">
      <c r="A32" s="57"/>
      <c r="B32" s="76"/>
      <c r="C32" s="75">
        <v>4510</v>
      </c>
      <c r="D32" s="38" t="s">
        <v>148</v>
      </c>
      <c r="E32" s="70">
        <v>700</v>
      </c>
      <c r="F32" s="70"/>
      <c r="G32" s="70">
        <f t="shared" si="9"/>
        <v>700</v>
      </c>
      <c r="H32" s="70"/>
      <c r="I32" s="70">
        <f t="shared" si="10"/>
        <v>700</v>
      </c>
      <c r="J32" s="70"/>
      <c r="K32" s="70">
        <f t="shared" si="11"/>
        <v>700</v>
      </c>
      <c r="L32" s="70"/>
      <c r="M32" s="70">
        <f t="shared" si="12"/>
        <v>700</v>
      </c>
      <c r="N32" s="70"/>
      <c r="O32" s="70">
        <f t="shared" si="13"/>
        <v>700</v>
      </c>
    </row>
    <row r="33" spans="1:15" s="24" customFormat="1" ht="24">
      <c r="A33" s="57"/>
      <c r="B33" s="76"/>
      <c r="C33" s="57">
        <v>6050</v>
      </c>
      <c r="D33" s="38" t="s">
        <v>75</v>
      </c>
      <c r="E33" s="70">
        <f>65000+60000</f>
        <v>125000</v>
      </c>
      <c r="F33" s="70"/>
      <c r="G33" s="70">
        <f t="shared" si="9"/>
        <v>125000</v>
      </c>
      <c r="H33" s="70"/>
      <c r="I33" s="70">
        <f t="shared" si="10"/>
        <v>125000</v>
      </c>
      <c r="J33" s="70"/>
      <c r="K33" s="70">
        <f t="shared" si="11"/>
        <v>125000</v>
      </c>
      <c r="L33" s="70"/>
      <c r="M33" s="70">
        <f t="shared" si="12"/>
        <v>125000</v>
      </c>
      <c r="N33" s="70"/>
      <c r="O33" s="70">
        <f t="shared" si="13"/>
        <v>125000</v>
      </c>
    </row>
    <row r="34" spans="1:15" s="24" customFormat="1" ht="21" customHeight="1">
      <c r="A34" s="57"/>
      <c r="B34" s="76">
        <v>70021</v>
      </c>
      <c r="C34" s="57"/>
      <c r="D34" s="38" t="s">
        <v>185</v>
      </c>
      <c r="E34" s="70">
        <f>SUM(E35:E35)</f>
        <v>400000</v>
      </c>
      <c r="F34" s="70">
        <f>SUM(F35:F35)</f>
        <v>280000</v>
      </c>
      <c r="G34" s="70">
        <f>SUM(G35:G35)</f>
        <v>680000</v>
      </c>
      <c r="H34" s="70">
        <f>SUM(H35:H35)</f>
        <v>0</v>
      </c>
      <c r="I34" s="70">
        <f aca="true" t="shared" si="14" ref="I34:O34">SUM(I35:I36)</f>
        <v>680000</v>
      </c>
      <c r="J34" s="70">
        <f t="shared" si="14"/>
        <v>0</v>
      </c>
      <c r="K34" s="70">
        <f t="shared" si="14"/>
        <v>680000</v>
      </c>
      <c r="L34" s="70">
        <f t="shared" si="14"/>
        <v>0</v>
      </c>
      <c r="M34" s="70">
        <f t="shared" si="14"/>
        <v>680000</v>
      </c>
      <c r="N34" s="70">
        <f t="shared" si="14"/>
        <v>0</v>
      </c>
      <c r="O34" s="70">
        <f t="shared" si="14"/>
        <v>680000</v>
      </c>
    </row>
    <row r="35" spans="1:15" s="24" customFormat="1" ht="21" customHeight="1">
      <c r="A35" s="57"/>
      <c r="B35" s="76"/>
      <c r="C35" s="57">
        <v>4150</v>
      </c>
      <c r="D35" s="38" t="s">
        <v>287</v>
      </c>
      <c r="E35" s="70">
        <v>400000</v>
      </c>
      <c r="F35" s="70">
        <f>280000</f>
        <v>280000</v>
      </c>
      <c r="G35" s="70">
        <f>SUM(E35:F35)</f>
        <v>680000</v>
      </c>
      <c r="H35" s="70"/>
      <c r="I35" s="70">
        <f>SUM(G35:H35)</f>
        <v>680000</v>
      </c>
      <c r="J35" s="70">
        <v>-280000</v>
      </c>
      <c r="K35" s="70">
        <f>SUM(I35:J35)</f>
        <v>400000</v>
      </c>
      <c r="L35" s="70"/>
      <c r="M35" s="70">
        <f>SUM(K35:L35)</f>
        <v>400000</v>
      </c>
      <c r="N35" s="70"/>
      <c r="O35" s="70">
        <f>SUM(M35:N35)</f>
        <v>400000</v>
      </c>
    </row>
    <row r="36" spans="1:15" s="24" customFormat="1" ht="58.5" customHeight="1">
      <c r="A36" s="57"/>
      <c r="B36" s="76"/>
      <c r="C36" s="57">
        <v>6010</v>
      </c>
      <c r="D36" s="38" t="s">
        <v>293</v>
      </c>
      <c r="E36" s="70"/>
      <c r="F36" s="70"/>
      <c r="G36" s="70"/>
      <c r="H36" s="70"/>
      <c r="I36" s="70">
        <v>0</v>
      </c>
      <c r="J36" s="70">
        <v>280000</v>
      </c>
      <c r="K36" s="70">
        <f>SUM(I36:J36)</f>
        <v>280000</v>
      </c>
      <c r="L36" s="70"/>
      <c r="M36" s="70">
        <f>SUM(K36:L36)</f>
        <v>280000</v>
      </c>
      <c r="N36" s="70"/>
      <c r="O36" s="70">
        <f>SUM(M36:N36)</f>
        <v>280000</v>
      </c>
    </row>
    <row r="37" spans="1:15" s="24" customFormat="1" ht="21" customHeight="1">
      <c r="A37" s="57"/>
      <c r="B37" s="71">
        <v>70095</v>
      </c>
      <c r="C37" s="75"/>
      <c r="D37" s="38" t="s">
        <v>6</v>
      </c>
      <c r="E37" s="70">
        <f aca="true" t="shared" si="15" ref="E37:K37">SUM(E38:E40)</f>
        <v>800580</v>
      </c>
      <c r="F37" s="70">
        <f t="shared" si="15"/>
        <v>-200000</v>
      </c>
      <c r="G37" s="70">
        <f t="shared" si="15"/>
        <v>600580</v>
      </c>
      <c r="H37" s="70">
        <f t="shared" si="15"/>
        <v>0</v>
      </c>
      <c r="I37" s="70">
        <f t="shared" si="15"/>
        <v>600580</v>
      </c>
      <c r="J37" s="70">
        <f t="shared" si="15"/>
        <v>0</v>
      </c>
      <c r="K37" s="70">
        <f t="shared" si="15"/>
        <v>600580</v>
      </c>
      <c r="L37" s="70">
        <f>SUM(L38:L40)</f>
        <v>0</v>
      </c>
      <c r="M37" s="70">
        <f>SUM(M38:M40)</f>
        <v>600580</v>
      </c>
      <c r="N37" s="70">
        <f>SUM(N38:N40)</f>
        <v>0</v>
      </c>
      <c r="O37" s="70">
        <f>SUM(O38:O40)</f>
        <v>600580</v>
      </c>
    </row>
    <row r="38" spans="1:15" s="24" customFormat="1" ht="21" customHeight="1">
      <c r="A38" s="57"/>
      <c r="B38" s="71"/>
      <c r="C38" s="75">
        <v>4260</v>
      </c>
      <c r="D38" s="38" t="s">
        <v>97</v>
      </c>
      <c r="E38" s="70">
        <v>500</v>
      </c>
      <c r="F38" s="70"/>
      <c r="G38" s="70">
        <f>SUM(E38:F38)</f>
        <v>500</v>
      </c>
      <c r="H38" s="70"/>
      <c r="I38" s="70">
        <f>SUM(G38:H38)</f>
        <v>500</v>
      </c>
      <c r="J38" s="70"/>
      <c r="K38" s="70">
        <f>SUM(I38:J38)</f>
        <v>500</v>
      </c>
      <c r="L38" s="70"/>
      <c r="M38" s="70">
        <f>SUM(K38:L38)</f>
        <v>500</v>
      </c>
      <c r="N38" s="70"/>
      <c r="O38" s="70">
        <f>SUM(M38:N38)</f>
        <v>500</v>
      </c>
    </row>
    <row r="39" spans="1:15" s="24" customFormat="1" ht="21" customHeight="1">
      <c r="A39" s="57"/>
      <c r="B39" s="71"/>
      <c r="C39" s="75">
        <v>4300</v>
      </c>
      <c r="D39" s="38" t="s">
        <v>81</v>
      </c>
      <c r="E39" s="70">
        <v>80</v>
      </c>
      <c r="F39" s="70"/>
      <c r="G39" s="70">
        <f>SUM(E39:F39)</f>
        <v>80</v>
      </c>
      <c r="H39" s="70"/>
      <c r="I39" s="70">
        <f>SUM(G39:H39)</f>
        <v>80</v>
      </c>
      <c r="J39" s="70"/>
      <c r="K39" s="70">
        <f>SUM(I39:J39)</f>
        <v>80</v>
      </c>
      <c r="L39" s="70"/>
      <c r="M39" s="70">
        <f>SUM(K39:L39)</f>
        <v>80</v>
      </c>
      <c r="N39" s="70"/>
      <c r="O39" s="70">
        <f>SUM(M39:N39)</f>
        <v>80</v>
      </c>
    </row>
    <row r="40" spans="1:15" s="24" customFormat="1" ht="21" customHeight="1">
      <c r="A40" s="57"/>
      <c r="B40" s="71"/>
      <c r="C40" s="57">
        <v>6050</v>
      </c>
      <c r="D40" s="38" t="s">
        <v>75</v>
      </c>
      <c r="E40" s="70">
        <v>800000</v>
      </c>
      <c r="F40" s="70">
        <f>-400000+200000</f>
        <v>-200000</v>
      </c>
      <c r="G40" s="70">
        <f>SUM(E40:F40)</f>
        <v>600000</v>
      </c>
      <c r="H40" s="70"/>
      <c r="I40" s="70">
        <f>SUM(G40:H40)</f>
        <v>600000</v>
      </c>
      <c r="J40" s="70">
        <v>0</v>
      </c>
      <c r="K40" s="70">
        <f>SUM(I40:J40)</f>
        <v>600000</v>
      </c>
      <c r="L40" s="70">
        <v>0</v>
      </c>
      <c r="M40" s="70">
        <f>SUM(K40:L40)</f>
        <v>600000</v>
      </c>
      <c r="N40" s="70">
        <v>0</v>
      </c>
      <c r="O40" s="70">
        <f>SUM(M40:N40)</f>
        <v>600000</v>
      </c>
    </row>
    <row r="41" spans="1:15" s="6" customFormat="1" ht="21" customHeight="1">
      <c r="A41" s="33" t="s">
        <v>13</v>
      </c>
      <c r="B41" s="34"/>
      <c r="C41" s="35"/>
      <c r="D41" s="36" t="s">
        <v>82</v>
      </c>
      <c r="E41" s="37">
        <f aca="true" t="shared" si="16" ref="E41:K41">SUM(E42,E45)</f>
        <v>370500</v>
      </c>
      <c r="F41" s="37">
        <f t="shared" si="16"/>
        <v>0</v>
      </c>
      <c r="G41" s="37">
        <f t="shared" si="16"/>
        <v>370500</v>
      </c>
      <c r="H41" s="37">
        <f t="shared" si="16"/>
        <v>0</v>
      </c>
      <c r="I41" s="37">
        <f t="shared" si="16"/>
        <v>370500</v>
      </c>
      <c r="J41" s="37">
        <f t="shared" si="16"/>
        <v>0</v>
      </c>
      <c r="K41" s="37">
        <f t="shared" si="16"/>
        <v>370500</v>
      </c>
      <c r="L41" s="37">
        <f>SUM(L42,L45)</f>
        <v>0</v>
      </c>
      <c r="M41" s="37">
        <f>SUM(M42,M45)</f>
        <v>370500</v>
      </c>
      <c r="N41" s="37">
        <f>SUM(N42,N45)</f>
        <v>0</v>
      </c>
      <c r="O41" s="37">
        <f>SUM(O42,O45)</f>
        <v>370500</v>
      </c>
    </row>
    <row r="42" spans="1:15" s="24" customFormat="1" ht="21" customHeight="1">
      <c r="A42" s="57"/>
      <c r="B42" s="71" t="s">
        <v>83</v>
      </c>
      <c r="C42" s="75"/>
      <c r="D42" s="38" t="s">
        <v>84</v>
      </c>
      <c r="E42" s="70">
        <f>SUM(E44:E44)</f>
        <v>250000</v>
      </c>
      <c r="F42" s="70">
        <f>SUM(F44:F44)</f>
        <v>0</v>
      </c>
      <c r="G42" s="70">
        <f>SUM(G44:G44)</f>
        <v>250000</v>
      </c>
      <c r="H42" s="70">
        <f>SUM(H44:H44)</f>
        <v>0</v>
      </c>
      <c r="I42" s="70">
        <f aca="true" t="shared" si="17" ref="I42:O42">SUM(I43:I44)</f>
        <v>250000</v>
      </c>
      <c r="J42" s="70">
        <f t="shared" si="17"/>
        <v>0</v>
      </c>
      <c r="K42" s="70">
        <f t="shared" si="17"/>
        <v>250000</v>
      </c>
      <c r="L42" s="70">
        <f t="shared" si="17"/>
        <v>0</v>
      </c>
      <c r="M42" s="70">
        <f t="shared" si="17"/>
        <v>250000</v>
      </c>
      <c r="N42" s="70">
        <f t="shared" si="17"/>
        <v>0</v>
      </c>
      <c r="O42" s="70">
        <f t="shared" si="17"/>
        <v>250000</v>
      </c>
    </row>
    <row r="43" spans="1:17" s="24" customFormat="1" ht="21" customHeight="1">
      <c r="A43" s="57"/>
      <c r="B43" s="71"/>
      <c r="C43" s="75">
        <v>4170</v>
      </c>
      <c r="D43" s="38" t="s">
        <v>199</v>
      </c>
      <c r="E43" s="70"/>
      <c r="F43" s="70"/>
      <c r="G43" s="70"/>
      <c r="H43" s="70"/>
      <c r="I43" s="70">
        <v>0</v>
      </c>
      <c r="J43" s="70">
        <v>50000</v>
      </c>
      <c r="K43" s="70">
        <f>SUM(I43:J43)</f>
        <v>50000</v>
      </c>
      <c r="L43" s="70"/>
      <c r="M43" s="70">
        <f>SUM(K43:L43)</f>
        <v>50000</v>
      </c>
      <c r="N43" s="70"/>
      <c r="O43" s="70">
        <f>SUM(M43:N43)</f>
        <v>50000</v>
      </c>
      <c r="P43" s="98"/>
      <c r="Q43" s="98"/>
    </row>
    <row r="44" spans="1:15" s="24" customFormat="1" ht="21" customHeight="1">
      <c r="A44" s="57"/>
      <c r="B44" s="71"/>
      <c r="C44" s="57">
        <v>4300</v>
      </c>
      <c r="D44" s="38" t="s">
        <v>81</v>
      </c>
      <c r="E44" s="70">
        <v>250000</v>
      </c>
      <c r="F44" s="70"/>
      <c r="G44" s="70">
        <f>SUM(E44:F44)</f>
        <v>250000</v>
      </c>
      <c r="H44" s="70"/>
      <c r="I44" s="70">
        <f>SUM(G44:H44)</f>
        <v>250000</v>
      </c>
      <c r="J44" s="70">
        <v>-50000</v>
      </c>
      <c r="K44" s="70">
        <f>SUM(I44:J44)</f>
        <v>200000</v>
      </c>
      <c r="L44" s="70"/>
      <c r="M44" s="70">
        <f>SUM(K44:L44)</f>
        <v>200000</v>
      </c>
      <c r="N44" s="70"/>
      <c r="O44" s="70">
        <f>SUM(M44:N44)</f>
        <v>200000</v>
      </c>
    </row>
    <row r="45" spans="1:15" s="24" customFormat="1" ht="21" customHeight="1">
      <c r="A45" s="57"/>
      <c r="B45" s="71">
        <v>71035</v>
      </c>
      <c r="C45" s="57"/>
      <c r="D45" s="38" t="s">
        <v>14</v>
      </c>
      <c r="E45" s="70">
        <f aca="true" t="shared" si="18" ref="E45:K45">SUM(E46:E48)</f>
        <v>120500</v>
      </c>
      <c r="F45" s="70">
        <f t="shared" si="18"/>
        <v>0</v>
      </c>
      <c r="G45" s="70">
        <f t="shared" si="18"/>
        <v>120500</v>
      </c>
      <c r="H45" s="70">
        <f t="shared" si="18"/>
        <v>0</v>
      </c>
      <c r="I45" s="70">
        <f t="shared" si="18"/>
        <v>120500</v>
      </c>
      <c r="J45" s="70">
        <f t="shared" si="18"/>
        <v>0</v>
      </c>
      <c r="K45" s="70">
        <f t="shared" si="18"/>
        <v>120500</v>
      </c>
      <c r="L45" s="70">
        <f>SUM(L46:L48)</f>
        <v>0</v>
      </c>
      <c r="M45" s="70">
        <f>SUM(M46:M48)</f>
        <v>120500</v>
      </c>
      <c r="N45" s="70">
        <f>SUM(N46:N48)</f>
        <v>0</v>
      </c>
      <c r="O45" s="70">
        <f>SUM(O46:O48)</f>
        <v>120500</v>
      </c>
    </row>
    <row r="46" spans="1:15" s="24" customFormat="1" ht="21" customHeight="1">
      <c r="A46" s="57"/>
      <c r="B46" s="71"/>
      <c r="C46" s="57">
        <v>4260</v>
      </c>
      <c r="D46" s="38" t="s">
        <v>97</v>
      </c>
      <c r="E46" s="70">
        <f>500+2000</f>
        <v>2500</v>
      </c>
      <c r="F46" s="70"/>
      <c r="G46" s="70">
        <f>SUM(E46:F46)</f>
        <v>2500</v>
      </c>
      <c r="H46" s="70"/>
      <c r="I46" s="70">
        <f>SUM(G46:H46)</f>
        <v>2500</v>
      </c>
      <c r="J46" s="70"/>
      <c r="K46" s="70">
        <f>SUM(I46:J46)</f>
        <v>2500</v>
      </c>
      <c r="L46" s="70"/>
      <c r="M46" s="70">
        <f>SUM(K46:L46)</f>
        <v>2500</v>
      </c>
      <c r="N46" s="70"/>
      <c r="O46" s="70">
        <f>SUM(M46:N46)</f>
        <v>2500</v>
      </c>
    </row>
    <row r="47" spans="1:15" s="24" customFormat="1" ht="21" customHeight="1">
      <c r="A47" s="57"/>
      <c r="B47" s="71"/>
      <c r="C47" s="57">
        <v>4270</v>
      </c>
      <c r="D47" s="38" t="s">
        <v>80</v>
      </c>
      <c r="E47" s="70">
        <v>100000</v>
      </c>
      <c r="F47" s="70"/>
      <c r="G47" s="70">
        <f>SUM(E47:F47)</f>
        <v>100000</v>
      </c>
      <c r="H47" s="70"/>
      <c r="I47" s="70">
        <f>SUM(G47:H47)</f>
        <v>100000</v>
      </c>
      <c r="J47" s="70"/>
      <c r="K47" s="70">
        <f>SUM(I47:J47)</f>
        <v>100000</v>
      </c>
      <c r="L47" s="70"/>
      <c r="M47" s="70">
        <f>SUM(K47:L47)</f>
        <v>100000</v>
      </c>
      <c r="N47" s="70"/>
      <c r="O47" s="70">
        <f>SUM(M47:N47)</f>
        <v>100000</v>
      </c>
    </row>
    <row r="48" spans="1:15" s="24" customFormat="1" ht="21" customHeight="1">
      <c r="A48" s="57"/>
      <c r="B48" s="71"/>
      <c r="C48" s="57">
        <v>4300</v>
      </c>
      <c r="D48" s="38" t="s">
        <v>81</v>
      </c>
      <c r="E48" s="70">
        <v>18000</v>
      </c>
      <c r="F48" s="70"/>
      <c r="G48" s="70">
        <f>SUM(E48:F48)</f>
        <v>18000</v>
      </c>
      <c r="H48" s="70"/>
      <c r="I48" s="70">
        <f>SUM(G48:H48)</f>
        <v>18000</v>
      </c>
      <c r="J48" s="70"/>
      <c r="K48" s="70">
        <f>SUM(I48:J48)</f>
        <v>18000</v>
      </c>
      <c r="L48" s="70"/>
      <c r="M48" s="70">
        <f>SUM(K48:L48)</f>
        <v>18000</v>
      </c>
      <c r="N48" s="70"/>
      <c r="O48" s="70">
        <f>SUM(M48:N48)</f>
        <v>18000</v>
      </c>
    </row>
    <row r="49" spans="1:15" s="6" customFormat="1" ht="21" customHeight="1">
      <c r="A49" s="33" t="s">
        <v>15</v>
      </c>
      <c r="B49" s="34"/>
      <c r="C49" s="35"/>
      <c r="D49" s="36" t="s">
        <v>85</v>
      </c>
      <c r="E49" s="37">
        <f aca="true" t="shared" si="19" ref="E49:K49">SUM(E50,E68,E79,E104,E117,)</f>
        <v>6340577</v>
      </c>
      <c r="F49" s="37">
        <f t="shared" si="19"/>
        <v>-681500</v>
      </c>
      <c r="G49" s="37">
        <f t="shared" si="19"/>
        <v>5659077</v>
      </c>
      <c r="H49" s="37">
        <f t="shared" si="19"/>
        <v>0</v>
      </c>
      <c r="I49" s="37">
        <f t="shared" si="19"/>
        <v>5659077</v>
      </c>
      <c r="J49" s="37">
        <f t="shared" si="19"/>
        <v>0</v>
      </c>
      <c r="K49" s="37">
        <f t="shared" si="19"/>
        <v>5659077</v>
      </c>
      <c r="L49" s="37">
        <f>SUM(L50,L68,L79,L104,L117,)</f>
        <v>14000</v>
      </c>
      <c r="M49" s="37">
        <f>SUM(M50,M68,M79,M104,M117,)</f>
        <v>5673077</v>
      </c>
      <c r="N49" s="37">
        <f>SUM(N50,N68,N79,N104,N117,)</f>
        <v>0</v>
      </c>
      <c r="O49" s="37">
        <f>SUM(O50,O68,O79,O104,O117,)</f>
        <v>5673077</v>
      </c>
    </row>
    <row r="50" spans="1:15" s="24" customFormat="1" ht="21" customHeight="1">
      <c r="A50" s="57"/>
      <c r="B50" s="71">
        <v>75011</v>
      </c>
      <c r="C50" s="75"/>
      <c r="D50" s="38" t="s">
        <v>17</v>
      </c>
      <c r="E50" s="70">
        <f aca="true" t="shared" si="20" ref="E50:K50">SUM(E51:E67)</f>
        <v>382320</v>
      </c>
      <c r="F50" s="70">
        <f t="shared" si="20"/>
        <v>0</v>
      </c>
      <c r="G50" s="70">
        <f t="shared" si="20"/>
        <v>382320</v>
      </c>
      <c r="H50" s="70">
        <f t="shared" si="20"/>
        <v>0</v>
      </c>
      <c r="I50" s="70">
        <f t="shared" si="20"/>
        <v>382320</v>
      </c>
      <c r="J50" s="70">
        <f t="shared" si="20"/>
        <v>0</v>
      </c>
      <c r="K50" s="70">
        <f t="shared" si="20"/>
        <v>382320</v>
      </c>
      <c r="L50" s="70">
        <f>SUM(L51:L67)</f>
        <v>0</v>
      </c>
      <c r="M50" s="70">
        <f>SUM(M51:M67)</f>
        <v>382320</v>
      </c>
      <c r="N50" s="70">
        <f>SUM(N51:N67)</f>
        <v>0</v>
      </c>
      <c r="O50" s="70">
        <f>SUM(O51:O67)</f>
        <v>382320</v>
      </c>
    </row>
    <row r="51" spans="1:15" s="24" customFormat="1" ht="21" customHeight="1">
      <c r="A51" s="57"/>
      <c r="B51" s="71"/>
      <c r="C51" s="75">
        <v>3020</v>
      </c>
      <c r="D51" s="38" t="s">
        <v>197</v>
      </c>
      <c r="E51" s="70">
        <v>1760</v>
      </c>
      <c r="F51" s="70"/>
      <c r="G51" s="70">
        <f>SUM(E51:F51)</f>
        <v>1760</v>
      </c>
      <c r="H51" s="70"/>
      <c r="I51" s="70">
        <f>SUM(G51:H51)</f>
        <v>1760</v>
      </c>
      <c r="J51" s="70"/>
      <c r="K51" s="70">
        <f>SUM(I51:J51)</f>
        <v>1760</v>
      </c>
      <c r="L51" s="70"/>
      <c r="M51" s="70">
        <f>SUM(K51:L51)</f>
        <v>1760</v>
      </c>
      <c r="N51" s="70"/>
      <c r="O51" s="70">
        <f>SUM(M51:N51)</f>
        <v>1760</v>
      </c>
    </row>
    <row r="52" spans="1:17" s="24" customFormat="1" ht="21" customHeight="1">
      <c r="A52" s="57"/>
      <c r="B52" s="76"/>
      <c r="C52" s="57">
        <v>4010</v>
      </c>
      <c r="D52" s="38" t="s">
        <v>86</v>
      </c>
      <c r="E52" s="70">
        <f>112525+155895</f>
        <v>268420</v>
      </c>
      <c r="F52" s="70"/>
      <c r="G52" s="70">
        <f aca="true" t="shared" si="21" ref="G52:G67">SUM(E52:F52)</f>
        <v>268420</v>
      </c>
      <c r="H52" s="70"/>
      <c r="I52" s="70">
        <f aca="true" t="shared" si="22" ref="I52:I67">SUM(G52:H52)</f>
        <v>268420</v>
      </c>
      <c r="J52" s="70"/>
      <c r="K52" s="70">
        <f aca="true" t="shared" si="23" ref="K52:K67">SUM(I52:J52)</f>
        <v>268420</v>
      </c>
      <c r="L52" s="70"/>
      <c r="M52" s="70">
        <f aca="true" t="shared" si="24" ref="M52:M63">SUM(K52:L52)</f>
        <v>268420</v>
      </c>
      <c r="N52" s="70"/>
      <c r="O52" s="70">
        <f aca="true" t="shared" si="25" ref="O52:O63">SUM(M52:N52)</f>
        <v>268420</v>
      </c>
      <c r="P52" s="98"/>
      <c r="Q52" s="98"/>
    </row>
    <row r="53" spans="1:17" s="24" customFormat="1" ht="21" customHeight="1">
      <c r="A53" s="57"/>
      <c r="B53" s="76"/>
      <c r="C53" s="57">
        <v>4040</v>
      </c>
      <c r="D53" s="38" t="s">
        <v>87</v>
      </c>
      <c r="E53" s="70">
        <v>19000</v>
      </c>
      <c r="F53" s="70"/>
      <c r="G53" s="70">
        <f t="shared" si="21"/>
        <v>19000</v>
      </c>
      <c r="H53" s="70"/>
      <c r="I53" s="70">
        <f t="shared" si="22"/>
        <v>19000</v>
      </c>
      <c r="J53" s="70"/>
      <c r="K53" s="70">
        <f t="shared" si="23"/>
        <v>19000</v>
      </c>
      <c r="L53" s="70"/>
      <c r="M53" s="70">
        <f t="shared" si="24"/>
        <v>19000</v>
      </c>
      <c r="N53" s="70"/>
      <c r="O53" s="70">
        <f t="shared" si="25"/>
        <v>19000</v>
      </c>
      <c r="P53" s="98"/>
      <c r="Q53" s="98"/>
    </row>
    <row r="54" spans="1:17" s="24" customFormat="1" ht="21" customHeight="1">
      <c r="A54" s="57"/>
      <c r="B54" s="76"/>
      <c r="C54" s="57">
        <v>4110</v>
      </c>
      <c r="D54" s="38" t="s">
        <v>88</v>
      </c>
      <c r="E54" s="70">
        <f>13626+29582</f>
        <v>43208</v>
      </c>
      <c r="F54" s="70"/>
      <c r="G54" s="70">
        <f t="shared" si="21"/>
        <v>43208</v>
      </c>
      <c r="H54" s="70"/>
      <c r="I54" s="70">
        <f t="shared" si="22"/>
        <v>43208</v>
      </c>
      <c r="J54" s="70"/>
      <c r="K54" s="70">
        <f t="shared" si="23"/>
        <v>43208</v>
      </c>
      <c r="L54" s="70"/>
      <c r="M54" s="70">
        <f t="shared" si="24"/>
        <v>43208</v>
      </c>
      <c r="N54" s="70"/>
      <c r="O54" s="70">
        <f t="shared" si="25"/>
        <v>43208</v>
      </c>
      <c r="P54" s="98"/>
      <c r="Q54" s="98"/>
    </row>
    <row r="55" spans="1:17" s="24" customFormat="1" ht="21" customHeight="1">
      <c r="A55" s="57"/>
      <c r="B55" s="76"/>
      <c r="C55" s="57">
        <v>4120</v>
      </c>
      <c r="D55" s="38" t="s">
        <v>89</v>
      </c>
      <c r="E55" s="70">
        <f>2186+4743</f>
        <v>6929</v>
      </c>
      <c r="F55" s="70"/>
      <c r="G55" s="70">
        <f t="shared" si="21"/>
        <v>6929</v>
      </c>
      <c r="H55" s="70"/>
      <c r="I55" s="70">
        <f t="shared" si="22"/>
        <v>6929</v>
      </c>
      <c r="J55" s="70"/>
      <c r="K55" s="70">
        <f t="shared" si="23"/>
        <v>6929</v>
      </c>
      <c r="L55" s="70"/>
      <c r="M55" s="70">
        <f t="shared" si="24"/>
        <v>6929</v>
      </c>
      <c r="N55" s="70"/>
      <c r="O55" s="70">
        <f t="shared" si="25"/>
        <v>6929</v>
      </c>
      <c r="P55" s="98"/>
      <c r="Q55" s="98"/>
    </row>
    <row r="56" spans="1:15" s="24" customFormat="1" ht="21" customHeight="1">
      <c r="A56" s="57"/>
      <c r="B56" s="76"/>
      <c r="C56" s="57">
        <v>4210</v>
      </c>
      <c r="D56" s="38" t="s">
        <v>94</v>
      </c>
      <c r="E56" s="70">
        <v>13980</v>
      </c>
      <c r="F56" s="70"/>
      <c r="G56" s="70">
        <f t="shared" si="21"/>
        <v>13980</v>
      </c>
      <c r="H56" s="70"/>
      <c r="I56" s="70">
        <f t="shared" si="22"/>
        <v>13980</v>
      </c>
      <c r="J56" s="70">
        <v>-500</v>
      </c>
      <c r="K56" s="70">
        <f t="shared" si="23"/>
        <v>13480</v>
      </c>
      <c r="L56" s="70"/>
      <c r="M56" s="70">
        <f t="shared" si="24"/>
        <v>13480</v>
      </c>
      <c r="N56" s="70"/>
      <c r="O56" s="70">
        <f t="shared" si="25"/>
        <v>13480</v>
      </c>
    </row>
    <row r="57" spans="1:15" s="24" customFormat="1" ht="21" customHeight="1">
      <c r="A57" s="57"/>
      <c r="B57" s="76"/>
      <c r="C57" s="57">
        <v>4270</v>
      </c>
      <c r="D57" s="38" t="s">
        <v>80</v>
      </c>
      <c r="E57" s="70">
        <v>2000</v>
      </c>
      <c r="F57" s="70"/>
      <c r="G57" s="70">
        <f t="shared" si="21"/>
        <v>2000</v>
      </c>
      <c r="H57" s="70"/>
      <c r="I57" s="70">
        <f t="shared" si="22"/>
        <v>2000</v>
      </c>
      <c r="J57" s="70"/>
      <c r="K57" s="70">
        <f t="shared" si="23"/>
        <v>2000</v>
      </c>
      <c r="L57" s="70"/>
      <c r="M57" s="70">
        <f t="shared" si="24"/>
        <v>2000</v>
      </c>
      <c r="N57" s="70"/>
      <c r="O57" s="70">
        <f t="shared" si="25"/>
        <v>2000</v>
      </c>
    </row>
    <row r="58" spans="1:15" s="24" customFormat="1" ht="21" customHeight="1">
      <c r="A58" s="57"/>
      <c r="B58" s="76"/>
      <c r="C58" s="57">
        <v>4280</v>
      </c>
      <c r="D58" s="38" t="s">
        <v>223</v>
      </c>
      <c r="E58" s="70">
        <v>960</v>
      </c>
      <c r="F58" s="70"/>
      <c r="G58" s="70">
        <f t="shared" si="21"/>
        <v>960</v>
      </c>
      <c r="H58" s="70"/>
      <c r="I58" s="70">
        <f t="shared" si="22"/>
        <v>960</v>
      </c>
      <c r="J58" s="70"/>
      <c r="K58" s="70">
        <f t="shared" si="23"/>
        <v>960</v>
      </c>
      <c r="L58" s="70"/>
      <c r="M58" s="70">
        <f t="shared" si="24"/>
        <v>960</v>
      </c>
      <c r="N58" s="70"/>
      <c r="O58" s="70">
        <f t="shared" si="25"/>
        <v>960</v>
      </c>
    </row>
    <row r="59" spans="1:15" s="24" customFormat="1" ht="21" customHeight="1">
      <c r="A59" s="57"/>
      <c r="B59" s="76"/>
      <c r="C59" s="57">
        <v>4300</v>
      </c>
      <c r="D59" s="38" t="s">
        <v>81</v>
      </c>
      <c r="E59" s="70">
        <v>5000</v>
      </c>
      <c r="F59" s="70"/>
      <c r="G59" s="70">
        <f t="shared" si="21"/>
        <v>5000</v>
      </c>
      <c r="H59" s="70"/>
      <c r="I59" s="70">
        <f t="shared" si="22"/>
        <v>5000</v>
      </c>
      <c r="J59" s="70"/>
      <c r="K59" s="70">
        <f t="shared" si="23"/>
        <v>5000</v>
      </c>
      <c r="L59" s="70"/>
      <c r="M59" s="70">
        <f t="shared" si="24"/>
        <v>5000</v>
      </c>
      <c r="N59" s="70"/>
      <c r="O59" s="70">
        <f t="shared" si="25"/>
        <v>5000</v>
      </c>
    </row>
    <row r="60" spans="1:15" s="24" customFormat="1" ht="24">
      <c r="A60" s="57"/>
      <c r="B60" s="76"/>
      <c r="C60" s="57">
        <v>4370</v>
      </c>
      <c r="D60" s="38" t="s">
        <v>231</v>
      </c>
      <c r="E60" s="70">
        <v>2000</v>
      </c>
      <c r="F60" s="70"/>
      <c r="G60" s="70">
        <f t="shared" si="21"/>
        <v>2000</v>
      </c>
      <c r="H60" s="70"/>
      <c r="I60" s="70">
        <f t="shared" si="22"/>
        <v>2000</v>
      </c>
      <c r="J60" s="70"/>
      <c r="K60" s="70">
        <f t="shared" si="23"/>
        <v>2000</v>
      </c>
      <c r="L60" s="70"/>
      <c r="M60" s="70">
        <f t="shared" si="24"/>
        <v>2000</v>
      </c>
      <c r="N60" s="70"/>
      <c r="O60" s="70">
        <f t="shared" si="25"/>
        <v>2000</v>
      </c>
    </row>
    <row r="61" spans="1:15" s="24" customFormat="1" ht="21" customHeight="1">
      <c r="A61" s="57"/>
      <c r="B61" s="76"/>
      <c r="C61" s="57">
        <v>4410</v>
      </c>
      <c r="D61" s="38" t="s">
        <v>92</v>
      </c>
      <c r="E61" s="70">
        <v>1000</v>
      </c>
      <c r="F61" s="70"/>
      <c r="G61" s="70">
        <f t="shared" si="21"/>
        <v>1000</v>
      </c>
      <c r="H61" s="70"/>
      <c r="I61" s="70">
        <f t="shared" si="22"/>
        <v>1000</v>
      </c>
      <c r="J61" s="70"/>
      <c r="K61" s="70">
        <f t="shared" si="23"/>
        <v>1000</v>
      </c>
      <c r="L61" s="70"/>
      <c r="M61" s="70">
        <f t="shared" si="24"/>
        <v>1000</v>
      </c>
      <c r="N61" s="70"/>
      <c r="O61" s="70">
        <f t="shared" si="25"/>
        <v>1000</v>
      </c>
    </row>
    <row r="62" spans="1:15" s="24" customFormat="1" ht="21" customHeight="1">
      <c r="A62" s="57"/>
      <c r="B62" s="76"/>
      <c r="C62" s="57">
        <v>4430</v>
      </c>
      <c r="D62" s="38" t="s">
        <v>96</v>
      </c>
      <c r="E62" s="70">
        <v>3500</v>
      </c>
      <c r="F62" s="70"/>
      <c r="G62" s="70">
        <f t="shared" si="21"/>
        <v>3500</v>
      </c>
      <c r="H62" s="70"/>
      <c r="I62" s="70">
        <f t="shared" si="22"/>
        <v>3500</v>
      </c>
      <c r="J62" s="70"/>
      <c r="K62" s="70">
        <f t="shared" si="23"/>
        <v>3500</v>
      </c>
      <c r="L62" s="70"/>
      <c r="M62" s="70">
        <f t="shared" si="24"/>
        <v>3500</v>
      </c>
      <c r="N62" s="70"/>
      <c r="O62" s="70">
        <f t="shared" si="25"/>
        <v>3500</v>
      </c>
    </row>
    <row r="63" spans="1:15" s="24" customFormat="1" ht="24">
      <c r="A63" s="57"/>
      <c r="B63" s="76"/>
      <c r="C63" s="60">
        <v>4440</v>
      </c>
      <c r="D63" s="38" t="s">
        <v>90</v>
      </c>
      <c r="E63" s="70">
        <v>9263</v>
      </c>
      <c r="F63" s="70"/>
      <c r="G63" s="70">
        <f t="shared" si="21"/>
        <v>9263</v>
      </c>
      <c r="H63" s="70"/>
      <c r="I63" s="70">
        <f t="shared" si="22"/>
        <v>9263</v>
      </c>
      <c r="J63" s="70"/>
      <c r="K63" s="70">
        <f t="shared" si="23"/>
        <v>9263</v>
      </c>
      <c r="L63" s="70"/>
      <c r="M63" s="70">
        <f t="shared" si="24"/>
        <v>9263</v>
      </c>
      <c r="N63" s="70"/>
      <c r="O63" s="70">
        <f t="shared" si="25"/>
        <v>9263</v>
      </c>
    </row>
    <row r="64" spans="1:15" s="24" customFormat="1" ht="21" customHeight="1">
      <c r="A64" s="57"/>
      <c r="B64" s="76"/>
      <c r="C64" s="60">
        <v>4580</v>
      </c>
      <c r="D64" s="38" t="s">
        <v>11</v>
      </c>
      <c r="E64" s="70"/>
      <c r="F64" s="70"/>
      <c r="G64" s="70"/>
      <c r="H64" s="70"/>
      <c r="I64" s="70">
        <v>0</v>
      </c>
      <c r="J64" s="70">
        <v>500</v>
      </c>
      <c r="K64" s="70">
        <f>SUM(I64:J64)</f>
        <v>500</v>
      </c>
      <c r="L64" s="70"/>
      <c r="M64" s="70">
        <f>SUM(K64:L64)</f>
        <v>500</v>
      </c>
      <c r="N64" s="70"/>
      <c r="O64" s="70">
        <f>SUM(M64:N64)</f>
        <v>500</v>
      </c>
    </row>
    <row r="65" spans="1:15" s="24" customFormat="1" ht="24">
      <c r="A65" s="57"/>
      <c r="B65" s="76"/>
      <c r="C65" s="60">
        <v>4700</v>
      </c>
      <c r="D65" s="38" t="s">
        <v>246</v>
      </c>
      <c r="E65" s="70">
        <v>3300</v>
      </c>
      <c r="F65" s="70"/>
      <c r="G65" s="70">
        <f t="shared" si="21"/>
        <v>3300</v>
      </c>
      <c r="H65" s="70"/>
      <c r="I65" s="70">
        <f t="shared" si="22"/>
        <v>3300</v>
      </c>
      <c r="J65" s="70"/>
      <c r="K65" s="70">
        <f t="shared" si="23"/>
        <v>3300</v>
      </c>
      <c r="L65" s="70"/>
      <c r="M65" s="70">
        <f>SUM(K65:L65)</f>
        <v>3300</v>
      </c>
      <c r="N65" s="70"/>
      <c r="O65" s="70">
        <f>SUM(M65:N65)</f>
        <v>3300</v>
      </c>
    </row>
    <row r="66" spans="1:15" s="24" customFormat="1" ht="24">
      <c r="A66" s="57"/>
      <c r="B66" s="76"/>
      <c r="C66" s="60">
        <v>4740</v>
      </c>
      <c r="D66" s="38" t="s">
        <v>232</v>
      </c>
      <c r="E66" s="70">
        <v>1000</v>
      </c>
      <c r="F66" s="70"/>
      <c r="G66" s="70">
        <f t="shared" si="21"/>
        <v>1000</v>
      </c>
      <c r="H66" s="70"/>
      <c r="I66" s="70">
        <f t="shared" si="22"/>
        <v>1000</v>
      </c>
      <c r="J66" s="70"/>
      <c r="K66" s="70">
        <f t="shared" si="23"/>
        <v>1000</v>
      </c>
      <c r="L66" s="70"/>
      <c r="M66" s="70">
        <f>SUM(K66:L66)</f>
        <v>1000</v>
      </c>
      <c r="N66" s="70"/>
      <c r="O66" s="70">
        <f>SUM(M66:N66)</f>
        <v>1000</v>
      </c>
    </row>
    <row r="67" spans="1:15" s="24" customFormat="1" ht="21" customHeight="1">
      <c r="A67" s="57"/>
      <c r="B67" s="76"/>
      <c r="C67" s="60">
        <v>4750</v>
      </c>
      <c r="D67" s="38" t="s">
        <v>233</v>
      </c>
      <c r="E67" s="70">
        <v>1000</v>
      </c>
      <c r="F67" s="70"/>
      <c r="G67" s="70">
        <f t="shared" si="21"/>
        <v>1000</v>
      </c>
      <c r="H67" s="70"/>
      <c r="I67" s="70">
        <f t="shared" si="22"/>
        <v>1000</v>
      </c>
      <c r="J67" s="70"/>
      <c r="K67" s="70">
        <f t="shared" si="23"/>
        <v>1000</v>
      </c>
      <c r="L67" s="70"/>
      <c r="M67" s="70">
        <f>SUM(K67:L67)</f>
        <v>1000</v>
      </c>
      <c r="N67" s="70"/>
      <c r="O67" s="70">
        <f>SUM(M67:N67)</f>
        <v>1000</v>
      </c>
    </row>
    <row r="68" spans="1:15" s="24" customFormat="1" ht="21" customHeight="1">
      <c r="A68" s="75"/>
      <c r="B68" s="71" t="s">
        <v>93</v>
      </c>
      <c r="C68" s="75"/>
      <c r="D68" s="38" t="s">
        <v>152</v>
      </c>
      <c r="E68" s="70">
        <f aca="true" t="shared" si="26" ref="E68:K68">SUM(E69:E78)</f>
        <v>312700</v>
      </c>
      <c r="F68" s="70">
        <f t="shared" si="26"/>
        <v>0</v>
      </c>
      <c r="G68" s="70">
        <f t="shared" si="26"/>
        <v>312700</v>
      </c>
      <c r="H68" s="70">
        <f t="shared" si="26"/>
        <v>0</v>
      </c>
      <c r="I68" s="70">
        <f t="shared" si="26"/>
        <v>312700</v>
      </c>
      <c r="J68" s="70">
        <f t="shared" si="26"/>
        <v>0</v>
      </c>
      <c r="K68" s="70">
        <f t="shared" si="26"/>
        <v>312700</v>
      </c>
      <c r="L68" s="70">
        <f>SUM(L69:L78)</f>
        <v>14000</v>
      </c>
      <c r="M68" s="70">
        <f>SUM(M69:M78)</f>
        <v>326700</v>
      </c>
      <c r="N68" s="70">
        <f>SUM(N69:N78)</f>
        <v>-6000</v>
      </c>
      <c r="O68" s="70">
        <f>SUM(O69:O78)</f>
        <v>320700</v>
      </c>
    </row>
    <row r="69" spans="1:15" s="24" customFormat="1" ht="21" customHeight="1">
      <c r="A69" s="75"/>
      <c r="B69" s="71"/>
      <c r="C69" s="57">
        <v>3030</v>
      </c>
      <c r="D69" s="38" t="s">
        <v>91</v>
      </c>
      <c r="E69" s="70">
        <v>261600</v>
      </c>
      <c r="F69" s="70"/>
      <c r="G69" s="70">
        <f>SUM(E69:F69)</f>
        <v>261600</v>
      </c>
      <c r="H69" s="70"/>
      <c r="I69" s="70">
        <f>SUM(G69:H69)</f>
        <v>261600</v>
      </c>
      <c r="J69" s="70"/>
      <c r="K69" s="70">
        <f>SUM(I69:J69)</f>
        <v>261600</v>
      </c>
      <c r="L69" s="70"/>
      <c r="M69" s="70">
        <f>SUM(K69:L69)</f>
        <v>261600</v>
      </c>
      <c r="N69" s="70">
        <v>-6000</v>
      </c>
      <c r="O69" s="70">
        <f>SUM(M69:N69)</f>
        <v>255600</v>
      </c>
    </row>
    <row r="70" spans="1:17" s="24" customFormat="1" ht="21" customHeight="1">
      <c r="A70" s="75"/>
      <c r="B70" s="71"/>
      <c r="C70" s="57">
        <v>4170</v>
      </c>
      <c r="D70" s="38" t="s">
        <v>199</v>
      </c>
      <c r="E70" s="70">
        <v>2000</v>
      </c>
      <c r="F70" s="70"/>
      <c r="G70" s="70">
        <f aca="true" t="shared" si="27" ref="G70:G78">SUM(E70:F70)</f>
        <v>2000</v>
      </c>
      <c r="H70" s="70"/>
      <c r="I70" s="70">
        <f aca="true" t="shared" si="28" ref="I70:I78">SUM(G70:H70)</f>
        <v>2000</v>
      </c>
      <c r="J70" s="70"/>
      <c r="K70" s="70">
        <f aca="true" t="shared" si="29" ref="K70:K78">SUM(I70:J70)</f>
        <v>2000</v>
      </c>
      <c r="L70" s="70"/>
      <c r="M70" s="70">
        <f aca="true" t="shared" si="30" ref="M70:M78">SUM(K70:L70)</f>
        <v>2000</v>
      </c>
      <c r="N70" s="70"/>
      <c r="O70" s="70">
        <f aca="true" t="shared" si="31" ref="O70:O78">SUM(M70:N70)</f>
        <v>2000</v>
      </c>
      <c r="P70" s="98"/>
      <c r="Q70" s="98"/>
    </row>
    <row r="71" spans="1:15" s="24" customFormat="1" ht="21" customHeight="1">
      <c r="A71" s="75"/>
      <c r="B71" s="71"/>
      <c r="C71" s="57">
        <v>4210</v>
      </c>
      <c r="D71" s="38" t="s">
        <v>94</v>
      </c>
      <c r="E71" s="70">
        <v>17500</v>
      </c>
      <c r="F71" s="70"/>
      <c r="G71" s="70">
        <f t="shared" si="27"/>
        <v>17500</v>
      </c>
      <c r="H71" s="70"/>
      <c r="I71" s="70">
        <f t="shared" si="28"/>
        <v>17500</v>
      </c>
      <c r="J71" s="70"/>
      <c r="K71" s="70">
        <f t="shared" si="29"/>
        <v>17500</v>
      </c>
      <c r="L71" s="70">
        <v>14000</v>
      </c>
      <c r="M71" s="70">
        <f t="shared" si="30"/>
        <v>31500</v>
      </c>
      <c r="N71" s="70"/>
      <c r="O71" s="70">
        <f t="shared" si="31"/>
        <v>31500</v>
      </c>
    </row>
    <row r="72" spans="1:15" s="24" customFormat="1" ht="21" customHeight="1">
      <c r="A72" s="75"/>
      <c r="B72" s="71"/>
      <c r="C72" s="57">
        <v>4300</v>
      </c>
      <c r="D72" s="38" t="s">
        <v>81</v>
      </c>
      <c r="E72" s="70">
        <v>22000</v>
      </c>
      <c r="F72" s="70"/>
      <c r="G72" s="70">
        <f t="shared" si="27"/>
        <v>22000</v>
      </c>
      <c r="H72" s="70"/>
      <c r="I72" s="70">
        <f t="shared" si="28"/>
        <v>22000</v>
      </c>
      <c r="J72" s="70"/>
      <c r="K72" s="70">
        <f t="shared" si="29"/>
        <v>22000</v>
      </c>
      <c r="L72" s="70"/>
      <c r="M72" s="70">
        <f t="shared" si="30"/>
        <v>22000</v>
      </c>
      <c r="N72" s="70"/>
      <c r="O72" s="70">
        <f t="shared" si="31"/>
        <v>22000</v>
      </c>
    </row>
    <row r="73" spans="1:15" s="24" customFormat="1" ht="24">
      <c r="A73" s="75"/>
      <c r="B73" s="71"/>
      <c r="C73" s="57">
        <v>4370</v>
      </c>
      <c r="D73" s="38" t="s">
        <v>231</v>
      </c>
      <c r="E73" s="70">
        <v>100</v>
      </c>
      <c r="F73" s="70"/>
      <c r="G73" s="70">
        <f t="shared" si="27"/>
        <v>100</v>
      </c>
      <c r="H73" s="70"/>
      <c r="I73" s="70">
        <f t="shared" si="28"/>
        <v>100</v>
      </c>
      <c r="J73" s="70"/>
      <c r="K73" s="70">
        <f t="shared" si="29"/>
        <v>100</v>
      </c>
      <c r="L73" s="70"/>
      <c r="M73" s="70">
        <f t="shared" si="30"/>
        <v>100</v>
      </c>
      <c r="N73" s="70"/>
      <c r="O73" s="70">
        <f t="shared" si="31"/>
        <v>100</v>
      </c>
    </row>
    <row r="74" spans="1:15" s="24" customFormat="1" ht="21" customHeight="1">
      <c r="A74" s="75"/>
      <c r="B74" s="71"/>
      <c r="C74" s="57">
        <v>4410</v>
      </c>
      <c r="D74" s="38" t="s">
        <v>92</v>
      </c>
      <c r="E74" s="70">
        <v>4000</v>
      </c>
      <c r="F74" s="70"/>
      <c r="G74" s="70">
        <f t="shared" si="27"/>
        <v>4000</v>
      </c>
      <c r="H74" s="70"/>
      <c r="I74" s="70">
        <f t="shared" si="28"/>
        <v>4000</v>
      </c>
      <c r="J74" s="70"/>
      <c r="K74" s="70">
        <f t="shared" si="29"/>
        <v>4000</v>
      </c>
      <c r="L74" s="70"/>
      <c r="M74" s="70">
        <f t="shared" si="30"/>
        <v>4000</v>
      </c>
      <c r="N74" s="70"/>
      <c r="O74" s="70">
        <f t="shared" si="31"/>
        <v>4000</v>
      </c>
    </row>
    <row r="75" spans="1:15" s="24" customFormat="1" ht="21" customHeight="1">
      <c r="A75" s="75"/>
      <c r="B75" s="71"/>
      <c r="C75" s="57">
        <v>4420</v>
      </c>
      <c r="D75" s="38" t="s">
        <v>95</v>
      </c>
      <c r="E75" s="70">
        <v>2000</v>
      </c>
      <c r="F75" s="70"/>
      <c r="G75" s="70">
        <f t="shared" si="27"/>
        <v>2000</v>
      </c>
      <c r="H75" s="70"/>
      <c r="I75" s="70">
        <f t="shared" si="28"/>
        <v>2000</v>
      </c>
      <c r="J75" s="70"/>
      <c r="K75" s="70">
        <f t="shared" si="29"/>
        <v>2000</v>
      </c>
      <c r="L75" s="70"/>
      <c r="M75" s="70">
        <f t="shared" si="30"/>
        <v>2000</v>
      </c>
      <c r="N75" s="70"/>
      <c r="O75" s="70">
        <f t="shared" si="31"/>
        <v>2000</v>
      </c>
    </row>
    <row r="76" spans="1:15" s="24" customFormat="1" ht="21" customHeight="1">
      <c r="A76" s="75"/>
      <c r="B76" s="71"/>
      <c r="C76" s="60">
        <v>4430</v>
      </c>
      <c r="D76" s="38" t="s">
        <v>96</v>
      </c>
      <c r="E76" s="70">
        <v>500</v>
      </c>
      <c r="F76" s="70"/>
      <c r="G76" s="70">
        <f t="shared" si="27"/>
        <v>500</v>
      </c>
      <c r="H76" s="70"/>
      <c r="I76" s="70">
        <f t="shared" si="28"/>
        <v>500</v>
      </c>
      <c r="J76" s="70"/>
      <c r="K76" s="70">
        <f t="shared" si="29"/>
        <v>500</v>
      </c>
      <c r="L76" s="70"/>
      <c r="M76" s="70">
        <f t="shared" si="30"/>
        <v>500</v>
      </c>
      <c r="N76" s="70"/>
      <c r="O76" s="70">
        <f t="shared" si="31"/>
        <v>500</v>
      </c>
    </row>
    <row r="77" spans="1:15" s="24" customFormat="1" ht="26.25" customHeight="1">
      <c r="A77" s="75"/>
      <c r="B77" s="71"/>
      <c r="C77" s="60">
        <v>4740</v>
      </c>
      <c r="D77" s="38" t="s">
        <v>296</v>
      </c>
      <c r="E77" s="70">
        <v>2000</v>
      </c>
      <c r="F77" s="70"/>
      <c r="G77" s="70">
        <f t="shared" si="27"/>
        <v>2000</v>
      </c>
      <c r="H77" s="70"/>
      <c r="I77" s="70">
        <f t="shared" si="28"/>
        <v>2000</v>
      </c>
      <c r="J77" s="70"/>
      <c r="K77" s="70">
        <f t="shared" si="29"/>
        <v>2000</v>
      </c>
      <c r="L77" s="70"/>
      <c r="M77" s="70">
        <f t="shared" si="30"/>
        <v>2000</v>
      </c>
      <c r="N77" s="70"/>
      <c r="O77" s="70">
        <f t="shared" si="31"/>
        <v>2000</v>
      </c>
    </row>
    <row r="78" spans="1:15" s="24" customFormat="1" ht="21" customHeight="1">
      <c r="A78" s="75"/>
      <c r="B78" s="71"/>
      <c r="C78" s="60">
        <v>4750</v>
      </c>
      <c r="D78" s="38" t="s">
        <v>233</v>
      </c>
      <c r="E78" s="70">
        <v>1000</v>
      </c>
      <c r="F78" s="70"/>
      <c r="G78" s="70">
        <f t="shared" si="27"/>
        <v>1000</v>
      </c>
      <c r="H78" s="70"/>
      <c r="I78" s="70">
        <f t="shared" si="28"/>
        <v>1000</v>
      </c>
      <c r="J78" s="70"/>
      <c r="K78" s="70">
        <f t="shared" si="29"/>
        <v>1000</v>
      </c>
      <c r="L78" s="70"/>
      <c r="M78" s="70">
        <f t="shared" si="30"/>
        <v>1000</v>
      </c>
      <c r="N78" s="70"/>
      <c r="O78" s="70">
        <f t="shared" si="31"/>
        <v>1000</v>
      </c>
    </row>
    <row r="79" spans="1:15" s="24" customFormat="1" ht="21" customHeight="1">
      <c r="A79" s="75"/>
      <c r="B79" s="71" t="s">
        <v>18</v>
      </c>
      <c r="C79" s="75"/>
      <c r="D79" s="38" t="s">
        <v>19</v>
      </c>
      <c r="E79" s="70">
        <f aca="true" t="shared" si="32" ref="E79:K79">SUM(E80:E103)</f>
        <v>5019517</v>
      </c>
      <c r="F79" s="70">
        <f t="shared" si="32"/>
        <v>-380000</v>
      </c>
      <c r="G79" s="70">
        <f t="shared" si="32"/>
        <v>4639517</v>
      </c>
      <c r="H79" s="70">
        <f t="shared" si="32"/>
        <v>0</v>
      </c>
      <c r="I79" s="70">
        <f t="shared" si="32"/>
        <v>4639517</v>
      </c>
      <c r="J79" s="70">
        <f t="shared" si="32"/>
        <v>0</v>
      </c>
      <c r="K79" s="70">
        <f t="shared" si="32"/>
        <v>4639517</v>
      </c>
      <c r="L79" s="70">
        <f>SUM(L80:L103)</f>
        <v>0</v>
      </c>
      <c r="M79" s="70">
        <f>SUM(M80:M103)</f>
        <v>4639517</v>
      </c>
      <c r="N79" s="70">
        <f>SUM(N80:N103)</f>
        <v>-1000</v>
      </c>
      <c r="O79" s="70">
        <f>SUM(O80:O103)</f>
        <v>4638517</v>
      </c>
    </row>
    <row r="80" spans="1:15" s="24" customFormat="1" ht="21" customHeight="1">
      <c r="A80" s="75"/>
      <c r="B80" s="71"/>
      <c r="C80" s="57">
        <v>3020</v>
      </c>
      <c r="D80" s="38" t="s">
        <v>197</v>
      </c>
      <c r="E80" s="70">
        <v>24500</v>
      </c>
      <c r="F80" s="70"/>
      <c r="G80" s="70">
        <f>SUM(E80:F80)</f>
        <v>24500</v>
      </c>
      <c r="H80" s="70"/>
      <c r="I80" s="70">
        <f>SUM(G80:H80)</f>
        <v>24500</v>
      </c>
      <c r="J80" s="70"/>
      <c r="K80" s="70">
        <f>SUM(I80:J80)</f>
        <v>24500</v>
      </c>
      <c r="L80" s="70"/>
      <c r="M80" s="70">
        <f>SUM(K80:L80)</f>
        <v>24500</v>
      </c>
      <c r="N80" s="70"/>
      <c r="O80" s="70">
        <f>SUM(M80:N80)</f>
        <v>24500</v>
      </c>
    </row>
    <row r="81" spans="1:17" s="24" customFormat="1" ht="21" customHeight="1">
      <c r="A81" s="75"/>
      <c r="B81" s="71"/>
      <c r="C81" s="57">
        <v>4010</v>
      </c>
      <c r="D81" s="38" t="s">
        <v>86</v>
      </c>
      <c r="E81" s="70">
        <f>3084359-100000</f>
        <v>2984359</v>
      </c>
      <c r="F81" s="158">
        <v>-165000</v>
      </c>
      <c r="G81" s="70">
        <f aca="true" t="shared" si="33" ref="G81:G103">SUM(E81:F81)</f>
        <v>2819359</v>
      </c>
      <c r="H81" s="158"/>
      <c r="I81" s="70">
        <f aca="true" t="shared" si="34" ref="I81:I103">SUM(G81:H81)</f>
        <v>2819359</v>
      </c>
      <c r="J81" s="158"/>
      <c r="K81" s="70">
        <f aca="true" t="shared" si="35" ref="K81:K103">SUM(I81:J81)</f>
        <v>2819359</v>
      </c>
      <c r="L81" s="158"/>
      <c r="M81" s="70">
        <f aca="true" t="shared" si="36" ref="M81:M103">SUM(K81:L81)</f>
        <v>2819359</v>
      </c>
      <c r="N81" s="158"/>
      <c r="O81" s="70">
        <f aca="true" t="shared" si="37" ref="O81:O103">SUM(M81:N81)</f>
        <v>2819359</v>
      </c>
      <c r="P81" s="98"/>
      <c r="Q81" s="98"/>
    </row>
    <row r="82" spans="1:17" s="24" customFormat="1" ht="21" customHeight="1">
      <c r="A82" s="75"/>
      <c r="B82" s="71"/>
      <c r="C82" s="57">
        <v>4040</v>
      </c>
      <c r="D82" s="38" t="s">
        <v>87</v>
      </c>
      <c r="E82" s="70">
        <v>182000</v>
      </c>
      <c r="F82" s="70"/>
      <c r="G82" s="70">
        <f t="shared" si="33"/>
        <v>182000</v>
      </c>
      <c r="H82" s="70"/>
      <c r="I82" s="70">
        <f t="shared" si="34"/>
        <v>182000</v>
      </c>
      <c r="J82" s="70"/>
      <c r="K82" s="70">
        <f t="shared" si="35"/>
        <v>182000</v>
      </c>
      <c r="L82" s="70"/>
      <c r="M82" s="70">
        <f t="shared" si="36"/>
        <v>182000</v>
      </c>
      <c r="N82" s="70"/>
      <c r="O82" s="70">
        <f t="shared" si="37"/>
        <v>182000</v>
      </c>
      <c r="P82" s="98"/>
      <c r="Q82" s="98"/>
    </row>
    <row r="83" spans="1:17" s="24" customFormat="1" ht="21" customHeight="1">
      <c r="A83" s="75"/>
      <c r="B83" s="71"/>
      <c r="C83" s="57">
        <v>4110</v>
      </c>
      <c r="D83" s="38" t="s">
        <v>88</v>
      </c>
      <c r="E83" s="70">
        <f>511390-15000</f>
        <v>496390</v>
      </c>
      <c r="F83" s="70">
        <v>-30000</v>
      </c>
      <c r="G83" s="70">
        <f t="shared" si="33"/>
        <v>466390</v>
      </c>
      <c r="H83" s="70"/>
      <c r="I83" s="70">
        <f t="shared" si="34"/>
        <v>466390</v>
      </c>
      <c r="J83" s="70"/>
      <c r="K83" s="70">
        <f t="shared" si="35"/>
        <v>466390</v>
      </c>
      <c r="L83" s="70"/>
      <c r="M83" s="70">
        <f t="shared" si="36"/>
        <v>466390</v>
      </c>
      <c r="N83" s="70"/>
      <c r="O83" s="70">
        <f t="shared" si="37"/>
        <v>466390</v>
      </c>
      <c r="P83" s="98"/>
      <c r="Q83" s="98"/>
    </row>
    <row r="84" spans="1:17" s="24" customFormat="1" ht="21" customHeight="1">
      <c r="A84" s="75"/>
      <c r="B84" s="71"/>
      <c r="C84" s="57">
        <v>4120</v>
      </c>
      <c r="D84" s="38" t="s">
        <v>89</v>
      </c>
      <c r="E84" s="70">
        <v>91712</v>
      </c>
      <c r="F84" s="70">
        <v>-5000</v>
      </c>
      <c r="G84" s="70">
        <f t="shared" si="33"/>
        <v>86712</v>
      </c>
      <c r="H84" s="70"/>
      <c r="I84" s="70">
        <f t="shared" si="34"/>
        <v>86712</v>
      </c>
      <c r="J84" s="70"/>
      <c r="K84" s="70">
        <f t="shared" si="35"/>
        <v>86712</v>
      </c>
      <c r="L84" s="70"/>
      <c r="M84" s="70">
        <f t="shared" si="36"/>
        <v>86712</v>
      </c>
      <c r="N84" s="70"/>
      <c r="O84" s="70">
        <f t="shared" si="37"/>
        <v>86712</v>
      </c>
      <c r="P84" s="98"/>
      <c r="Q84" s="98"/>
    </row>
    <row r="85" spans="1:17" s="24" customFormat="1" ht="21" customHeight="1">
      <c r="A85" s="75"/>
      <c r="B85" s="71"/>
      <c r="C85" s="57">
        <v>4170</v>
      </c>
      <c r="D85" s="38" t="s">
        <v>199</v>
      </c>
      <c r="E85" s="70">
        <v>23728</v>
      </c>
      <c r="F85" s="70"/>
      <c r="G85" s="70">
        <f t="shared" si="33"/>
        <v>23728</v>
      </c>
      <c r="H85" s="70"/>
      <c r="I85" s="70">
        <f t="shared" si="34"/>
        <v>23728</v>
      </c>
      <c r="J85" s="70">
        <v>8000</v>
      </c>
      <c r="K85" s="70">
        <f t="shared" si="35"/>
        <v>31728</v>
      </c>
      <c r="L85" s="70">
        <v>10000</v>
      </c>
      <c r="M85" s="70">
        <f t="shared" si="36"/>
        <v>41728</v>
      </c>
      <c r="N85" s="70"/>
      <c r="O85" s="70">
        <f t="shared" si="37"/>
        <v>41728</v>
      </c>
      <c r="P85" s="98"/>
      <c r="Q85" s="98"/>
    </row>
    <row r="86" spans="1:15" s="24" customFormat="1" ht="21" customHeight="1">
      <c r="A86" s="75"/>
      <c r="B86" s="71"/>
      <c r="C86" s="57">
        <v>4210</v>
      </c>
      <c r="D86" s="38" t="s">
        <v>94</v>
      </c>
      <c r="E86" s="70">
        <v>216450</v>
      </c>
      <c r="F86" s="158">
        <f>-60000</f>
        <v>-60000</v>
      </c>
      <c r="G86" s="70">
        <f t="shared" si="33"/>
        <v>156450</v>
      </c>
      <c r="H86" s="158"/>
      <c r="I86" s="70">
        <f t="shared" si="34"/>
        <v>156450</v>
      </c>
      <c r="J86" s="158"/>
      <c r="K86" s="70">
        <f t="shared" si="35"/>
        <v>156450</v>
      </c>
      <c r="L86" s="158"/>
      <c r="M86" s="70">
        <f t="shared" si="36"/>
        <v>156450</v>
      </c>
      <c r="N86" s="70">
        <v>3000</v>
      </c>
      <c r="O86" s="70">
        <f t="shared" si="37"/>
        <v>159450</v>
      </c>
    </row>
    <row r="87" spans="1:15" s="24" customFormat="1" ht="21" customHeight="1">
      <c r="A87" s="75"/>
      <c r="B87" s="71"/>
      <c r="C87" s="57">
        <v>4260</v>
      </c>
      <c r="D87" s="38" t="s">
        <v>97</v>
      </c>
      <c r="E87" s="70">
        <v>89200</v>
      </c>
      <c r="F87" s="70"/>
      <c r="G87" s="70">
        <f t="shared" si="33"/>
        <v>89200</v>
      </c>
      <c r="H87" s="70"/>
      <c r="I87" s="70">
        <f t="shared" si="34"/>
        <v>89200</v>
      </c>
      <c r="J87" s="70"/>
      <c r="K87" s="70">
        <f t="shared" si="35"/>
        <v>89200</v>
      </c>
      <c r="L87" s="70"/>
      <c r="M87" s="70">
        <f t="shared" si="36"/>
        <v>89200</v>
      </c>
      <c r="N87" s="70"/>
      <c r="O87" s="70">
        <f t="shared" si="37"/>
        <v>89200</v>
      </c>
    </row>
    <row r="88" spans="1:15" s="24" customFormat="1" ht="21" customHeight="1">
      <c r="A88" s="75"/>
      <c r="B88" s="71"/>
      <c r="C88" s="57">
        <v>4270</v>
      </c>
      <c r="D88" s="38" t="s">
        <v>80</v>
      </c>
      <c r="E88" s="70">
        <f>10000+100000+20000</f>
        <v>130000</v>
      </c>
      <c r="F88" s="70">
        <v>-80000</v>
      </c>
      <c r="G88" s="70">
        <f t="shared" si="33"/>
        <v>50000</v>
      </c>
      <c r="H88" s="70"/>
      <c r="I88" s="70">
        <f t="shared" si="34"/>
        <v>50000</v>
      </c>
      <c r="J88" s="70">
        <v>0</v>
      </c>
      <c r="K88" s="70">
        <f t="shared" si="35"/>
        <v>50000</v>
      </c>
      <c r="L88" s="70"/>
      <c r="M88" s="70">
        <f t="shared" si="36"/>
        <v>50000</v>
      </c>
      <c r="N88" s="70"/>
      <c r="O88" s="70">
        <f t="shared" si="37"/>
        <v>50000</v>
      </c>
    </row>
    <row r="89" spans="1:15" s="24" customFormat="1" ht="21" customHeight="1">
      <c r="A89" s="75"/>
      <c r="B89" s="71"/>
      <c r="C89" s="57">
        <v>4280</v>
      </c>
      <c r="D89" s="38" t="s">
        <v>223</v>
      </c>
      <c r="E89" s="70">
        <v>10000</v>
      </c>
      <c r="F89" s="70"/>
      <c r="G89" s="70">
        <f t="shared" si="33"/>
        <v>10000</v>
      </c>
      <c r="H89" s="70"/>
      <c r="I89" s="70">
        <f t="shared" si="34"/>
        <v>10000</v>
      </c>
      <c r="J89" s="70"/>
      <c r="K89" s="70">
        <f t="shared" si="35"/>
        <v>10000</v>
      </c>
      <c r="L89" s="70"/>
      <c r="M89" s="70">
        <f t="shared" si="36"/>
        <v>10000</v>
      </c>
      <c r="N89" s="70"/>
      <c r="O89" s="70">
        <f t="shared" si="37"/>
        <v>10000</v>
      </c>
    </row>
    <row r="90" spans="1:15" s="24" customFormat="1" ht="21" customHeight="1">
      <c r="A90" s="75"/>
      <c r="B90" s="71"/>
      <c r="C90" s="57">
        <v>4300</v>
      </c>
      <c r="D90" s="38" t="s">
        <v>81</v>
      </c>
      <c r="E90" s="70">
        <v>210700</v>
      </c>
      <c r="F90" s="70"/>
      <c r="G90" s="70">
        <f t="shared" si="33"/>
        <v>210700</v>
      </c>
      <c r="H90" s="70"/>
      <c r="I90" s="70">
        <f t="shared" si="34"/>
        <v>210700</v>
      </c>
      <c r="J90" s="70">
        <v>-9000</v>
      </c>
      <c r="K90" s="70">
        <f t="shared" si="35"/>
        <v>201700</v>
      </c>
      <c r="L90" s="70"/>
      <c r="M90" s="70">
        <f t="shared" si="36"/>
        <v>201700</v>
      </c>
      <c r="N90" s="70"/>
      <c r="O90" s="70">
        <f t="shared" si="37"/>
        <v>201700</v>
      </c>
    </row>
    <row r="91" spans="1:15" s="24" customFormat="1" ht="21" customHeight="1">
      <c r="A91" s="75"/>
      <c r="B91" s="71"/>
      <c r="C91" s="57">
        <v>4350</v>
      </c>
      <c r="D91" s="38" t="s">
        <v>213</v>
      </c>
      <c r="E91" s="70">
        <v>15000</v>
      </c>
      <c r="F91" s="70"/>
      <c r="G91" s="70">
        <f t="shared" si="33"/>
        <v>15000</v>
      </c>
      <c r="H91" s="70"/>
      <c r="I91" s="70">
        <f t="shared" si="34"/>
        <v>15000</v>
      </c>
      <c r="J91" s="70"/>
      <c r="K91" s="70">
        <f t="shared" si="35"/>
        <v>15000</v>
      </c>
      <c r="L91" s="70"/>
      <c r="M91" s="70">
        <f t="shared" si="36"/>
        <v>15000</v>
      </c>
      <c r="N91" s="70"/>
      <c r="O91" s="70">
        <f t="shared" si="37"/>
        <v>15000</v>
      </c>
    </row>
    <row r="92" spans="1:15" s="24" customFormat="1" ht="24">
      <c r="A92" s="75"/>
      <c r="B92" s="71"/>
      <c r="C92" s="57">
        <v>4360</v>
      </c>
      <c r="D92" s="38" t="s">
        <v>234</v>
      </c>
      <c r="E92" s="70">
        <v>23500</v>
      </c>
      <c r="F92" s="70"/>
      <c r="G92" s="70">
        <f t="shared" si="33"/>
        <v>23500</v>
      </c>
      <c r="H92" s="70"/>
      <c r="I92" s="70">
        <f t="shared" si="34"/>
        <v>23500</v>
      </c>
      <c r="J92" s="70"/>
      <c r="K92" s="70">
        <f t="shared" si="35"/>
        <v>23500</v>
      </c>
      <c r="L92" s="70"/>
      <c r="M92" s="70">
        <f t="shared" si="36"/>
        <v>23500</v>
      </c>
      <c r="N92" s="70"/>
      <c r="O92" s="70">
        <f t="shared" si="37"/>
        <v>23500</v>
      </c>
    </row>
    <row r="93" spans="1:15" s="24" customFormat="1" ht="24">
      <c r="A93" s="75"/>
      <c r="B93" s="71"/>
      <c r="C93" s="57">
        <v>4370</v>
      </c>
      <c r="D93" s="38" t="s">
        <v>231</v>
      </c>
      <c r="E93" s="70">
        <v>51500</v>
      </c>
      <c r="F93" s="70"/>
      <c r="G93" s="70">
        <f t="shared" si="33"/>
        <v>51500</v>
      </c>
      <c r="H93" s="70"/>
      <c r="I93" s="70">
        <f t="shared" si="34"/>
        <v>51500</v>
      </c>
      <c r="J93" s="70"/>
      <c r="K93" s="70">
        <f t="shared" si="35"/>
        <v>51500</v>
      </c>
      <c r="L93" s="70"/>
      <c r="M93" s="70">
        <f t="shared" si="36"/>
        <v>51500</v>
      </c>
      <c r="N93" s="70"/>
      <c r="O93" s="70">
        <f t="shared" si="37"/>
        <v>51500</v>
      </c>
    </row>
    <row r="94" spans="1:15" s="24" customFormat="1" ht="21" customHeight="1">
      <c r="A94" s="75"/>
      <c r="B94" s="71"/>
      <c r="C94" s="57">
        <v>4410</v>
      </c>
      <c r="D94" s="38" t="s">
        <v>92</v>
      </c>
      <c r="E94" s="70">
        <v>53200</v>
      </c>
      <c r="F94" s="70"/>
      <c r="G94" s="70">
        <f t="shared" si="33"/>
        <v>53200</v>
      </c>
      <c r="H94" s="70"/>
      <c r="I94" s="70">
        <f t="shared" si="34"/>
        <v>53200</v>
      </c>
      <c r="J94" s="70"/>
      <c r="K94" s="70">
        <f t="shared" si="35"/>
        <v>53200</v>
      </c>
      <c r="L94" s="70"/>
      <c r="M94" s="70">
        <f t="shared" si="36"/>
        <v>53200</v>
      </c>
      <c r="N94" s="70"/>
      <c r="O94" s="70">
        <f t="shared" si="37"/>
        <v>53200</v>
      </c>
    </row>
    <row r="95" spans="1:15" s="24" customFormat="1" ht="21" customHeight="1">
      <c r="A95" s="75"/>
      <c r="B95" s="71"/>
      <c r="C95" s="75">
        <v>4420</v>
      </c>
      <c r="D95" s="38" t="s">
        <v>95</v>
      </c>
      <c r="E95" s="70">
        <v>5000</v>
      </c>
      <c r="F95" s="70"/>
      <c r="G95" s="70">
        <f t="shared" si="33"/>
        <v>5000</v>
      </c>
      <c r="H95" s="70"/>
      <c r="I95" s="70">
        <f t="shared" si="34"/>
        <v>5000</v>
      </c>
      <c r="J95" s="70"/>
      <c r="K95" s="70">
        <f t="shared" si="35"/>
        <v>5000</v>
      </c>
      <c r="L95" s="70"/>
      <c r="M95" s="70">
        <f t="shared" si="36"/>
        <v>5000</v>
      </c>
      <c r="N95" s="70"/>
      <c r="O95" s="70">
        <f t="shared" si="37"/>
        <v>5000</v>
      </c>
    </row>
    <row r="96" spans="1:15" s="24" customFormat="1" ht="21" customHeight="1">
      <c r="A96" s="75"/>
      <c r="B96" s="71"/>
      <c r="C96" s="60">
        <v>4430</v>
      </c>
      <c r="D96" s="38" t="s">
        <v>96</v>
      </c>
      <c r="E96" s="70">
        <v>63502</v>
      </c>
      <c r="F96" s="70"/>
      <c r="G96" s="70">
        <f t="shared" si="33"/>
        <v>63502</v>
      </c>
      <c r="H96" s="70"/>
      <c r="I96" s="70">
        <f t="shared" si="34"/>
        <v>63502</v>
      </c>
      <c r="J96" s="70"/>
      <c r="K96" s="70">
        <f t="shared" si="35"/>
        <v>63502</v>
      </c>
      <c r="L96" s="70">
        <v>-10000</v>
      </c>
      <c r="M96" s="70">
        <f t="shared" si="36"/>
        <v>53502</v>
      </c>
      <c r="N96" s="70">
        <v>-4000</v>
      </c>
      <c r="O96" s="70">
        <f t="shared" si="37"/>
        <v>49502</v>
      </c>
    </row>
    <row r="97" spans="1:15" s="24" customFormat="1" ht="21" customHeight="1">
      <c r="A97" s="75"/>
      <c r="B97" s="71"/>
      <c r="C97" s="60">
        <v>4440</v>
      </c>
      <c r="D97" s="38" t="s">
        <v>90</v>
      </c>
      <c r="E97" s="70">
        <f>125776-5000</f>
        <v>120776</v>
      </c>
      <c r="F97" s="70"/>
      <c r="G97" s="70">
        <f t="shared" si="33"/>
        <v>120776</v>
      </c>
      <c r="H97" s="70"/>
      <c r="I97" s="70">
        <f t="shared" si="34"/>
        <v>120776</v>
      </c>
      <c r="J97" s="70"/>
      <c r="K97" s="70">
        <f t="shared" si="35"/>
        <v>120776</v>
      </c>
      <c r="L97" s="70"/>
      <c r="M97" s="70">
        <f t="shared" si="36"/>
        <v>120776</v>
      </c>
      <c r="N97" s="70"/>
      <c r="O97" s="70">
        <f t="shared" si="37"/>
        <v>120776</v>
      </c>
    </row>
    <row r="98" spans="1:15" s="24" customFormat="1" ht="21" customHeight="1">
      <c r="A98" s="75"/>
      <c r="B98" s="71"/>
      <c r="C98" s="60">
        <v>4510</v>
      </c>
      <c r="D98" s="38" t="s">
        <v>148</v>
      </c>
      <c r="E98" s="70">
        <v>4000</v>
      </c>
      <c r="F98" s="70"/>
      <c r="G98" s="70">
        <f t="shared" si="33"/>
        <v>4000</v>
      </c>
      <c r="H98" s="70"/>
      <c r="I98" s="70">
        <f t="shared" si="34"/>
        <v>4000</v>
      </c>
      <c r="J98" s="70"/>
      <c r="K98" s="70">
        <f t="shared" si="35"/>
        <v>4000</v>
      </c>
      <c r="L98" s="70"/>
      <c r="M98" s="70">
        <f t="shared" si="36"/>
        <v>4000</v>
      </c>
      <c r="N98" s="70"/>
      <c r="O98" s="70">
        <f t="shared" si="37"/>
        <v>4000</v>
      </c>
    </row>
    <row r="99" spans="1:15" s="24" customFormat="1" ht="21" customHeight="1">
      <c r="A99" s="75"/>
      <c r="B99" s="71"/>
      <c r="C99" s="60">
        <v>4580</v>
      </c>
      <c r="D99" s="38" t="s">
        <v>11</v>
      </c>
      <c r="E99" s="70"/>
      <c r="F99" s="70"/>
      <c r="G99" s="70"/>
      <c r="H99" s="70"/>
      <c r="I99" s="70">
        <v>0</v>
      </c>
      <c r="J99" s="70">
        <v>1000</v>
      </c>
      <c r="K99" s="70">
        <f t="shared" si="35"/>
        <v>1000</v>
      </c>
      <c r="L99" s="70"/>
      <c r="M99" s="70">
        <f t="shared" si="36"/>
        <v>1000</v>
      </c>
      <c r="N99" s="70"/>
      <c r="O99" s="70">
        <f t="shared" si="37"/>
        <v>1000</v>
      </c>
    </row>
    <row r="100" spans="1:15" s="24" customFormat="1" ht="24">
      <c r="A100" s="75"/>
      <c r="B100" s="71"/>
      <c r="C100" s="60">
        <v>4700</v>
      </c>
      <c r="D100" s="38" t="s">
        <v>246</v>
      </c>
      <c r="E100" s="70">
        <v>31000</v>
      </c>
      <c r="F100" s="70"/>
      <c r="G100" s="70">
        <f t="shared" si="33"/>
        <v>31000</v>
      </c>
      <c r="H100" s="70"/>
      <c r="I100" s="70">
        <f t="shared" si="34"/>
        <v>31000</v>
      </c>
      <c r="J100" s="70"/>
      <c r="K100" s="70">
        <f t="shared" si="35"/>
        <v>31000</v>
      </c>
      <c r="L100" s="70"/>
      <c r="M100" s="70">
        <f t="shared" si="36"/>
        <v>31000</v>
      </c>
      <c r="N100" s="70"/>
      <c r="O100" s="70">
        <f t="shared" si="37"/>
        <v>31000</v>
      </c>
    </row>
    <row r="101" spans="1:15" s="24" customFormat="1" ht="26.25" customHeight="1">
      <c r="A101" s="75"/>
      <c r="B101" s="71"/>
      <c r="C101" s="60">
        <v>4740</v>
      </c>
      <c r="D101" s="38" t="s">
        <v>232</v>
      </c>
      <c r="E101" s="70">
        <v>20000</v>
      </c>
      <c r="F101" s="70"/>
      <c r="G101" s="70">
        <f t="shared" si="33"/>
        <v>20000</v>
      </c>
      <c r="H101" s="70"/>
      <c r="I101" s="70">
        <f t="shared" si="34"/>
        <v>20000</v>
      </c>
      <c r="J101" s="70"/>
      <c r="K101" s="70">
        <f t="shared" si="35"/>
        <v>20000</v>
      </c>
      <c r="L101" s="70"/>
      <c r="M101" s="70">
        <f t="shared" si="36"/>
        <v>20000</v>
      </c>
      <c r="N101" s="70"/>
      <c r="O101" s="70">
        <f t="shared" si="37"/>
        <v>20000</v>
      </c>
    </row>
    <row r="102" spans="1:15" s="24" customFormat="1" ht="24">
      <c r="A102" s="75"/>
      <c r="B102" s="71"/>
      <c r="C102" s="60">
        <v>4750</v>
      </c>
      <c r="D102" s="38" t="s">
        <v>233</v>
      </c>
      <c r="E102" s="70">
        <v>38000</v>
      </c>
      <c r="F102" s="70"/>
      <c r="G102" s="70">
        <f t="shared" si="33"/>
        <v>38000</v>
      </c>
      <c r="H102" s="70"/>
      <c r="I102" s="70">
        <f t="shared" si="34"/>
        <v>38000</v>
      </c>
      <c r="J102" s="70"/>
      <c r="K102" s="70">
        <f t="shared" si="35"/>
        <v>38000</v>
      </c>
      <c r="L102" s="70"/>
      <c r="M102" s="70">
        <f t="shared" si="36"/>
        <v>38000</v>
      </c>
      <c r="N102" s="70"/>
      <c r="O102" s="70">
        <f t="shared" si="37"/>
        <v>38000</v>
      </c>
    </row>
    <row r="103" spans="1:15" s="24" customFormat="1" ht="24">
      <c r="A103" s="75"/>
      <c r="B103" s="71"/>
      <c r="C103" s="60">
        <v>6060</v>
      </c>
      <c r="D103" s="38" t="s">
        <v>98</v>
      </c>
      <c r="E103" s="70">
        <v>135000</v>
      </c>
      <c r="F103" s="70">
        <v>-40000</v>
      </c>
      <c r="G103" s="70">
        <f t="shared" si="33"/>
        <v>95000</v>
      </c>
      <c r="H103" s="70"/>
      <c r="I103" s="70">
        <f t="shared" si="34"/>
        <v>95000</v>
      </c>
      <c r="J103" s="70"/>
      <c r="K103" s="70">
        <f t="shared" si="35"/>
        <v>95000</v>
      </c>
      <c r="L103" s="70"/>
      <c r="M103" s="70">
        <f t="shared" si="36"/>
        <v>95000</v>
      </c>
      <c r="N103" s="70"/>
      <c r="O103" s="70">
        <f t="shared" si="37"/>
        <v>95000</v>
      </c>
    </row>
    <row r="104" spans="1:15" s="24" customFormat="1" ht="24">
      <c r="A104" s="75"/>
      <c r="B104" s="71">
        <v>75075</v>
      </c>
      <c r="C104" s="75"/>
      <c r="D104" s="38" t="s">
        <v>210</v>
      </c>
      <c r="E104" s="70">
        <f aca="true" t="shared" si="38" ref="E104:K104">SUM(E105:E116)</f>
        <v>501460</v>
      </c>
      <c r="F104" s="70">
        <f t="shared" si="38"/>
        <v>-301500</v>
      </c>
      <c r="G104" s="70">
        <f t="shared" si="38"/>
        <v>199960</v>
      </c>
      <c r="H104" s="70">
        <f t="shared" si="38"/>
        <v>0</v>
      </c>
      <c r="I104" s="70">
        <f t="shared" si="38"/>
        <v>199960</v>
      </c>
      <c r="J104" s="70">
        <f t="shared" si="38"/>
        <v>0</v>
      </c>
      <c r="K104" s="70">
        <f t="shared" si="38"/>
        <v>199960</v>
      </c>
      <c r="L104" s="70">
        <f>SUM(L105:L116)</f>
        <v>0</v>
      </c>
      <c r="M104" s="70">
        <f>SUM(M105:M116)</f>
        <v>199960</v>
      </c>
      <c r="N104" s="70">
        <f>SUM(N105:N116)</f>
        <v>7000</v>
      </c>
      <c r="O104" s="70">
        <f>SUM(O105:O116)</f>
        <v>206960</v>
      </c>
    </row>
    <row r="105" spans="1:15" s="24" customFormat="1" ht="24">
      <c r="A105" s="75"/>
      <c r="B105" s="71"/>
      <c r="C105" s="75">
        <v>3020</v>
      </c>
      <c r="D105" s="38" t="s">
        <v>197</v>
      </c>
      <c r="E105" s="70">
        <v>12000</v>
      </c>
      <c r="F105" s="70">
        <v>-4000</v>
      </c>
      <c r="G105" s="70">
        <f aca="true" t="shared" si="39" ref="G105:G116">SUM(E105:F105)</f>
        <v>8000</v>
      </c>
      <c r="H105" s="70"/>
      <c r="I105" s="70">
        <f aca="true" t="shared" si="40" ref="I105:I116">SUM(G105:H105)</f>
        <v>8000</v>
      </c>
      <c r="J105" s="70"/>
      <c r="K105" s="70">
        <f aca="true" t="shared" si="41" ref="K105:K116">SUM(I105:J105)</f>
        <v>8000</v>
      </c>
      <c r="L105" s="70"/>
      <c r="M105" s="70">
        <f aca="true" t="shared" si="42" ref="M105:M116">SUM(K105:L105)</f>
        <v>8000</v>
      </c>
      <c r="N105" s="70"/>
      <c r="O105" s="70">
        <f aca="true" t="shared" si="43" ref="O105:O116">SUM(M105:N105)</f>
        <v>8000</v>
      </c>
    </row>
    <row r="106" spans="1:17" s="24" customFormat="1" ht="21" customHeight="1">
      <c r="A106" s="75"/>
      <c r="B106" s="71"/>
      <c r="C106" s="75">
        <v>4110</v>
      </c>
      <c r="D106" s="38" t="s">
        <v>88</v>
      </c>
      <c r="E106" s="70">
        <v>1000</v>
      </c>
      <c r="F106" s="70"/>
      <c r="G106" s="70">
        <f t="shared" si="39"/>
        <v>1000</v>
      </c>
      <c r="H106" s="70"/>
      <c r="I106" s="70">
        <f t="shared" si="40"/>
        <v>1000</v>
      </c>
      <c r="J106" s="70"/>
      <c r="K106" s="70">
        <f t="shared" si="41"/>
        <v>1000</v>
      </c>
      <c r="L106" s="70"/>
      <c r="M106" s="70">
        <f t="shared" si="42"/>
        <v>1000</v>
      </c>
      <c r="N106" s="70"/>
      <c r="O106" s="70">
        <f t="shared" si="43"/>
        <v>1000</v>
      </c>
      <c r="P106" s="98"/>
      <c r="Q106" s="98"/>
    </row>
    <row r="107" spans="1:17" s="24" customFormat="1" ht="21" customHeight="1">
      <c r="A107" s="75"/>
      <c r="B107" s="71"/>
      <c r="C107" s="75">
        <v>4120</v>
      </c>
      <c r="D107" s="38" t="s">
        <v>89</v>
      </c>
      <c r="E107" s="70">
        <v>100</v>
      </c>
      <c r="F107" s="70"/>
      <c r="G107" s="70">
        <f t="shared" si="39"/>
        <v>100</v>
      </c>
      <c r="H107" s="70"/>
      <c r="I107" s="70">
        <f t="shared" si="40"/>
        <v>100</v>
      </c>
      <c r="J107" s="70"/>
      <c r="K107" s="70">
        <f t="shared" si="41"/>
        <v>100</v>
      </c>
      <c r="L107" s="70"/>
      <c r="M107" s="70">
        <f t="shared" si="42"/>
        <v>100</v>
      </c>
      <c r="N107" s="70"/>
      <c r="O107" s="70">
        <f t="shared" si="43"/>
        <v>100</v>
      </c>
      <c r="P107" s="98"/>
      <c r="Q107" s="98"/>
    </row>
    <row r="108" spans="1:17" s="24" customFormat="1" ht="21" customHeight="1">
      <c r="A108" s="75"/>
      <c r="B108" s="71"/>
      <c r="C108" s="75">
        <v>4170</v>
      </c>
      <c r="D108" s="38" t="s">
        <v>199</v>
      </c>
      <c r="E108" s="70">
        <v>6000</v>
      </c>
      <c r="F108" s="70"/>
      <c r="G108" s="70">
        <f t="shared" si="39"/>
        <v>6000</v>
      </c>
      <c r="H108" s="70"/>
      <c r="I108" s="70">
        <f t="shared" si="40"/>
        <v>6000</v>
      </c>
      <c r="J108" s="70"/>
      <c r="K108" s="70">
        <f t="shared" si="41"/>
        <v>6000</v>
      </c>
      <c r="L108" s="70"/>
      <c r="M108" s="70">
        <f t="shared" si="42"/>
        <v>6000</v>
      </c>
      <c r="N108" s="70"/>
      <c r="O108" s="70">
        <f t="shared" si="43"/>
        <v>6000</v>
      </c>
      <c r="P108" s="98"/>
      <c r="Q108" s="98"/>
    </row>
    <row r="109" spans="1:15" s="24" customFormat="1" ht="21" customHeight="1">
      <c r="A109" s="75"/>
      <c r="B109" s="71"/>
      <c r="C109" s="75">
        <v>4210</v>
      </c>
      <c r="D109" s="38" t="s">
        <v>94</v>
      </c>
      <c r="E109" s="70">
        <v>190000</v>
      </c>
      <c r="F109" s="70">
        <v>-115000</v>
      </c>
      <c r="G109" s="70">
        <f t="shared" si="39"/>
        <v>75000</v>
      </c>
      <c r="H109" s="70"/>
      <c r="I109" s="70">
        <f t="shared" si="40"/>
        <v>75000</v>
      </c>
      <c r="J109" s="70"/>
      <c r="K109" s="70">
        <f t="shared" si="41"/>
        <v>75000</v>
      </c>
      <c r="L109" s="70"/>
      <c r="M109" s="70">
        <f t="shared" si="42"/>
        <v>75000</v>
      </c>
      <c r="N109" s="70"/>
      <c r="O109" s="70">
        <f t="shared" si="43"/>
        <v>75000</v>
      </c>
    </row>
    <row r="110" spans="1:15" s="24" customFormat="1" ht="21" customHeight="1">
      <c r="A110" s="75"/>
      <c r="B110" s="71"/>
      <c r="C110" s="57">
        <v>4300</v>
      </c>
      <c r="D110" s="38" t="s">
        <v>81</v>
      </c>
      <c r="E110" s="70">
        <f>268360+3000</f>
        <v>271360</v>
      </c>
      <c r="F110" s="158">
        <v>-175000</v>
      </c>
      <c r="G110" s="70">
        <f t="shared" si="39"/>
        <v>96360</v>
      </c>
      <c r="H110" s="158"/>
      <c r="I110" s="70">
        <f t="shared" si="40"/>
        <v>96360</v>
      </c>
      <c r="J110" s="158"/>
      <c r="K110" s="70">
        <f t="shared" si="41"/>
        <v>96360</v>
      </c>
      <c r="L110" s="158"/>
      <c r="M110" s="70">
        <f t="shared" si="42"/>
        <v>96360</v>
      </c>
      <c r="N110" s="70">
        <v>7000</v>
      </c>
      <c r="O110" s="70">
        <f t="shared" si="43"/>
        <v>103360</v>
      </c>
    </row>
    <row r="111" spans="1:15" s="24" customFormat="1" ht="21" customHeight="1">
      <c r="A111" s="75"/>
      <c r="B111" s="71"/>
      <c r="C111" s="57">
        <v>4350</v>
      </c>
      <c r="D111" s="38" t="s">
        <v>212</v>
      </c>
      <c r="E111" s="70">
        <v>5000</v>
      </c>
      <c r="F111" s="70">
        <v>-4000</v>
      </c>
      <c r="G111" s="70">
        <f t="shared" si="39"/>
        <v>1000</v>
      </c>
      <c r="H111" s="70"/>
      <c r="I111" s="70">
        <f t="shared" si="40"/>
        <v>1000</v>
      </c>
      <c r="J111" s="70"/>
      <c r="K111" s="70">
        <f t="shared" si="41"/>
        <v>1000</v>
      </c>
      <c r="L111" s="70"/>
      <c r="M111" s="70">
        <f t="shared" si="42"/>
        <v>1000</v>
      </c>
      <c r="N111" s="70"/>
      <c r="O111" s="70">
        <f t="shared" si="43"/>
        <v>1000</v>
      </c>
    </row>
    <row r="112" spans="1:15" s="24" customFormat="1" ht="21" customHeight="1">
      <c r="A112" s="75"/>
      <c r="B112" s="71"/>
      <c r="C112" s="57">
        <v>4410</v>
      </c>
      <c r="D112" s="38" t="s">
        <v>92</v>
      </c>
      <c r="E112" s="70">
        <v>3000</v>
      </c>
      <c r="F112" s="70"/>
      <c r="G112" s="70">
        <f t="shared" si="39"/>
        <v>3000</v>
      </c>
      <c r="H112" s="70"/>
      <c r="I112" s="70">
        <f t="shared" si="40"/>
        <v>3000</v>
      </c>
      <c r="J112" s="70"/>
      <c r="K112" s="70">
        <f t="shared" si="41"/>
        <v>3000</v>
      </c>
      <c r="L112" s="70"/>
      <c r="M112" s="70">
        <f t="shared" si="42"/>
        <v>3000</v>
      </c>
      <c r="N112" s="70"/>
      <c r="O112" s="70">
        <f t="shared" si="43"/>
        <v>3000</v>
      </c>
    </row>
    <row r="113" spans="1:15" s="24" customFormat="1" ht="21" customHeight="1">
      <c r="A113" s="75"/>
      <c r="B113" s="71"/>
      <c r="C113" s="75">
        <v>4420</v>
      </c>
      <c r="D113" s="38" t="s">
        <v>95</v>
      </c>
      <c r="E113" s="70">
        <v>3000</v>
      </c>
      <c r="F113" s="70"/>
      <c r="G113" s="70">
        <f t="shared" si="39"/>
        <v>3000</v>
      </c>
      <c r="H113" s="70"/>
      <c r="I113" s="70">
        <f t="shared" si="40"/>
        <v>3000</v>
      </c>
      <c r="J113" s="70"/>
      <c r="K113" s="70">
        <f t="shared" si="41"/>
        <v>3000</v>
      </c>
      <c r="L113" s="70"/>
      <c r="M113" s="70">
        <f t="shared" si="42"/>
        <v>3000</v>
      </c>
      <c r="N113" s="70"/>
      <c r="O113" s="70">
        <f t="shared" si="43"/>
        <v>3000</v>
      </c>
    </row>
    <row r="114" spans="1:15" s="24" customFormat="1" ht="21" customHeight="1">
      <c r="A114" s="75"/>
      <c r="B114" s="71"/>
      <c r="C114" s="57">
        <v>4430</v>
      </c>
      <c r="D114" s="38" t="s">
        <v>96</v>
      </c>
      <c r="E114" s="70">
        <v>3000</v>
      </c>
      <c r="F114" s="70">
        <v>-1000</v>
      </c>
      <c r="G114" s="70">
        <f t="shared" si="39"/>
        <v>2000</v>
      </c>
      <c r="H114" s="70"/>
      <c r="I114" s="70">
        <f t="shared" si="40"/>
        <v>2000</v>
      </c>
      <c r="J114" s="70"/>
      <c r="K114" s="70">
        <f t="shared" si="41"/>
        <v>2000</v>
      </c>
      <c r="L114" s="70"/>
      <c r="M114" s="70">
        <f t="shared" si="42"/>
        <v>2000</v>
      </c>
      <c r="N114" s="70"/>
      <c r="O114" s="70">
        <f t="shared" si="43"/>
        <v>2000</v>
      </c>
    </row>
    <row r="115" spans="1:15" s="24" customFormat="1" ht="24">
      <c r="A115" s="75"/>
      <c r="B115" s="71"/>
      <c r="C115" s="57">
        <v>4740</v>
      </c>
      <c r="D115" s="38" t="s">
        <v>232</v>
      </c>
      <c r="E115" s="70">
        <v>1000</v>
      </c>
      <c r="F115" s="70"/>
      <c r="G115" s="70">
        <f t="shared" si="39"/>
        <v>1000</v>
      </c>
      <c r="H115" s="70"/>
      <c r="I115" s="70">
        <f t="shared" si="40"/>
        <v>1000</v>
      </c>
      <c r="J115" s="70"/>
      <c r="K115" s="70">
        <f t="shared" si="41"/>
        <v>1000</v>
      </c>
      <c r="L115" s="70"/>
      <c r="M115" s="70">
        <f t="shared" si="42"/>
        <v>1000</v>
      </c>
      <c r="N115" s="70"/>
      <c r="O115" s="70">
        <f t="shared" si="43"/>
        <v>1000</v>
      </c>
    </row>
    <row r="116" spans="1:15" s="24" customFormat="1" ht="36">
      <c r="A116" s="75"/>
      <c r="B116" s="71"/>
      <c r="C116" s="57">
        <v>4750</v>
      </c>
      <c r="D116" s="38" t="s">
        <v>251</v>
      </c>
      <c r="E116" s="70">
        <v>6000</v>
      </c>
      <c r="F116" s="70">
        <v>-2500</v>
      </c>
      <c r="G116" s="70">
        <f t="shared" si="39"/>
        <v>3500</v>
      </c>
      <c r="H116" s="70"/>
      <c r="I116" s="70">
        <f t="shared" si="40"/>
        <v>3500</v>
      </c>
      <c r="J116" s="70"/>
      <c r="K116" s="70">
        <f t="shared" si="41"/>
        <v>3500</v>
      </c>
      <c r="L116" s="70"/>
      <c r="M116" s="70">
        <f t="shared" si="42"/>
        <v>3500</v>
      </c>
      <c r="N116" s="70"/>
      <c r="O116" s="70">
        <f t="shared" si="43"/>
        <v>3500</v>
      </c>
    </row>
    <row r="117" spans="1:15" s="24" customFormat="1" ht="21" customHeight="1">
      <c r="A117" s="75"/>
      <c r="B117" s="71">
        <v>75095</v>
      </c>
      <c r="C117" s="57"/>
      <c r="D117" s="38" t="s">
        <v>6</v>
      </c>
      <c r="E117" s="70">
        <f aca="true" t="shared" si="44" ref="E117:K117">SUM(E118:E123)</f>
        <v>124580</v>
      </c>
      <c r="F117" s="70">
        <f t="shared" si="44"/>
        <v>0</v>
      </c>
      <c r="G117" s="70">
        <f t="shared" si="44"/>
        <v>124580</v>
      </c>
      <c r="H117" s="70">
        <f t="shared" si="44"/>
        <v>0</v>
      </c>
      <c r="I117" s="70">
        <f t="shared" si="44"/>
        <v>124580</v>
      </c>
      <c r="J117" s="70">
        <f t="shared" si="44"/>
        <v>0</v>
      </c>
      <c r="K117" s="70">
        <f t="shared" si="44"/>
        <v>124580</v>
      </c>
      <c r="L117" s="70">
        <f>SUM(L118:L123)</f>
        <v>0</v>
      </c>
      <c r="M117" s="70">
        <f>SUM(M118:M123)</f>
        <v>124580</v>
      </c>
      <c r="N117" s="70">
        <f>SUM(N118:N123)</f>
        <v>0</v>
      </c>
      <c r="O117" s="70">
        <f>SUM(O118:O123)</f>
        <v>124580</v>
      </c>
    </row>
    <row r="118" spans="1:15" s="24" customFormat="1" ht="21" customHeight="1">
      <c r="A118" s="75"/>
      <c r="B118" s="71"/>
      <c r="C118" s="57">
        <v>3030</v>
      </c>
      <c r="D118" s="38" t="s">
        <v>91</v>
      </c>
      <c r="E118" s="70">
        <v>60000</v>
      </c>
      <c r="F118" s="70"/>
      <c r="G118" s="70">
        <f aca="true" t="shared" si="45" ref="G118:G192">SUM(E118:F118)</f>
        <v>60000</v>
      </c>
      <c r="H118" s="70"/>
      <c r="I118" s="70">
        <f aca="true" t="shared" si="46" ref="I118:I123">SUM(G118:H118)</f>
        <v>60000</v>
      </c>
      <c r="J118" s="70"/>
      <c r="K118" s="70">
        <f aca="true" t="shared" si="47" ref="K118:K123">SUM(I118:J118)</f>
        <v>60000</v>
      </c>
      <c r="L118" s="70"/>
      <c r="M118" s="70">
        <f aca="true" t="shared" si="48" ref="M118:M123">SUM(K118:L118)</f>
        <v>60000</v>
      </c>
      <c r="N118" s="70"/>
      <c r="O118" s="70">
        <f aca="true" t="shared" si="49" ref="O118:O123">SUM(M118:N118)</f>
        <v>60000</v>
      </c>
    </row>
    <row r="119" spans="1:15" s="24" customFormat="1" ht="21" customHeight="1">
      <c r="A119" s="75"/>
      <c r="B119" s="71"/>
      <c r="C119" s="57">
        <v>4210</v>
      </c>
      <c r="D119" s="38" t="s">
        <v>94</v>
      </c>
      <c r="E119" s="70">
        <f>22980+1000</f>
        <v>23980</v>
      </c>
      <c r="F119" s="70"/>
      <c r="G119" s="70">
        <f t="shared" si="45"/>
        <v>23980</v>
      </c>
      <c r="H119" s="70"/>
      <c r="I119" s="70">
        <f t="shared" si="46"/>
        <v>23980</v>
      </c>
      <c r="J119" s="70"/>
      <c r="K119" s="70">
        <f t="shared" si="47"/>
        <v>23980</v>
      </c>
      <c r="L119" s="70"/>
      <c r="M119" s="70">
        <f t="shared" si="48"/>
        <v>23980</v>
      </c>
      <c r="N119" s="70"/>
      <c r="O119" s="70">
        <f t="shared" si="49"/>
        <v>23980</v>
      </c>
    </row>
    <row r="120" spans="1:15" s="24" customFormat="1" ht="21" customHeight="1">
      <c r="A120" s="75"/>
      <c r="B120" s="71"/>
      <c r="C120" s="57">
        <v>4300</v>
      </c>
      <c r="D120" s="38" t="s">
        <v>81</v>
      </c>
      <c r="E120" s="70">
        <v>5500</v>
      </c>
      <c r="F120" s="70"/>
      <c r="G120" s="70">
        <f t="shared" si="45"/>
        <v>5500</v>
      </c>
      <c r="H120" s="70"/>
      <c r="I120" s="70">
        <f t="shared" si="46"/>
        <v>5500</v>
      </c>
      <c r="J120" s="70"/>
      <c r="K120" s="70">
        <f t="shared" si="47"/>
        <v>5500</v>
      </c>
      <c r="L120" s="70"/>
      <c r="M120" s="70">
        <f t="shared" si="48"/>
        <v>5500</v>
      </c>
      <c r="N120" s="70"/>
      <c r="O120" s="70">
        <f t="shared" si="49"/>
        <v>5500</v>
      </c>
    </row>
    <row r="121" spans="1:15" s="24" customFormat="1" ht="21" customHeight="1">
      <c r="A121" s="75"/>
      <c r="B121" s="71"/>
      <c r="C121" s="57">
        <v>4410</v>
      </c>
      <c r="D121" s="38" t="s">
        <v>92</v>
      </c>
      <c r="E121" s="70">
        <v>5000</v>
      </c>
      <c r="F121" s="70"/>
      <c r="G121" s="70">
        <f t="shared" si="45"/>
        <v>5000</v>
      </c>
      <c r="H121" s="70"/>
      <c r="I121" s="70">
        <f t="shared" si="46"/>
        <v>5000</v>
      </c>
      <c r="J121" s="70"/>
      <c r="K121" s="70">
        <f t="shared" si="47"/>
        <v>5000</v>
      </c>
      <c r="L121" s="70"/>
      <c r="M121" s="70">
        <f t="shared" si="48"/>
        <v>5000</v>
      </c>
      <c r="N121" s="70"/>
      <c r="O121" s="70">
        <f t="shared" si="49"/>
        <v>5000</v>
      </c>
    </row>
    <row r="122" spans="1:15" s="24" customFormat="1" ht="21" customHeight="1">
      <c r="A122" s="75"/>
      <c r="B122" s="71"/>
      <c r="C122" s="57">
        <v>4430</v>
      </c>
      <c r="D122" s="38" t="s">
        <v>96</v>
      </c>
      <c r="E122" s="70">
        <v>30000</v>
      </c>
      <c r="F122" s="70"/>
      <c r="G122" s="70">
        <f t="shared" si="45"/>
        <v>30000</v>
      </c>
      <c r="H122" s="70"/>
      <c r="I122" s="70">
        <f t="shared" si="46"/>
        <v>30000</v>
      </c>
      <c r="J122" s="70"/>
      <c r="K122" s="70">
        <f t="shared" si="47"/>
        <v>30000</v>
      </c>
      <c r="L122" s="70"/>
      <c r="M122" s="70">
        <f t="shared" si="48"/>
        <v>30000</v>
      </c>
      <c r="N122" s="70"/>
      <c r="O122" s="70">
        <f t="shared" si="49"/>
        <v>30000</v>
      </c>
    </row>
    <row r="123" spans="1:15" s="24" customFormat="1" ht="27.75" customHeight="1">
      <c r="A123" s="75"/>
      <c r="B123" s="71"/>
      <c r="C123" s="57">
        <v>4740</v>
      </c>
      <c r="D123" s="38" t="s">
        <v>232</v>
      </c>
      <c r="E123" s="70">
        <v>100</v>
      </c>
      <c r="F123" s="70"/>
      <c r="G123" s="70">
        <f t="shared" si="45"/>
        <v>100</v>
      </c>
      <c r="H123" s="70"/>
      <c r="I123" s="70">
        <f t="shared" si="46"/>
        <v>100</v>
      </c>
      <c r="J123" s="70"/>
      <c r="K123" s="70">
        <f t="shared" si="47"/>
        <v>100</v>
      </c>
      <c r="L123" s="70"/>
      <c r="M123" s="70">
        <f t="shared" si="48"/>
        <v>100</v>
      </c>
      <c r="N123" s="70"/>
      <c r="O123" s="70">
        <f t="shared" si="49"/>
        <v>100</v>
      </c>
    </row>
    <row r="124" spans="1:15" s="6" customFormat="1" ht="39.75" customHeight="1">
      <c r="A124" s="33">
        <v>751</v>
      </c>
      <c r="B124" s="34"/>
      <c r="C124" s="35"/>
      <c r="D124" s="36" t="s">
        <v>100</v>
      </c>
      <c r="E124" s="37">
        <f aca="true" t="shared" si="50" ref="E124:J124">SUM(E125)</f>
        <v>3910</v>
      </c>
      <c r="F124" s="37">
        <f t="shared" si="50"/>
        <v>0</v>
      </c>
      <c r="G124" s="37">
        <f t="shared" si="50"/>
        <v>3910</v>
      </c>
      <c r="H124" s="37">
        <f t="shared" si="50"/>
        <v>0</v>
      </c>
      <c r="I124" s="37">
        <f t="shared" si="50"/>
        <v>3910</v>
      </c>
      <c r="J124" s="37">
        <f t="shared" si="50"/>
        <v>0</v>
      </c>
      <c r="K124" s="37">
        <f>SUM(K125,K130)</f>
        <v>3910</v>
      </c>
      <c r="L124" s="37">
        <f>SUM(L125,L130)</f>
        <v>19932</v>
      </c>
      <c r="M124" s="37">
        <f>SUM(M125,M130)</f>
        <v>23842</v>
      </c>
      <c r="N124" s="37">
        <f>SUM(N125,N130)</f>
        <v>0</v>
      </c>
      <c r="O124" s="37">
        <f>SUM(O125,O130)</f>
        <v>23842</v>
      </c>
    </row>
    <row r="125" spans="1:15" s="24" customFormat="1" ht="26.25" customHeight="1">
      <c r="A125" s="75"/>
      <c r="B125" s="71">
        <v>75101</v>
      </c>
      <c r="C125" s="75"/>
      <c r="D125" s="38" t="s">
        <v>21</v>
      </c>
      <c r="E125" s="70">
        <f aca="true" t="shared" si="51" ref="E125:K125">SUM(E126:E129)</f>
        <v>3910</v>
      </c>
      <c r="F125" s="70">
        <f t="shared" si="51"/>
        <v>0</v>
      </c>
      <c r="G125" s="70">
        <f t="shared" si="51"/>
        <v>3910</v>
      </c>
      <c r="H125" s="70">
        <f t="shared" si="51"/>
        <v>0</v>
      </c>
      <c r="I125" s="70">
        <f t="shared" si="51"/>
        <v>3910</v>
      </c>
      <c r="J125" s="70">
        <f t="shared" si="51"/>
        <v>0</v>
      </c>
      <c r="K125" s="70">
        <f t="shared" si="51"/>
        <v>3910</v>
      </c>
      <c r="L125" s="70">
        <f>SUM(L126:L129)</f>
        <v>0</v>
      </c>
      <c r="M125" s="70">
        <f>SUM(M126:M129)</f>
        <v>3910</v>
      </c>
      <c r="N125" s="70">
        <f>SUM(N126:N129)</f>
        <v>0</v>
      </c>
      <c r="O125" s="70">
        <f>SUM(O126:O129)</f>
        <v>3910</v>
      </c>
    </row>
    <row r="126" spans="1:15" s="24" customFormat="1" ht="21" customHeight="1">
      <c r="A126" s="75"/>
      <c r="B126" s="71"/>
      <c r="C126" s="57">
        <v>4210</v>
      </c>
      <c r="D126" s="38" t="s">
        <v>94</v>
      </c>
      <c r="E126" s="70">
        <v>1410</v>
      </c>
      <c r="F126" s="70"/>
      <c r="G126" s="70">
        <f t="shared" si="45"/>
        <v>1410</v>
      </c>
      <c r="H126" s="70"/>
      <c r="I126" s="70">
        <f>SUM(G126:H126)</f>
        <v>1410</v>
      </c>
      <c r="J126" s="70"/>
      <c r="K126" s="70">
        <f>SUM(I126:J126)</f>
        <v>1410</v>
      </c>
      <c r="L126" s="70"/>
      <c r="M126" s="70">
        <f>SUM(K126:L126)</f>
        <v>1410</v>
      </c>
      <c r="N126" s="70"/>
      <c r="O126" s="70">
        <f>SUM(M126:N126)</f>
        <v>1410</v>
      </c>
    </row>
    <row r="127" spans="1:15" s="24" customFormat="1" ht="27" customHeight="1">
      <c r="A127" s="75"/>
      <c r="B127" s="71"/>
      <c r="C127" s="57">
        <v>4700</v>
      </c>
      <c r="D127" s="38" t="s">
        <v>246</v>
      </c>
      <c r="E127" s="70">
        <v>500</v>
      </c>
      <c r="F127" s="70"/>
      <c r="G127" s="70">
        <f t="shared" si="45"/>
        <v>500</v>
      </c>
      <c r="H127" s="70"/>
      <c r="I127" s="70">
        <f>SUM(G127:H127)</f>
        <v>500</v>
      </c>
      <c r="J127" s="70"/>
      <c r="K127" s="70">
        <f>SUM(I127:J127)</f>
        <v>500</v>
      </c>
      <c r="L127" s="70"/>
      <c r="M127" s="70">
        <f>SUM(K127:L127)</f>
        <v>500</v>
      </c>
      <c r="N127" s="70"/>
      <c r="O127" s="70">
        <f>SUM(M127:N127)</f>
        <v>500</v>
      </c>
    </row>
    <row r="128" spans="1:15" s="24" customFormat="1" ht="28.5" customHeight="1">
      <c r="A128" s="75"/>
      <c r="B128" s="71"/>
      <c r="C128" s="57">
        <v>4740</v>
      </c>
      <c r="D128" s="38" t="s">
        <v>232</v>
      </c>
      <c r="E128" s="70">
        <v>1000</v>
      </c>
      <c r="F128" s="70"/>
      <c r="G128" s="70">
        <f t="shared" si="45"/>
        <v>1000</v>
      </c>
      <c r="H128" s="70"/>
      <c r="I128" s="70">
        <f>SUM(G128:H128)</f>
        <v>1000</v>
      </c>
      <c r="J128" s="70"/>
      <c r="K128" s="70">
        <f>SUM(I128:J128)</f>
        <v>1000</v>
      </c>
      <c r="L128" s="70"/>
      <c r="M128" s="70">
        <f>SUM(K128:L128)</f>
        <v>1000</v>
      </c>
      <c r="N128" s="70"/>
      <c r="O128" s="70">
        <f>SUM(M128:N128)</f>
        <v>1000</v>
      </c>
    </row>
    <row r="129" spans="1:15" s="24" customFormat="1" ht="24">
      <c r="A129" s="75"/>
      <c r="B129" s="71"/>
      <c r="C129" s="57">
        <v>4750</v>
      </c>
      <c r="D129" s="38" t="s">
        <v>233</v>
      </c>
      <c r="E129" s="70">
        <v>1000</v>
      </c>
      <c r="F129" s="70"/>
      <c r="G129" s="70">
        <f t="shared" si="45"/>
        <v>1000</v>
      </c>
      <c r="H129" s="70"/>
      <c r="I129" s="70">
        <f>SUM(G129:H129)</f>
        <v>1000</v>
      </c>
      <c r="J129" s="70"/>
      <c r="K129" s="70">
        <f>SUM(I129:J129)</f>
        <v>1000</v>
      </c>
      <c r="L129" s="70"/>
      <c r="M129" s="70">
        <f>SUM(K129:L129)</f>
        <v>1000</v>
      </c>
      <c r="N129" s="70"/>
      <c r="O129" s="70">
        <f>SUM(M129:N129)</f>
        <v>1000</v>
      </c>
    </row>
    <row r="130" spans="1:15" s="24" customFormat="1" ht="21" customHeight="1">
      <c r="A130" s="75"/>
      <c r="B130" s="71">
        <v>75113</v>
      </c>
      <c r="C130" s="57"/>
      <c r="D130" s="38" t="s">
        <v>346</v>
      </c>
      <c r="E130" s="70"/>
      <c r="F130" s="70"/>
      <c r="G130" s="70"/>
      <c r="H130" s="70"/>
      <c r="I130" s="70"/>
      <c r="J130" s="70"/>
      <c r="K130" s="70">
        <f>SUM(K131:K138)</f>
        <v>0</v>
      </c>
      <c r="L130" s="70">
        <f>SUM(L131:L138)</f>
        <v>19932</v>
      </c>
      <c r="M130" s="70">
        <f>SUM(M131:M138)</f>
        <v>19932</v>
      </c>
      <c r="N130" s="70">
        <f>SUM(N131:N138)</f>
        <v>0</v>
      </c>
      <c r="O130" s="70">
        <f>SUM(O131:O138)</f>
        <v>19932</v>
      </c>
    </row>
    <row r="131" spans="1:17" s="24" customFormat="1" ht="21" customHeight="1">
      <c r="A131" s="75"/>
      <c r="B131" s="71"/>
      <c r="C131" s="57">
        <v>4110</v>
      </c>
      <c r="D131" s="38" t="s">
        <v>88</v>
      </c>
      <c r="E131" s="70"/>
      <c r="F131" s="70"/>
      <c r="G131" s="70"/>
      <c r="H131" s="70"/>
      <c r="I131" s="70"/>
      <c r="J131" s="70"/>
      <c r="K131" s="70">
        <v>0</v>
      </c>
      <c r="L131" s="70">
        <v>72</v>
      </c>
      <c r="M131" s="70">
        <f aca="true" t="shared" si="52" ref="M131:M138">SUM(K131:L131)</f>
        <v>72</v>
      </c>
      <c r="N131" s="70"/>
      <c r="O131" s="70">
        <f aca="true" t="shared" si="53" ref="O131:O138">SUM(M131:N131)</f>
        <v>72</v>
      </c>
      <c r="P131" s="98"/>
      <c r="Q131" s="98"/>
    </row>
    <row r="132" spans="1:17" s="24" customFormat="1" ht="21" customHeight="1">
      <c r="A132" s="75"/>
      <c r="B132" s="71"/>
      <c r="C132" s="57">
        <v>4120</v>
      </c>
      <c r="D132" s="38" t="s">
        <v>224</v>
      </c>
      <c r="E132" s="70"/>
      <c r="F132" s="70"/>
      <c r="G132" s="70"/>
      <c r="H132" s="70"/>
      <c r="I132" s="70"/>
      <c r="J132" s="70"/>
      <c r="K132" s="70">
        <v>0</v>
      </c>
      <c r="L132" s="70">
        <v>428</v>
      </c>
      <c r="M132" s="70">
        <f t="shared" si="52"/>
        <v>428</v>
      </c>
      <c r="N132" s="70"/>
      <c r="O132" s="70">
        <f t="shared" si="53"/>
        <v>428</v>
      </c>
      <c r="P132" s="98"/>
      <c r="Q132" s="98"/>
    </row>
    <row r="133" spans="1:17" s="24" customFormat="1" ht="21" customHeight="1">
      <c r="A133" s="75"/>
      <c r="B133" s="71"/>
      <c r="C133" s="57">
        <v>4170</v>
      </c>
      <c r="D133" s="38" t="s">
        <v>199</v>
      </c>
      <c r="E133" s="70"/>
      <c r="F133" s="70"/>
      <c r="G133" s="70"/>
      <c r="H133" s="70"/>
      <c r="I133" s="70"/>
      <c r="J133" s="70"/>
      <c r="K133" s="70">
        <v>0</v>
      </c>
      <c r="L133" s="70">
        <v>6580</v>
      </c>
      <c r="M133" s="70">
        <f t="shared" si="52"/>
        <v>6580</v>
      </c>
      <c r="N133" s="70"/>
      <c r="O133" s="70">
        <f t="shared" si="53"/>
        <v>6580</v>
      </c>
      <c r="P133" s="98"/>
      <c r="Q133" s="98"/>
    </row>
    <row r="134" spans="1:15" s="24" customFormat="1" ht="24" customHeight="1">
      <c r="A134" s="75"/>
      <c r="B134" s="71"/>
      <c r="C134" s="57">
        <v>4210</v>
      </c>
      <c r="D134" s="38" t="s">
        <v>94</v>
      </c>
      <c r="E134" s="70"/>
      <c r="F134" s="70"/>
      <c r="G134" s="70"/>
      <c r="H134" s="70"/>
      <c r="I134" s="70"/>
      <c r="J134" s="70"/>
      <c r="K134" s="70">
        <v>0</v>
      </c>
      <c r="L134" s="70">
        <v>7844</v>
      </c>
      <c r="M134" s="70">
        <f t="shared" si="52"/>
        <v>7844</v>
      </c>
      <c r="N134" s="70"/>
      <c r="O134" s="70">
        <f t="shared" si="53"/>
        <v>7844</v>
      </c>
    </row>
    <row r="135" spans="1:15" s="24" customFormat="1" ht="24" customHeight="1">
      <c r="A135" s="75"/>
      <c r="B135" s="71"/>
      <c r="C135" s="57">
        <v>4300</v>
      </c>
      <c r="D135" s="38" t="s">
        <v>81</v>
      </c>
      <c r="E135" s="70"/>
      <c r="F135" s="70"/>
      <c r="G135" s="70"/>
      <c r="H135" s="70"/>
      <c r="I135" s="70"/>
      <c r="J135" s="70"/>
      <c r="K135" s="70">
        <v>0</v>
      </c>
      <c r="L135" s="70">
        <v>2037</v>
      </c>
      <c r="M135" s="70">
        <f t="shared" si="52"/>
        <v>2037</v>
      </c>
      <c r="N135" s="70"/>
      <c r="O135" s="70">
        <f t="shared" si="53"/>
        <v>2037</v>
      </c>
    </row>
    <row r="136" spans="1:15" s="24" customFormat="1" ht="24" customHeight="1">
      <c r="A136" s="75"/>
      <c r="B136" s="71"/>
      <c r="C136" s="57">
        <v>4410</v>
      </c>
      <c r="D136" s="38" t="s">
        <v>92</v>
      </c>
      <c r="E136" s="70"/>
      <c r="F136" s="70"/>
      <c r="G136" s="70"/>
      <c r="H136" s="70"/>
      <c r="I136" s="70"/>
      <c r="J136" s="70"/>
      <c r="K136" s="70">
        <v>0</v>
      </c>
      <c r="L136" s="70">
        <v>2500</v>
      </c>
      <c r="M136" s="70">
        <f t="shared" si="52"/>
        <v>2500</v>
      </c>
      <c r="N136" s="70"/>
      <c r="O136" s="70">
        <f t="shared" si="53"/>
        <v>2500</v>
      </c>
    </row>
    <row r="137" spans="1:15" s="24" customFormat="1" ht="29.25" customHeight="1">
      <c r="A137" s="75"/>
      <c r="B137" s="71"/>
      <c r="C137" s="57">
        <v>4740</v>
      </c>
      <c r="D137" s="38" t="s">
        <v>232</v>
      </c>
      <c r="E137" s="70"/>
      <c r="F137" s="70"/>
      <c r="G137" s="70"/>
      <c r="H137" s="70"/>
      <c r="I137" s="70"/>
      <c r="J137" s="70"/>
      <c r="K137" s="70">
        <v>0</v>
      </c>
      <c r="L137" s="70">
        <v>238</v>
      </c>
      <c r="M137" s="70">
        <f t="shared" si="52"/>
        <v>238</v>
      </c>
      <c r="N137" s="70"/>
      <c r="O137" s="70">
        <f t="shared" si="53"/>
        <v>238</v>
      </c>
    </row>
    <row r="138" spans="1:15" s="24" customFormat="1" ht="25.5" customHeight="1">
      <c r="A138" s="75"/>
      <c r="B138" s="71"/>
      <c r="C138" s="57">
        <v>4750</v>
      </c>
      <c r="D138" s="38" t="s">
        <v>233</v>
      </c>
      <c r="E138" s="70"/>
      <c r="F138" s="70"/>
      <c r="G138" s="70"/>
      <c r="H138" s="70"/>
      <c r="I138" s="70"/>
      <c r="J138" s="70"/>
      <c r="K138" s="70">
        <v>0</v>
      </c>
      <c r="L138" s="70">
        <v>233</v>
      </c>
      <c r="M138" s="70">
        <f t="shared" si="52"/>
        <v>233</v>
      </c>
      <c r="N138" s="70"/>
      <c r="O138" s="70">
        <f t="shared" si="53"/>
        <v>233</v>
      </c>
    </row>
    <row r="139" spans="1:15" s="6" customFormat="1" ht="24.75" customHeight="1">
      <c r="A139" s="33" t="s">
        <v>22</v>
      </c>
      <c r="B139" s="34"/>
      <c r="C139" s="35"/>
      <c r="D139" s="36" t="s">
        <v>23</v>
      </c>
      <c r="E139" s="37">
        <f aca="true" t="shared" si="54" ref="E139:K139">SUM(E140,E155,E173,)</f>
        <v>448253</v>
      </c>
      <c r="F139" s="37">
        <f t="shared" si="54"/>
        <v>150000</v>
      </c>
      <c r="G139" s="37">
        <f t="shared" si="54"/>
        <v>598253</v>
      </c>
      <c r="H139" s="37">
        <f t="shared" si="54"/>
        <v>0</v>
      </c>
      <c r="I139" s="37">
        <f t="shared" si="54"/>
        <v>598253</v>
      </c>
      <c r="J139" s="37">
        <f t="shared" si="54"/>
        <v>0</v>
      </c>
      <c r="K139" s="37">
        <f t="shared" si="54"/>
        <v>598253</v>
      </c>
      <c r="L139" s="37">
        <f>SUM(L140,L155,L173,)</f>
        <v>0</v>
      </c>
      <c r="M139" s="37">
        <f>SUM(M140,M155,M173,)</f>
        <v>598253</v>
      </c>
      <c r="N139" s="37">
        <f>SUM(N140,N155,N173,)</f>
        <v>0</v>
      </c>
      <c r="O139" s="37">
        <f>SUM(O140,O155,O173,)</f>
        <v>598253</v>
      </c>
    </row>
    <row r="140" spans="1:15" s="24" customFormat="1" ht="21.75" customHeight="1">
      <c r="A140" s="75"/>
      <c r="B140" s="71" t="s">
        <v>101</v>
      </c>
      <c r="C140" s="75"/>
      <c r="D140" s="38" t="s">
        <v>102</v>
      </c>
      <c r="E140" s="70">
        <f>SUM(E141:E153)</f>
        <v>184000</v>
      </c>
      <c r="F140" s="70">
        <f>SUM(F141:F153)</f>
        <v>0</v>
      </c>
      <c r="G140" s="70">
        <f>SUM(G141:G153)</f>
        <v>184000</v>
      </c>
      <c r="H140" s="70">
        <f>SUM(H141:H153)</f>
        <v>0</v>
      </c>
      <c r="I140" s="70">
        <f aca="true" t="shared" si="55" ref="I140:O140">SUM(I141:I154)</f>
        <v>184000</v>
      </c>
      <c r="J140" s="70">
        <f t="shared" si="55"/>
        <v>0</v>
      </c>
      <c r="K140" s="70">
        <f t="shared" si="55"/>
        <v>184000</v>
      </c>
      <c r="L140" s="70">
        <f t="shared" si="55"/>
        <v>0</v>
      </c>
      <c r="M140" s="70">
        <f t="shared" si="55"/>
        <v>184000</v>
      </c>
      <c r="N140" s="70">
        <f t="shared" si="55"/>
        <v>0</v>
      </c>
      <c r="O140" s="70">
        <f t="shared" si="55"/>
        <v>184000</v>
      </c>
    </row>
    <row r="141" spans="1:15" s="24" customFormat="1" ht="36">
      <c r="A141" s="75"/>
      <c r="B141" s="71"/>
      <c r="C141" s="75">
        <v>2820</v>
      </c>
      <c r="D141" s="38" t="s">
        <v>254</v>
      </c>
      <c r="E141" s="70">
        <v>10000</v>
      </c>
      <c r="F141" s="70"/>
      <c r="G141" s="70">
        <f t="shared" si="45"/>
        <v>10000</v>
      </c>
      <c r="H141" s="70"/>
      <c r="I141" s="70">
        <f aca="true" t="shared" si="56" ref="I141:I153">SUM(G141:H141)</f>
        <v>10000</v>
      </c>
      <c r="J141" s="70"/>
      <c r="K141" s="70">
        <f aca="true" t="shared" si="57" ref="K141:K154">SUM(I141:J141)</f>
        <v>10000</v>
      </c>
      <c r="L141" s="70"/>
      <c r="M141" s="70">
        <f aca="true" t="shared" si="58" ref="M141:M154">SUM(K141:L141)</f>
        <v>10000</v>
      </c>
      <c r="N141" s="70"/>
      <c r="O141" s="70">
        <f aca="true" t="shared" si="59" ref="O141:O154">SUM(M141:N141)</f>
        <v>10000</v>
      </c>
    </row>
    <row r="142" spans="1:15" s="24" customFormat="1" ht="24" customHeight="1">
      <c r="A142" s="75"/>
      <c r="B142" s="71"/>
      <c r="C142" s="75">
        <v>3020</v>
      </c>
      <c r="D142" s="38" t="s">
        <v>197</v>
      </c>
      <c r="E142" s="70">
        <v>19350</v>
      </c>
      <c r="F142" s="70"/>
      <c r="G142" s="70">
        <f t="shared" si="45"/>
        <v>19350</v>
      </c>
      <c r="H142" s="70"/>
      <c r="I142" s="70">
        <f t="shared" si="56"/>
        <v>19350</v>
      </c>
      <c r="J142" s="70"/>
      <c r="K142" s="70">
        <f t="shared" si="57"/>
        <v>19350</v>
      </c>
      <c r="L142" s="70"/>
      <c r="M142" s="70">
        <f t="shared" si="58"/>
        <v>19350</v>
      </c>
      <c r="N142" s="70"/>
      <c r="O142" s="70">
        <f t="shared" si="59"/>
        <v>19350</v>
      </c>
    </row>
    <row r="143" spans="1:15" s="24" customFormat="1" ht="21" customHeight="1">
      <c r="A143" s="75"/>
      <c r="B143" s="71"/>
      <c r="C143" s="75">
        <v>3030</v>
      </c>
      <c r="D143" s="38" t="s">
        <v>91</v>
      </c>
      <c r="E143" s="70">
        <v>15000</v>
      </c>
      <c r="F143" s="70"/>
      <c r="G143" s="70">
        <f t="shared" si="45"/>
        <v>15000</v>
      </c>
      <c r="H143" s="70"/>
      <c r="I143" s="70">
        <f t="shared" si="56"/>
        <v>15000</v>
      </c>
      <c r="J143" s="70"/>
      <c r="K143" s="70">
        <f t="shared" si="57"/>
        <v>15000</v>
      </c>
      <c r="L143" s="70"/>
      <c r="M143" s="70">
        <f t="shared" si="58"/>
        <v>15000</v>
      </c>
      <c r="N143" s="70"/>
      <c r="O143" s="70">
        <f t="shared" si="59"/>
        <v>15000</v>
      </c>
    </row>
    <row r="144" spans="1:17" s="24" customFormat="1" ht="21" customHeight="1">
      <c r="A144" s="75"/>
      <c r="B144" s="71"/>
      <c r="C144" s="75">
        <v>4110</v>
      </c>
      <c r="D144" s="38" t="s">
        <v>88</v>
      </c>
      <c r="E144" s="70">
        <v>4550</v>
      </c>
      <c r="F144" s="70"/>
      <c r="G144" s="70">
        <f t="shared" si="45"/>
        <v>4550</v>
      </c>
      <c r="H144" s="70"/>
      <c r="I144" s="70">
        <f t="shared" si="56"/>
        <v>4550</v>
      </c>
      <c r="J144" s="70"/>
      <c r="K144" s="70">
        <f t="shared" si="57"/>
        <v>4550</v>
      </c>
      <c r="L144" s="70"/>
      <c r="M144" s="70">
        <f t="shared" si="58"/>
        <v>4550</v>
      </c>
      <c r="N144" s="70"/>
      <c r="O144" s="70">
        <f t="shared" si="59"/>
        <v>4550</v>
      </c>
      <c r="P144" s="98"/>
      <c r="Q144" s="98"/>
    </row>
    <row r="145" spans="1:17" s="24" customFormat="1" ht="21" customHeight="1">
      <c r="A145" s="75"/>
      <c r="B145" s="71"/>
      <c r="C145" s="75">
        <v>4120</v>
      </c>
      <c r="D145" s="38" t="s">
        <v>224</v>
      </c>
      <c r="E145" s="70">
        <v>700</v>
      </c>
      <c r="F145" s="70"/>
      <c r="G145" s="70">
        <f t="shared" si="45"/>
        <v>700</v>
      </c>
      <c r="H145" s="70"/>
      <c r="I145" s="70">
        <f t="shared" si="56"/>
        <v>700</v>
      </c>
      <c r="J145" s="70"/>
      <c r="K145" s="70">
        <f t="shared" si="57"/>
        <v>700</v>
      </c>
      <c r="L145" s="70"/>
      <c r="M145" s="70">
        <f t="shared" si="58"/>
        <v>700</v>
      </c>
      <c r="N145" s="70"/>
      <c r="O145" s="70">
        <f t="shared" si="59"/>
        <v>700</v>
      </c>
      <c r="P145" s="98"/>
      <c r="Q145" s="98"/>
    </row>
    <row r="146" spans="1:17" s="24" customFormat="1" ht="21" customHeight="1">
      <c r="A146" s="75"/>
      <c r="B146" s="71"/>
      <c r="C146" s="57">
        <v>4170</v>
      </c>
      <c r="D146" s="38" t="s">
        <v>199</v>
      </c>
      <c r="E146" s="70">
        <v>28500</v>
      </c>
      <c r="F146" s="70"/>
      <c r="G146" s="70">
        <f t="shared" si="45"/>
        <v>28500</v>
      </c>
      <c r="H146" s="70"/>
      <c r="I146" s="70">
        <f t="shared" si="56"/>
        <v>28500</v>
      </c>
      <c r="J146" s="70"/>
      <c r="K146" s="70">
        <f t="shared" si="57"/>
        <v>28500</v>
      </c>
      <c r="L146" s="70"/>
      <c r="M146" s="70">
        <f t="shared" si="58"/>
        <v>28500</v>
      </c>
      <c r="N146" s="70"/>
      <c r="O146" s="70">
        <f t="shared" si="59"/>
        <v>28500</v>
      </c>
      <c r="P146" s="98"/>
      <c r="Q146" s="98"/>
    </row>
    <row r="147" spans="1:15" s="24" customFormat="1" ht="21" customHeight="1">
      <c r="A147" s="75"/>
      <c r="B147" s="71"/>
      <c r="C147" s="57">
        <v>4210</v>
      </c>
      <c r="D147" s="38" t="s">
        <v>94</v>
      </c>
      <c r="E147" s="70">
        <f>9000+43500</f>
        <v>52500</v>
      </c>
      <c r="F147" s="70"/>
      <c r="G147" s="70">
        <f t="shared" si="45"/>
        <v>52500</v>
      </c>
      <c r="H147" s="70"/>
      <c r="I147" s="70">
        <f t="shared" si="56"/>
        <v>52500</v>
      </c>
      <c r="J147" s="70">
        <v>-170</v>
      </c>
      <c r="K147" s="70">
        <f t="shared" si="57"/>
        <v>52330</v>
      </c>
      <c r="L147" s="70"/>
      <c r="M147" s="70">
        <f t="shared" si="58"/>
        <v>52330</v>
      </c>
      <c r="N147" s="70"/>
      <c r="O147" s="70">
        <f t="shared" si="59"/>
        <v>52330</v>
      </c>
    </row>
    <row r="148" spans="1:15" s="24" customFormat="1" ht="21" customHeight="1">
      <c r="A148" s="75"/>
      <c r="B148" s="71"/>
      <c r="C148" s="57">
        <v>4260</v>
      </c>
      <c r="D148" s="38" t="s">
        <v>97</v>
      </c>
      <c r="E148" s="70">
        <v>15000</v>
      </c>
      <c r="F148" s="70"/>
      <c r="G148" s="70">
        <f t="shared" si="45"/>
        <v>15000</v>
      </c>
      <c r="H148" s="70"/>
      <c r="I148" s="70">
        <f t="shared" si="56"/>
        <v>15000</v>
      </c>
      <c r="J148" s="70"/>
      <c r="K148" s="70">
        <f t="shared" si="57"/>
        <v>15000</v>
      </c>
      <c r="L148" s="70"/>
      <c r="M148" s="70">
        <f t="shared" si="58"/>
        <v>15000</v>
      </c>
      <c r="N148" s="70"/>
      <c r="O148" s="70">
        <f t="shared" si="59"/>
        <v>15000</v>
      </c>
    </row>
    <row r="149" spans="1:15" s="24" customFormat="1" ht="21" customHeight="1">
      <c r="A149" s="75"/>
      <c r="B149" s="71"/>
      <c r="C149" s="57">
        <v>4270</v>
      </c>
      <c r="D149" s="38" t="s">
        <v>80</v>
      </c>
      <c r="E149" s="70">
        <v>13000</v>
      </c>
      <c r="F149" s="70"/>
      <c r="G149" s="70">
        <f t="shared" si="45"/>
        <v>13000</v>
      </c>
      <c r="H149" s="70"/>
      <c r="I149" s="70">
        <f t="shared" si="56"/>
        <v>13000</v>
      </c>
      <c r="J149" s="70"/>
      <c r="K149" s="70">
        <f t="shared" si="57"/>
        <v>13000</v>
      </c>
      <c r="L149" s="70"/>
      <c r="M149" s="70">
        <f t="shared" si="58"/>
        <v>13000</v>
      </c>
      <c r="N149" s="70"/>
      <c r="O149" s="70">
        <f t="shared" si="59"/>
        <v>13000</v>
      </c>
    </row>
    <row r="150" spans="1:15" s="24" customFormat="1" ht="21" customHeight="1">
      <c r="A150" s="75"/>
      <c r="B150" s="71"/>
      <c r="C150" s="57">
        <v>4280</v>
      </c>
      <c r="D150" s="38" t="s">
        <v>223</v>
      </c>
      <c r="E150" s="70">
        <v>6000</v>
      </c>
      <c r="F150" s="70"/>
      <c r="G150" s="70">
        <f t="shared" si="45"/>
        <v>6000</v>
      </c>
      <c r="H150" s="70"/>
      <c r="I150" s="70">
        <f t="shared" si="56"/>
        <v>6000</v>
      </c>
      <c r="J150" s="70"/>
      <c r="K150" s="70">
        <f t="shared" si="57"/>
        <v>6000</v>
      </c>
      <c r="L150" s="70"/>
      <c r="M150" s="70">
        <f t="shared" si="58"/>
        <v>6000</v>
      </c>
      <c r="N150" s="70"/>
      <c r="O150" s="70">
        <f t="shared" si="59"/>
        <v>6000</v>
      </c>
    </row>
    <row r="151" spans="1:15" s="24" customFormat="1" ht="21" customHeight="1">
      <c r="A151" s="75"/>
      <c r="B151" s="71"/>
      <c r="C151" s="57">
        <v>4300</v>
      </c>
      <c r="D151" s="38" t="s">
        <v>81</v>
      </c>
      <c r="E151" s="70">
        <v>5400</v>
      </c>
      <c r="F151" s="70"/>
      <c r="G151" s="70">
        <f t="shared" si="45"/>
        <v>5400</v>
      </c>
      <c r="H151" s="70"/>
      <c r="I151" s="70">
        <f t="shared" si="56"/>
        <v>5400</v>
      </c>
      <c r="J151" s="70"/>
      <c r="K151" s="70">
        <f t="shared" si="57"/>
        <v>5400</v>
      </c>
      <c r="L151" s="70"/>
      <c r="M151" s="70">
        <f t="shared" si="58"/>
        <v>5400</v>
      </c>
      <c r="N151" s="70"/>
      <c r="O151" s="70">
        <f t="shared" si="59"/>
        <v>5400</v>
      </c>
    </row>
    <row r="152" spans="1:15" s="24" customFormat="1" ht="21" customHeight="1">
      <c r="A152" s="75"/>
      <c r="B152" s="71"/>
      <c r="C152" s="57">
        <v>4410</v>
      </c>
      <c r="D152" s="38" t="s">
        <v>92</v>
      </c>
      <c r="E152" s="70">
        <v>4000</v>
      </c>
      <c r="F152" s="70"/>
      <c r="G152" s="70">
        <f t="shared" si="45"/>
        <v>4000</v>
      </c>
      <c r="H152" s="70"/>
      <c r="I152" s="70">
        <f t="shared" si="56"/>
        <v>4000</v>
      </c>
      <c r="J152" s="70"/>
      <c r="K152" s="70">
        <f t="shared" si="57"/>
        <v>4000</v>
      </c>
      <c r="L152" s="70"/>
      <c r="M152" s="70">
        <f t="shared" si="58"/>
        <v>4000</v>
      </c>
      <c r="N152" s="70"/>
      <c r="O152" s="70">
        <f t="shared" si="59"/>
        <v>4000</v>
      </c>
    </row>
    <row r="153" spans="1:15" s="24" customFormat="1" ht="21" customHeight="1">
      <c r="A153" s="75"/>
      <c r="B153" s="71"/>
      <c r="C153" s="57">
        <v>4430</v>
      </c>
      <c r="D153" s="38" t="s">
        <v>96</v>
      </c>
      <c r="E153" s="70">
        <v>10000</v>
      </c>
      <c r="F153" s="70"/>
      <c r="G153" s="70">
        <f t="shared" si="45"/>
        <v>10000</v>
      </c>
      <c r="H153" s="70"/>
      <c r="I153" s="70">
        <f t="shared" si="56"/>
        <v>10000</v>
      </c>
      <c r="J153" s="70"/>
      <c r="K153" s="70">
        <f t="shared" si="57"/>
        <v>10000</v>
      </c>
      <c r="L153" s="70"/>
      <c r="M153" s="70">
        <f t="shared" si="58"/>
        <v>10000</v>
      </c>
      <c r="N153" s="70"/>
      <c r="O153" s="70">
        <f t="shared" si="59"/>
        <v>10000</v>
      </c>
    </row>
    <row r="154" spans="1:15" s="24" customFormat="1" ht="24" customHeight="1">
      <c r="A154" s="75"/>
      <c r="B154" s="71"/>
      <c r="C154" s="57">
        <v>6050</v>
      </c>
      <c r="D154" s="11" t="s">
        <v>75</v>
      </c>
      <c r="E154" s="70"/>
      <c r="F154" s="70"/>
      <c r="G154" s="70"/>
      <c r="H154" s="70"/>
      <c r="I154" s="70">
        <v>0</v>
      </c>
      <c r="J154" s="70">
        <v>170</v>
      </c>
      <c r="K154" s="70">
        <f t="shared" si="57"/>
        <v>170</v>
      </c>
      <c r="L154" s="70"/>
      <c r="M154" s="70">
        <f t="shared" si="58"/>
        <v>170</v>
      </c>
      <c r="N154" s="70"/>
      <c r="O154" s="70">
        <f t="shared" si="59"/>
        <v>170</v>
      </c>
    </row>
    <row r="155" spans="1:15" s="24" customFormat="1" ht="21" customHeight="1">
      <c r="A155" s="75"/>
      <c r="B155" s="71">
        <v>75416</v>
      </c>
      <c r="C155" s="75"/>
      <c r="D155" s="38" t="s">
        <v>25</v>
      </c>
      <c r="E155" s="70">
        <f aca="true" t="shared" si="60" ref="E155:K155">SUM(E156:E172)</f>
        <v>259253</v>
      </c>
      <c r="F155" s="70">
        <f t="shared" si="60"/>
        <v>0</v>
      </c>
      <c r="G155" s="70">
        <f t="shared" si="60"/>
        <v>259253</v>
      </c>
      <c r="H155" s="70">
        <f t="shared" si="60"/>
        <v>0</v>
      </c>
      <c r="I155" s="70">
        <f t="shared" si="60"/>
        <v>259253</v>
      </c>
      <c r="J155" s="70">
        <f t="shared" si="60"/>
        <v>0</v>
      </c>
      <c r="K155" s="70">
        <f t="shared" si="60"/>
        <v>259253</v>
      </c>
      <c r="L155" s="70">
        <f>SUM(L156:L172)</f>
        <v>0</v>
      </c>
      <c r="M155" s="70">
        <f>SUM(M156:M172)</f>
        <v>259253</v>
      </c>
      <c r="N155" s="70">
        <f>SUM(N156:N172)</f>
        <v>0</v>
      </c>
      <c r="O155" s="70">
        <f>SUM(O156:O172)</f>
        <v>259253</v>
      </c>
    </row>
    <row r="156" spans="1:15" s="24" customFormat="1" ht="27.75" customHeight="1">
      <c r="A156" s="75"/>
      <c r="B156" s="71"/>
      <c r="C156" s="57">
        <v>3020</v>
      </c>
      <c r="D156" s="38" t="s">
        <v>197</v>
      </c>
      <c r="E156" s="70">
        <v>6045</v>
      </c>
      <c r="F156" s="70"/>
      <c r="G156" s="70">
        <f t="shared" si="45"/>
        <v>6045</v>
      </c>
      <c r="H156" s="70"/>
      <c r="I156" s="70">
        <f aca="true" t="shared" si="61" ref="I156:I172">SUM(G156:H156)</f>
        <v>6045</v>
      </c>
      <c r="J156" s="70"/>
      <c r="K156" s="70">
        <f aca="true" t="shared" si="62" ref="K156:K172">SUM(I156:J156)</f>
        <v>6045</v>
      </c>
      <c r="L156" s="70"/>
      <c r="M156" s="70">
        <f aca="true" t="shared" si="63" ref="M156:M172">SUM(K156:L156)</f>
        <v>6045</v>
      </c>
      <c r="N156" s="70"/>
      <c r="O156" s="70">
        <f aca="true" t="shared" si="64" ref="O156:O172">SUM(M156:N156)</f>
        <v>6045</v>
      </c>
    </row>
    <row r="157" spans="1:17" s="24" customFormat="1" ht="21" customHeight="1">
      <c r="A157" s="75"/>
      <c r="B157" s="71"/>
      <c r="C157" s="57">
        <v>4010</v>
      </c>
      <c r="D157" s="38" t="s">
        <v>86</v>
      </c>
      <c r="E157" s="70">
        <v>176055</v>
      </c>
      <c r="F157" s="70"/>
      <c r="G157" s="70">
        <f t="shared" si="45"/>
        <v>176055</v>
      </c>
      <c r="H157" s="70"/>
      <c r="I157" s="70">
        <f t="shared" si="61"/>
        <v>176055</v>
      </c>
      <c r="J157" s="70"/>
      <c r="K157" s="70">
        <f t="shared" si="62"/>
        <v>176055</v>
      </c>
      <c r="L157" s="70"/>
      <c r="M157" s="70">
        <f t="shared" si="63"/>
        <v>176055</v>
      </c>
      <c r="N157" s="70"/>
      <c r="O157" s="70">
        <f t="shared" si="64"/>
        <v>176055</v>
      </c>
      <c r="P157" s="98"/>
      <c r="Q157" s="98"/>
    </row>
    <row r="158" spans="1:17" s="24" customFormat="1" ht="21" customHeight="1">
      <c r="A158" s="75"/>
      <c r="B158" s="71"/>
      <c r="C158" s="57">
        <v>4040</v>
      </c>
      <c r="D158" s="38" t="s">
        <v>87</v>
      </c>
      <c r="E158" s="70">
        <v>10000</v>
      </c>
      <c r="F158" s="70"/>
      <c r="G158" s="70">
        <f t="shared" si="45"/>
        <v>10000</v>
      </c>
      <c r="H158" s="70"/>
      <c r="I158" s="70">
        <f t="shared" si="61"/>
        <v>10000</v>
      </c>
      <c r="J158" s="70"/>
      <c r="K158" s="70">
        <f t="shared" si="62"/>
        <v>10000</v>
      </c>
      <c r="L158" s="70"/>
      <c r="M158" s="70">
        <f t="shared" si="63"/>
        <v>10000</v>
      </c>
      <c r="N158" s="70"/>
      <c r="O158" s="70">
        <f t="shared" si="64"/>
        <v>10000</v>
      </c>
      <c r="P158" s="98"/>
      <c r="Q158" s="98"/>
    </row>
    <row r="159" spans="1:17" s="24" customFormat="1" ht="21" customHeight="1">
      <c r="A159" s="75"/>
      <c r="B159" s="71"/>
      <c r="C159" s="57">
        <v>4110</v>
      </c>
      <c r="D159" s="38" t="s">
        <v>88</v>
      </c>
      <c r="E159" s="70">
        <v>28487</v>
      </c>
      <c r="F159" s="70"/>
      <c r="G159" s="70">
        <f t="shared" si="45"/>
        <v>28487</v>
      </c>
      <c r="H159" s="70"/>
      <c r="I159" s="70">
        <f t="shared" si="61"/>
        <v>28487</v>
      </c>
      <c r="J159" s="70"/>
      <c r="K159" s="70">
        <f t="shared" si="62"/>
        <v>28487</v>
      </c>
      <c r="L159" s="70"/>
      <c r="M159" s="70">
        <f t="shared" si="63"/>
        <v>28487</v>
      </c>
      <c r="N159" s="70"/>
      <c r="O159" s="70">
        <f t="shared" si="64"/>
        <v>28487</v>
      </c>
      <c r="P159" s="98"/>
      <c r="Q159" s="98"/>
    </row>
    <row r="160" spans="1:17" s="24" customFormat="1" ht="21" customHeight="1">
      <c r="A160" s="75"/>
      <c r="B160" s="71"/>
      <c r="C160" s="57">
        <v>4120</v>
      </c>
      <c r="D160" s="38" t="s">
        <v>89</v>
      </c>
      <c r="E160" s="70">
        <v>4491</v>
      </c>
      <c r="F160" s="70"/>
      <c r="G160" s="70">
        <f t="shared" si="45"/>
        <v>4491</v>
      </c>
      <c r="H160" s="70"/>
      <c r="I160" s="70">
        <f t="shared" si="61"/>
        <v>4491</v>
      </c>
      <c r="J160" s="70"/>
      <c r="K160" s="70">
        <f t="shared" si="62"/>
        <v>4491</v>
      </c>
      <c r="L160" s="70"/>
      <c r="M160" s="70">
        <f t="shared" si="63"/>
        <v>4491</v>
      </c>
      <c r="N160" s="70"/>
      <c r="O160" s="70">
        <f t="shared" si="64"/>
        <v>4491</v>
      </c>
      <c r="P160" s="98"/>
      <c r="Q160" s="98"/>
    </row>
    <row r="161" spans="1:15" s="24" customFormat="1" ht="21" customHeight="1">
      <c r="A161" s="75"/>
      <c r="B161" s="71"/>
      <c r="C161" s="57">
        <v>4210</v>
      </c>
      <c r="D161" s="38" t="s">
        <v>94</v>
      </c>
      <c r="E161" s="70">
        <v>12900</v>
      </c>
      <c r="F161" s="70"/>
      <c r="G161" s="70">
        <f t="shared" si="45"/>
        <v>12900</v>
      </c>
      <c r="H161" s="70"/>
      <c r="I161" s="70">
        <f t="shared" si="61"/>
        <v>12900</v>
      </c>
      <c r="J161" s="70"/>
      <c r="K161" s="70">
        <f t="shared" si="62"/>
        <v>12900</v>
      </c>
      <c r="L161" s="70"/>
      <c r="M161" s="70">
        <f t="shared" si="63"/>
        <v>12900</v>
      </c>
      <c r="N161" s="70"/>
      <c r="O161" s="70">
        <f t="shared" si="64"/>
        <v>12900</v>
      </c>
    </row>
    <row r="162" spans="1:15" s="24" customFormat="1" ht="21" customHeight="1">
      <c r="A162" s="75"/>
      <c r="B162" s="71"/>
      <c r="C162" s="57">
        <v>4270</v>
      </c>
      <c r="D162" s="38" t="s">
        <v>80</v>
      </c>
      <c r="E162" s="70">
        <v>2000</v>
      </c>
      <c r="F162" s="70"/>
      <c r="G162" s="70">
        <f t="shared" si="45"/>
        <v>2000</v>
      </c>
      <c r="H162" s="70"/>
      <c r="I162" s="70">
        <f t="shared" si="61"/>
        <v>2000</v>
      </c>
      <c r="J162" s="70"/>
      <c r="K162" s="70">
        <f t="shared" si="62"/>
        <v>2000</v>
      </c>
      <c r="L162" s="70"/>
      <c r="M162" s="70">
        <f t="shared" si="63"/>
        <v>2000</v>
      </c>
      <c r="N162" s="70"/>
      <c r="O162" s="70">
        <f t="shared" si="64"/>
        <v>2000</v>
      </c>
    </row>
    <row r="163" spans="1:15" s="24" customFormat="1" ht="21" customHeight="1">
      <c r="A163" s="75"/>
      <c r="B163" s="71"/>
      <c r="C163" s="57">
        <v>4280</v>
      </c>
      <c r="D163" s="38" t="s">
        <v>223</v>
      </c>
      <c r="E163" s="70">
        <v>1200</v>
      </c>
      <c r="F163" s="70"/>
      <c r="G163" s="70">
        <f t="shared" si="45"/>
        <v>1200</v>
      </c>
      <c r="H163" s="70"/>
      <c r="I163" s="70">
        <f t="shared" si="61"/>
        <v>1200</v>
      </c>
      <c r="J163" s="70"/>
      <c r="K163" s="70">
        <f t="shared" si="62"/>
        <v>1200</v>
      </c>
      <c r="L163" s="70"/>
      <c r="M163" s="70">
        <f t="shared" si="63"/>
        <v>1200</v>
      </c>
      <c r="N163" s="70"/>
      <c r="O163" s="70">
        <f t="shared" si="64"/>
        <v>1200</v>
      </c>
    </row>
    <row r="164" spans="1:15" s="24" customFormat="1" ht="21" customHeight="1">
      <c r="A164" s="75"/>
      <c r="B164" s="71"/>
      <c r="C164" s="57">
        <v>4300</v>
      </c>
      <c r="D164" s="38" t="s">
        <v>81</v>
      </c>
      <c r="E164" s="70">
        <v>3000</v>
      </c>
      <c r="F164" s="70"/>
      <c r="G164" s="70">
        <f t="shared" si="45"/>
        <v>3000</v>
      </c>
      <c r="H164" s="70"/>
      <c r="I164" s="70">
        <f t="shared" si="61"/>
        <v>3000</v>
      </c>
      <c r="J164" s="70"/>
      <c r="K164" s="70">
        <f t="shared" si="62"/>
        <v>3000</v>
      </c>
      <c r="L164" s="70"/>
      <c r="M164" s="70">
        <f t="shared" si="63"/>
        <v>3000</v>
      </c>
      <c r="N164" s="70"/>
      <c r="O164" s="70">
        <f t="shared" si="64"/>
        <v>3000</v>
      </c>
    </row>
    <row r="165" spans="1:15" s="24" customFormat="1" ht="24">
      <c r="A165" s="75"/>
      <c r="B165" s="71"/>
      <c r="C165" s="57">
        <v>4360</v>
      </c>
      <c r="D165" s="38" t="s">
        <v>234</v>
      </c>
      <c r="E165" s="70">
        <v>1800</v>
      </c>
      <c r="F165" s="70"/>
      <c r="G165" s="70">
        <f t="shared" si="45"/>
        <v>1800</v>
      </c>
      <c r="H165" s="70"/>
      <c r="I165" s="70">
        <f t="shared" si="61"/>
        <v>1800</v>
      </c>
      <c r="J165" s="70"/>
      <c r="K165" s="70">
        <f t="shared" si="62"/>
        <v>1800</v>
      </c>
      <c r="L165" s="70"/>
      <c r="M165" s="70">
        <f t="shared" si="63"/>
        <v>1800</v>
      </c>
      <c r="N165" s="70"/>
      <c r="O165" s="70">
        <f t="shared" si="64"/>
        <v>1800</v>
      </c>
    </row>
    <row r="166" spans="1:15" s="24" customFormat="1" ht="24">
      <c r="A166" s="75"/>
      <c r="B166" s="71"/>
      <c r="C166" s="57">
        <v>4400</v>
      </c>
      <c r="D166" s="38" t="s">
        <v>238</v>
      </c>
      <c r="E166" s="70">
        <v>1000</v>
      </c>
      <c r="F166" s="70"/>
      <c r="G166" s="70">
        <f t="shared" si="45"/>
        <v>1000</v>
      </c>
      <c r="H166" s="70"/>
      <c r="I166" s="70">
        <f t="shared" si="61"/>
        <v>1000</v>
      </c>
      <c r="J166" s="70">
        <v>-96</v>
      </c>
      <c r="K166" s="70">
        <f t="shared" si="62"/>
        <v>904</v>
      </c>
      <c r="L166" s="70"/>
      <c r="M166" s="70">
        <f t="shared" si="63"/>
        <v>904</v>
      </c>
      <c r="N166" s="70"/>
      <c r="O166" s="70">
        <f t="shared" si="64"/>
        <v>904</v>
      </c>
    </row>
    <row r="167" spans="1:15" s="24" customFormat="1" ht="21" customHeight="1">
      <c r="A167" s="75"/>
      <c r="B167" s="71"/>
      <c r="C167" s="57">
        <v>4410</v>
      </c>
      <c r="D167" s="38" t="s">
        <v>92</v>
      </c>
      <c r="E167" s="70">
        <v>1200</v>
      </c>
      <c r="F167" s="70"/>
      <c r="G167" s="70">
        <f t="shared" si="45"/>
        <v>1200</v>
      </c>
      <c r="H167" s="70"/>
      <c r="I167" s="70">
        <f t="shared" si="61"/>
        <v>1200</v>
      </c>
      <c r="J167" s="70"/>
      <c r="K167" s="70">
        <f t="shared" si="62"/>
        <v>1200</v>
      </c>
      <c r="L167" s="70"/>
      <c r="M167" s="70">
        <f t="shared" si="63"/>
        <v>1200</v>
      </c>
      <c r="N167" s="70"/>
      <c r="O167" s="70">
        <f t="shared" si="64"/>
        <v>1200</v>
      </c>
    </row>
    <row r="168" spans="1:15" s="24" customFormat="1" ht="21" customHeight="1">
      <c r="A168" s="75"/>
      <c r="B168" s="71"/>
      <c r="C168" s="60">
        <v>4430</v>
      </c>
      <c r="D168" s="38" t="s">
        <v>96</v>
      </c>
      <c r="E168" s="70">
        <v>3500</v>
      </c>
      <c r="F168" s="70"/>
      <c r="G168" s="70">
        <f t="shared" si="45"/>
        <v>3500</v>
      </c>
      <c r="H168" s="70"/>
      <c r="I168" s="70">
        <f t="shared" si="61"/>
        <v>3500</v>
      </c>
      <c r="J168" s="70"/>
      <c r="K168" s="70">
        <f t="shared" si="62"/>
        <v>3500</v>
      </c>
      <c r="L168" s="70"/>
      <c r="M168" s="70">
        <f t="shared" si="63"/>
        <v>3500</v>
      </c>
      <c r="N168" s="70"/>
      <c r="O168" s="70">
        <f t="shared" si="64"/>
        <v>3500</v>
      </c>
    </row>
    <row r="169" spans="1:15" s="24" customFormat="1" ht="21" customHeight="1">
      <c r="A169" s="75"/>
      <c r="B169" s="71"/>
      <c r="C169" s="60">
        <v>4440</v>
      </c>
      <c r="D169" s="38" t="s">
        <v>90</v>
      </c>
      <c r="E169" s="70">
        <v>4875</v>
      </c>
      <c r="F169" s="70"/>
      <c r="G169" s="70">
        <f t="shared" si="45"/>
        <v>4875</v>
      </c>
      <c r="H169" s="70"/>
      <c r="I169" s="70">
        <f t="shared" si="61"/>
        <v>4875</v>
      </c>
      <c r="J169" s="70"/>
      <c r="K169" s="70">
        <f t="shared" si="62"/>
        <v>4875</v>
      </c>
      <c r="L169" s="70"/>
      <c r="M169" s="70">
        <f t="shared" si="63"/>
        <v>4875</v>
      </c>
      <c r="N169" s="70"/>
      <c r="O169" s="70">
        <f t="shared" si="64"/>
        <v>4875</v>
      </c>
    </row>
    <row r="170" spans="1:15" s="24" customFormat="1" ht="21" customHeight="1">
      <c r="A170" s="75"/>
      <c r="B170" s="71"/>
      <c r="C170" s="60">
        <v>4510</v>
      </c>
      <c r="D170" s="38" t="s">
        <v>148</v>
      </c>
      <c r="E170" s="70">
        <v>200</v>
      </c>
      <c r="F170" s="70"/>
      <c r="G170" s="70">
        <f t="shared" si="45"/>
        <v>200</v>
      </c>
      <c r="H170" s="70"/>
      <c r="I170" s="70">
        <f t="shared" si="61"/>
        <v>200</v>
      </c>
      <c r="J170" s="70"/>
      <c r="K170" s="70">
        <f t="shared" si="62"/>
        <v>200</v>
      </c>
      <c r="L170" s="70"/>
      <c r="M170" s="70">
        <f t="shared" si="63"/>
        <v>200</v>
      </c>
      <c r="N170" s="70"/>
      <c r="O170" s="70">
        <f t="shared" si="64"/>
        <v>200</v>
      </c>
    </row>
    <row r="171" spans="1:15" s="24" customFormat="1" ht="21" customHeight="1">
      <c r="A171" s="75"/>
      <c r="B171" s="71"/>
      <c r="C171" s="60">
        <v>4580</v>
      </c>
      <c r="D171" s="38" t="s">
        <v>11</v>
      </c>
      <c r="E171" s="70"/>
      <c r="F171" s="70"/>
      <c r="G171" s="70"/>
      <c r="H171" s="70"/>
      <c r="I171" s="70">
        <v>0</v>
      </c>
      <c r="J171" s="70">
        <v>96</v>
      </c>
      <c r="K171" s="70">
        <f t="shared" si="62"/>
        <v>96</v>
      </c>
      <c r="L171" s="70"/>
      <c r="M171" s="70">
        <f t="shared" si="63"/>
        <v>96</v>
      </c>
      <c r="N171" s="70"/>
      <c r="O171" s="70">
        <f t="shared" si="64"/>
        <v>96</v>
      </c>
    </row>
    <row r="172" spans="1:15" s="24" customFormat="1" ht="24">
      <c r="A172" s="75"/>
      <c r="B172" s="71"/>
      <c r="C172" s="60">
        <v>4700</v>
      </c>
      <c r="D172" s="38" t="s">
        <v>246</v>
      </c>
      <c r="E172" s="70">
        <v>2500</v>
      </c>
      <c r="F172" s="70"/>
      <c r="G172" s="70">
        <f t="shared" si="45"/>
        <v>2500</v>
      </c>
      <c r="H172" s="70"/>
      <c r="I172" s="70">
        <f t="shared" si="61"/>
        <v>2500</v>
      </c>
      <c r="J172" s="70"/>
      <c r="K172" s="70">
        <f t="shared" si="62"/>
        <v>2500</v>
      </c>
      <c r="L172" s="70"/>
      <c r="M172" s="70">
        <f t="shared" si="63"/>
        <v>2500</v>
      </c>
      <c r="N172" s="70"/>
      <c r="O172" s="70">
        <f t="shared" si="64"/>
        <v>2500</v>
      </c>
    </row>
    <row r="173" spans="1:15" s="24" customFormat="1" ht="21" customHeight="1">
      <c r="A173" s="75"/>
      <c r="B173" s="71" t="s">
        <v>103</v>
      </c>
      <c r="C173" s="75"/>
      <c r="D173" s="38" t="s">
        <v>6</v>
      </c>
      <c r="E173" s="70">
        <f aca="true" t="shared" si="65" ref="E173:K173">SUM(E174:E175)</f>
        <v>5000</v>
      </c>
      <c r="F173" s="70">
        <f t="shared" si="65"/>
        <v>150000</v>
      </c>
      <c r="G173" s="70">
        <f t="shared" si="65"/>
        <v>155000</v>
      </c>
      <c r="H173" s="70">
        <f t="shared" si="65"/>
        <v>0</v>
      </c>
      <c r="I173" s="70">
        <f t="shared" si="65"/>
        <v>155000</v>
      </c>
      <c r="J173" s="70">
        <f t="shared" si="65"/>
        <v>0</v>
      </c>
      <c r="K173" s="70">
        <f t="shared" si="65"/>
        <v>155000</v>
      </c>
      <c r="L173" s="70">
        <f>SUM(L174:L175)</f>
        <v>0</v>
      </c>
      <c r="M173" s="70">
        <f>SUM(M174:M175)</f>
        <v>155000</v>
      </c>
      <c r="N173" s="70">
        <f>SUM(N174:N175)</f>
        <v>0</v>
      </c>
      <c r="O173" s="70">
        <f>SUM(O174:O175)</f>
        <v>155000</v>
      </c>
    </row>
    <row r="174" spans="1:15" s="24" customFormat="1" ht="21" customHeight="1">
      <c r="A174" s="75"/>
      <c r="B174" s="71"/>
      <c r="C174" s="60">
        <v>4430</v>
      </c>
      <c r="D174" s="38" t="s">
        <v>96</v>
      </c>
      <c r="E174" s="70">
        <v>5000</v>
      </c>
      <c r="F174" s="70"/>
      <c r="G174" s="70">
        <f t="shared" si="45"/>
        <v>5000</v>
      </c>
      <c r="H174" s="70"/>
      <c r="I174" s="70">
        <f>SUM(G174:H174)</f>
        <v>5000</v>
      </c>
      <c r="J174" s="70"/>
      <c r="K174" s="70">
        <f>SUM(I174:J174)</f>
        <v>5000</v>
      </c>
      <c r="L174" s="70"/>
      <c r="M174" s="70">
        <f>SUM(K174:L174)</f>
        <v>5000</v>
      </c>
      <c r="N174" s="70"/>
      <c r="O174" s="70">
        <f>SUM(M174:N174)</f>
        <v>5000</v>
      </c>
    </row>
    <row r="175" spans="1:15" s="24" customFormat="1" ht="26.25" customHeight="1">
      <c r="A175" s="75"/>
      <c r="B175" s="71"/>
      <c r="C175" s="60">
        <v>6050</v>
      </c>
      <c r="D175" s="11" t="s">
        <v>75</v>
      </c>
      <c r="E175" s="70">
        <v>0</v>
      </c>
      <c r="F175" s="70">
        <v>150000</v>
      </c>
      <c r="G175" s="70">
        <f t="shared" si="45"/>
        <v>150000</v>
      </c>
      <c r="H175" s="70"/>
      <c r="I175" s="70">
        <f>SUM(G175:H175)</f>
        <v>150000</v>
      </c>
      <c r="J175" s="70"/>
      <c r="K175" s="70">
        <f>SUM(I175:J175)</f>
        <v>150000</v>
      </c>
      <c r="L175" s="70"/>
      <c r="M175" s="70">
        <f>SUM(K175:L175)</f>
        <v>150000</v>
      </c>
      <c r="N175" s="70"/>
      <c r="O175" s="70">
        <f>SUM(M175:N175)</f>
        <v>150000</v>
      </c>
    </row>
    <row r="176" spans="1:15" s="40" customFormat="1" ht="60">
      <c r="A176" s="35">
        <v>756</v>
      </c>
      <c r="B176" s="52"/>
      <c r="C176" s="51"/>
      <c r="D176" s="36" t="s">
        <v>250</v>
      </c>
      <c r="E176" s="37">
        <f aca="true" t="shared" si="66" ref="E176:O176">SUM(E177)</f>
        <v>109900</v>
      </c>
      <c r="F176" s="37">
        <f t="shared" si="66"/>
        <v>0</v>
      </c>
      <c r="G176" s="37">
        <f t="shared" si="66"/>
        <v>109900</v>
      </c>
      <c r="H176" s="37">
        <f t="shared" si="66"/>
        <v>0</v>
      </c>
      <c r="I176" s="37">
        <f t="shared" si="66"/>
        <v>109900</v>
      </c>
      <c r="J176" s="37">
        <f t="shared" si="66"/>
        <v>0</v>
      </c>
      <c r="K176" s="37">
        <f t="shared" si="66"/>
        <v>109900</v>
      </c>
      <c r="L176" s="37">
        <f t="shared" si="66"/>
        <v>0</v>
      </c>
      <c r="M176" s="37">
        <f t="shared" si="66"/>
        <v>109900</v>
      </c>
      <c r="N176" s="37">
        <f t="shared" si="66"/>
        <v>0</v>
      </c>
      <c r="O176" s="37">
        <f t="shared" si="66"/>
        <v>109900</v>
      </c>
    </row>
    <row r="177" spans="1:15" s="24" customFormat="1" ht="25.5" customHeight="1">
      <c r="A177" s="75"/>
      <c r="B177" s="71">
        <v>75647</v>
      </c>
      <c r="C177" s="60"/>
      <c r="D177" s="38" t="s">
        <v>184</v>
      </c>
      <c r="E177" s="70">
        <f aca="true" t="shared" si="67" ref="E177:K177">SUM(E178:E185)</f>
        <v>109900</v>
      </c>
      <c r="F177" s="70">
        <f t="shared" si="67"/>
        <v>0</v>
      </c>
      <c r="G177" s="70">
        <f t="shared" si="67"/>
        <v>109900</v>
      </c>
      <c r="H177" s="70">
        <f t="shared" si="67"/>
        <v>0</v>
      </c>
      <c r="I177" s="70">
        <f t="shared" si="67"/>
        <v>109900</v>
      </c>
      <c r="J177" s="70">
        <f t="shared" si="67"/>
        <v>0</v>
      </c>
      <c r="K177" s="70">
        <f t="shared" si="67"/>
        <v>109900</v>
      </c>
      <c r="L177" s="70">
        <f>SUM(L178:L185)</f>
        <v>0</v>
      </c>
      <c r="M177" s="70">
        <f>SUM(M178:M185)</f>
        <v>109900</v>
      </c>
      <c r="N177" s="70">
        <f>SUM(N178:N185)</f>
        <v>0</v>
      </c>
      <c r="O177" s="70">
        <f>SUM(O178:O185)</f>
        <v>109900</v>
      </c>
    </row>
    <row r="178" spans="1:17" s="24" customFormat="1" ht="21" customHeight="1">
      <c r="A178" s="75"/>
      <c r="B178" s="71"/>
      <c r="C178" s="60">
        <v>4100</v>
      </c>
      <c r="D178" s="38" t="s">
        <v>99</v>
      </c>
      <c r="E178" s="70">
        <v>40000</v>
      </c>
      <c r="F178" s="70"/>
      <c r="G178" s="70">
        <f t="shared" si="45"/>
        <v>40000</v>
      </c>
      <c r="H178" s="70"/>
      <c r="I178" s="70">
        <f aca="true" t="shared" si="68" ref="I178:I185">SUM(G178:H178)</f>
        <v>40000</v>
      </c>
      <c r="J178" s="70"/>
      <c r="K178" s="70">
        <f aca="true" t="shared" si="69" ref="K178:K185">SUM(I178:J178)</f>
        <v>40000</v>
      </c>
      <c r="L178" s="70"/>
      <c r="M178" s="70">
        <f aca="true" t="shared" si="70" ref="M178:M185">SUM(K178:L178)</f>
        <v>40000</v>
      </c>
      <c r="N178" s="70"/>
      <c r="O178" s="70">
        <f aca="true" t="shared" si="71" ref="O178:O185">SUM(M178:N178)</f>
        <v>40000</v>
      </c>
      <c r="P178" s="98"/>
      <c r="Q178" s="98"/>
    </row>
    <row r="179" spans="1:17" s="24" customFormat="1" ht="21" customHeight="1">
      <c r="A179" s="75"/>
      <c r="B179" s="71"/>
      <c r="C179" s="60">
        <v>4170</v>
      </c>
      <c r="D179" s="38" t="s">
        <v>199</v>
      </c>
      <c r="E179" s="70">
        <v>5000</v>
      </c>
      <c r="F179" s="70"/>
      <c r="G179" s="70">
        <f t="shared" si="45"/>
        <v>5000</v>
      </c>
      <c r="H179" s="70"/>
      <c r="I179" s="70">
        <f t="shared" si="68"/>
        <v>5000</v>
      </c>
      <c r="J179" s="70"/>
      <c r="K179" s="70">
        <f t="shared" si="69"/>
        <v>5000</v>
      </c>
      <c r="L179" s="70"/>
      <c r="M179" s="70">
        <f t="shared" si="70"/>
        <v>5000</v>
      </c>
      <c r="N179" s="70"/>
      <c r="O179" s="70">
        <f t="shared" si="71"/>
        <v>5000</v>
      </c>
      <c r="P179" s="98"/>
      <c r="Q179" s="98"/>
    </row>
    <row r="180" spans="1:15" s="24" customFormat="1" ht="21" customHeight="1">
      <c r="A180" s="75"/>
      <c r="B180" s="71"/>
      <c r="C180" s="60">
        <v>4210</v>
      </c>
      <c r="D180" s="38" t="s">
        <v>74</v>
      </c>
      <c r="E180" s="70">
        <v>2000</v>
      </c>
      <c r="F180" s="70"/>
      <c r="G180" s="70">
        <f t="shared" si="45"/>
        <v>2000</v>
      </c>
      <c r="H180" s="70"/>
      <c r="I180" s="70">
        <f t="shared" si="68"/>
        <v>2000</v>
      </c>
      <c r="J180" s="70"/>
      <c r="K180" s="70">
        <f t="shared" si="69"/>
        <v>2000</v>
      </c>
      <c r="L180" s="70"/>
      <c r="M180" s="70">
        <f t="shared" si="70"/>
        <v>2000</v>
      </c>
      <c r="N180" s="70"/>
      <c r="O180" s="70">
        <f t="shared" si="71"/>
        <v>2000</v>
      </c>
    </row>
    <row r="181" spans="1:15" s="24" customFormat="1" ht="21" customHeight="1">
      <c r="A181" s="75"/>
      <c r="B181" s="71"/>
      <c r="C181" s="60">
        <v>4300</v>
      </c>
      <c r="D181" s="38" t="s">
        <v>81</v>
      </c>
      <c r="E181" s="70">
        <v>20000</v>
      </c>
      <c r="F181" s="70"/>
      <c r="G181" s="70">
        <f t="shared" si="45"/>
        <v>20000</v>
      </c>
      <c r="H181" s="70"/>
      <c r="I181" s="70">
        <f t="shared" si="68"/>
        <v>20000</v>
      </c>
      <c r="J181" s="70"/>
      <c r="K181" s="70">
        <f t="shared" si="69"/>
        <v>20000</v>
      </c>
      <c r="L181" s="70"/>
      <c r="M181" s="70">
        <f t="shared" si="70"/>
        <v>20000</v>
      </c>
      <c r="N181" s="70"/>
      <c r="O181" s="70">
        <f t="shared" si="71"/>
        <v>20000</v>
      </c>
    </row>
    <row r="182" spans="1:15" s="24" customFormat="1" ht="21" customHeight="1">
      <c r="A182" s="75"/>
      <c r="B182" s="71"/>
      <c r="C182" s="60">
        <v>4430</v>
      </c>
      <c r="D182" s="38" t="s">
        <v>96</v>
      </c>
      <c r="E182" s="70">
        <v>4900</v>
      </c>
      <c r="F182" s="70"/>
      <c r="G182" s="70">
        <f t="shared" si="45"/>
        <v>4900</v>
      </c>
      <c r="H182" s="70"/>
      <c r="I182" s="70">
        <f t="shared" si="68"/>
        <v>4900</v>
      </c>
      <c r="J182" s="70"/>
      <c r="K182" s="70">
        <f t="shared" si="69"/>
        <v>4900</v>
      </c>
      <c r="L182" s="70"/>
      <c r="M182" s="70">
        <f t="shared" si="70"/>
        <v>4900</v>
      </c>
      <c r="N182" s="70"/>
      <c r="O182" s="70">
        <f t="shared" si="71"/>
        <v>4900</v>
      </c>
    </row>
    <row r="183" spans="1:15" s="24" customFormat="1" ht="24">
      <c r="A183" s="75"/>
      <c r="B183" s="71"/>
      <c r="C183" s="60">
        <v>4610</v>
      </c>
      <c r="D183" s="38" t="s">
        <v>186</v>
      </c>
      <c r="E183" s="70">
        <f>24000+10000</f>
        <v>34000</v>
      </c>
      <c r="F183" s="70"/>
      <c r="G183" s="70">
        <f t="shared" si="45"/>
        <v>34000</v>
      </c>
      <c r="H183" s="70"/>
      <c r="I183" s="70">
        <f t="shared" si="68"/>
        <v>34000</v>
      </c>
      <c r="J183" s="70"/>
      <c r="K183" s="70">
        <f t="shared" si="69"/>
        <v>34000</v>
      </c>
      <c r="L183" s="70"/>
      <c r="M183" s="70">
        <f t="shared" si="70"/>
        <v>34000</v>
      </c>
      <c r="N183" s="70"/>
      <c r="O183" s="70">
        <f t="shared" si="71"/>
        <v>34000</v>
      </c>
    </row>
    <row r="184" spans="1:15" s="24" customFormat="1" ht="26.25" customHeight="1">
      <c r="A184" s="75"/>
      <c r="B184" s="71"/>
      <c r="C184" s="60">
        <v>4740</v>
      </c>
      <c r="D184" s="38" t="s">
        <v>232</v>
      </c>
      <c r="E184" s="70">
        <v>2000</v>
      </c>
      <c r="F184" s="70"/>
      <c r="G184" s="70">
        <f t="shared" si="45"/>
        <v>2000</v>
      </c>
      <c r="H184" s="70"/>
      <c r="I184" s="70">
        <f t="shared" si="68"/>
        <v>2000</v>
      </c>
      <c r="J184" s="70"/>
      <c r="K184" s="70">
        <f t="shared" si="69"/>
        <v>2000</v>
      </c>
      <c r="L184" s="70"/>
      <c r="M184" s="70">
        <f t="shared" si="70"/>
        <v>2000</v>
      </c>
      <c r="N184" s="70"/>
      <c r="O184" s="70">
        <f t="shared" si="71"/>
        <v>2000</v>
      </c>
    </row>
    <row r="185" spans="1:15" s="24" customFormat="1" ht="24">
      <c r="A185" s="75"/>
      <c r="B185" s="71"/>
      <c r="C185" s="60">
        <v>4750</v>
      </c>
      <c r="D185" s="38" t="s">
        <v>233</v>
      </c>
      <c r="E185" s="70">
        <v>2000</v>
      </c>
      <c r="F185" s="70"/>
      <c r="G185" s="70">
        <f t="shared" si="45"/>
        <v>2000</v>
      </c>
      <c r="H185" s="70"/>
      <c r="I185" s="70">
        <f t="shared" si="68"/>
        <v>2000</v>
      </c>
      <c r="J185" s="70"/>
      <c r="K185" s="70">
        <f t="shared" si="69"/>
        <v>2000</v>
      </c>
      <c r="L185" s="70"/>
      <c r="M185" s="70">
        <f t="shared" si="70"/>
        <v>2000</v>
      </c>
      <c r="N185" s="70"/>
      <c r="O185" s="70">
        <f t="shared" si="71"/>
        <v>2000</v>
      </c>
    </row>
    <row r="186" spans="1:15" s="6" customFormat="1" ht="21.75" customHeight="1">
      <c r="A186" s="33" t="s">
        <v>104</v>
      </c>
      <c r="B186" s="34"/>
      <c r="C186" s="35"/>
      <c r="D186" s="36" t="s">
        <v>105</v>
      </c>
      <c r="E186" s="37">
        <f aca="true" t="shared" si="72" ref="E186:O186">SUM(E187)</f>
        <v>356637</v>
      </c>
      <c r="F186" s="37">
        <f t="shared" si="72"/>
        <v>0</v>
      </c>
      <c r="G186" s="37">
        <f t="shared" si="72"/>
        <v>356637</v>
      </c>
      <c r="H186" s="37">
        <f t="shared" si="72"/>
        <v>0</v>
      </c>
      <c r="I186" s="37">
        <f t="shared" si="72"/>
        <v>356637</v>
      </c>
      <c r="J186" s="37">
        <f t="shared" si="72"/>
        <v>0</v>
      </c>
      <c r="K186" s="37">
        <f t="shared" si="72"/>
        <v>356637</v>
      </c>
      <c r="L186" s="37">
        <f t="shared" si="72"/>
        <v>0</v>
      </c>
      <c r="M186" s="37">
        <f t="shared" si="72"/>
        <v>356637</v>
      </c>
      <c r="N186" s="37">
        <f t="shared" si="72"/>
        <v>0</v>
      </c>
      <c r="O186" s="37">
        <f t="shared" si="72"/>
        <v>356637</v>
      </c>
    </row>
    <row r="187" spans="1:15" s="24" customFormat="1" ht="36">
      <c r="A187" s="57"/>
      <c r="B187" s="71" t="s">
        <v>106</v>
      </c>
      <c r="C187" s="75"/>
      <c r="D187" s="38" t="s">
        <v>107</v>
      </c>
      <c r="E187" s="70">
        <f aca="true" t="shared" si="73" ref="E187:O187">SUM(E188:E188)</f>
        <v>356637</v>
      </c>
      <c r="F187" s="70">
        <f t="shared" si="73"/>
        <v>0</v>
      </c>
      <c r="G187" s="70">
        <f t="shared" si="73"/>
        <v>356637</v>
      </c>
      <c r="H187" s="70">
        <f t="shared" si="73"/>
        <v>0</v>
      </c>
      <c r="I187" s="70">
        <f t="shared" si="73"/>
        <v>356637</v>
      </c>
      <c r="J187" s="70">
        <f t="shared" si="73"/>
        <v>0</v>
      </c>
      <c r="K187" s="70">
        <f t="shared" si="73"/>
        <v>356637</v>
      </c>
      <c r="L187" s="70">
        <f t="shared" si="73"/>
        <v>0</v>
      </c>
      <c r="M187" s="70">
        <f t="shared" si="73"/>
        <v>356637</v>
      </c>
      <c r="N187" s="70">
        <f t="shared" si="73"/>
        <v>0</v>
      </c>
      <c r="O187" s="70">
        <f t="shared" si="73"/>
        <v>356637</v>
      </c>
    </row>
    <row r="188" spans="1:15" s="24" customFormat="1" ht="49.5" customHeight="1">
      <c r="A188" s="57"/>
      <c r="B188" s="76"/>
      <c r="C188" s="75">
        <v>8070</v>
      </c>
      <c r="D188" s="38" t="s">
        <v>255</v>
      </c>
      <c r="E188" s="70">
        <v>356637</v>
      </c>
      <c r="F188" s="70"/>
      <c r="G188" s="70">
        <f t="shared" si="45"/>
        <v>356637</v>
      </c>
      <c r="H188" s="70"/>
      <c r="I188" s="70">
        <f>SUM(G188:H188)</f>
        <v>356637</v>
      </c>
      <c r="J188" s="70"/>
      <c r="K188" s="70">
        <f>SUM(I188:J188)</f>
        <v>356637</v>
      </c>
      <c r="L188" s="70"/>
      <c r="M188" s="70">
        <f>SUM(K188:L188)</f>
        <v>356637</v>
      </c>
      <c r="N188" s="70"/>
      <c r="O188" s="70">
        <f>SUM(M188:N188)</f>
        <v>356637</v>
      </c>
    </row>
    <row r="189" spans="1:15" s="6" customFormat="1" ht="21" customHeight="1">
      <c r="A189" s="33" t="s">
        <v>46</v>
      </c>
      <c r="B189" s="34"/>
      <c r="C189" s="35"/>
      <c r="D189" s="36" t="s">
        <v>47</v>
      </c>
      <c r="E189" s="37">
        <f aca="true" t="shared" si="74" ref="E189:O189">SUM(E190)</f>
        <v>1167300</v>
      </c>
      <c r="F189" s="37">
        <f t="shared" si="74"/>
        <v>1050000</v>
      </c>
      <c r="G189" s="37">
        <f t="shared" si="74"/>
        <v>2217300</v>
      </c>
      <c r="H189" s="37">
        <f t="shared" si="74"/>
        <v>-511010</v>
      </c>
      <c r="I189" s="37">
        <f t="shared" si="74"/>
        <v>1706290</v>
      </c>
      <c r="J189" s="37">
        <f t="shared" si="74"/>
        <v>-599645</v>
      </c>
      <c r="K189" s="37">
        <f t="shared" si="74"/>
        <v>1106645</v>
      </c>
      <c r="L189" s="37">
        <f t="shared" si="74"/>
        <v>0</v>
      </c>
      <c r="M189" s="37">
        <f t="shared" si="74"/>
        <v>1106645</v>
      </c>
      <c r="N189" s="37">
        <f t="shared" si="74"/>
        <v>0</v>
      </c>
      <c r="O189" s="37">
        <f t="shared" si="74"/>
        <v>1106645</v>
      </c>
    </row>
    <row r="190" spans="1:15" s="24" customFormat="1" ht="21" customHeight="1">
      <c r="A190" s="57"/>
      <c r="B190" s="71" t="s">
        <v>108</v>
      </c>
      <c r="C190" s="75"/>
      <c r="D190" s="38" t="s">
        <v>109</v>
      </c>
      <c r="E190" s="70">
        <f aca="true" t="shared" si="75" ref="E190:K190">SUM(E191:E192)</f>
        <v>1167300</v>
      </c>
      <c r="F190" s="70">
        <f t="shared" si="75"/>
        <v>1050000</v>
      </c>
      <c r="G190" s="70">
        <f t="shared" si="75"/>
        <v>2217300</v>
      </c>
      <c r="H190" s="70">
        <f t="shared" si="75"/>
        <v>-511010</v>
      </c>
      <c r="I190" s="70">
        <f t="shared" si="75"/>
        <v>1706290</v>
      </c>
      <c r="J190" s="70">
        <f t="shared" si="75"/>
        <v>-599645</v>
      </c>
      <c r="K190" s="70">
        <f t="shared" si="75"/>
        <v>1106645</v>
      </c>
      <c r="L190" s="70">
        <f>SUM(L191:L192)</f>
        <v>0</v>
      </c>
      <c r="M190" s="70">
        <f>SUM(M191:M192)</f>
        <v>1106645</v>
      </c>
      <c r="N190" s="70">
        <f>SUM(N191:N192)</f>
        <v>0</v>
      </c>
      <c r="O190" s="70">
        <f>SUM(O191:O192)</f>
        <v>1106645</v>
      </c>
    </row>
    <row r="191" spans="1:15" s="24" customFormat="1" ht="21" customHeight="1">
      <c r="A191" s="57"/>
      <c r="B191" s="76"/>
      <c r="C191" s="75">
        <v>4810</v>
      </c>
      <c r="D191" s="38" t="s">
        <v>110</v>
      </c>
      <c r="E191" s="70">
        <f>68800+48500+200000+300000</f>
        <v>617300</v>
      </c>
      <c r="F191" s="70">
        <f>100000+60000+10000+65000+5000+300000+190000</f>
        <v>730000</v>
      </c>
      <c r="G191" s="70">
        <f t="shared" si="45"/>
        <v>1347300</v>
      </c>
      <c r="H191" s="70">
        <f>-58190-5820-447000</f>
        <v>-511010</v>
      </c>
      <c r="I191" s="70">
        <f>SUM(G191:H191)</f>
        <v>836290</v>
      </c>
      <c r="J191" s="70">
        <f>-175597+24400-119-329-148000</f>
        <v>-299645</v>
      </c>
      <c r="K191" s="70">
        <f>SUM(I191:J191)</f>
        <v>536645</v>
      </c>
      <c r="L191" s="70"/>
      <c r="M191" s="70">
        <f>SUM(K191:L191)</f>
        <v>536645</v>
      </c>
      <c r="N191" s="70"/>
      <c r="O191" s="70">
        <f>SUM(M191:N191)</f>
        <v>536645</v>
      </c>
    </row>
    <row r="192" spans="1:15" s="24" customFormat="1" ht="24">
      <c r="A192" s="57"/>
      <c r="B192" s="76"/>
      <c r="C192" s="75">
        <v>6800</v>
      </c>
      <c r="D192" s="38" t="s">
        <v>252</v>
      </c>
      <c r="E192" s="70">
        <f>150000+400000</f>
        <v>550000</v>
      </c>
      <c r="F192" s="70">
        <f>300000+20000</f>
        <v>320000</v>
      </c>
      <c r="G192" s="70">
        <f t="shared" si="45"/>
        <v>870000</v>
      </c>
      <c r="H192" s="70"/>
      <c r="I192" s="70">
        <f>SUM(G192:H192)</f>
        <v>870000</v>
      </c>
      <c r="J192" s="70">
        <v>-300000</v>
      </c>
      <c r="K192" s="70">
        <f>SUM(I192:J192)</f>
        <v>570000</v>
      </c>
      <c r="L192" s="70"/>
      <c r="M192" s="70">
        <f>SUM(K192:L192)</f>
        <v>570000</v>
      </c>
      <c r="N192" s="70"/>
      <c r="O192" s="70">
        <f>SUM(M192:N192)</f>
        <v>570000</v>
      </c>
    </row>
    <row r="193" spans="1:15" s="7" customFormat="1" ht="20.25" customHeight="1">
      <c r="A193" s="33" t="s">
        <v>111</v>
      </c>
      <c r="B193" s="34"/>
      <c r="C193" s="35"/>
      <c r="D193" s="36" t="s">
        <v>112</v>
      </c>
      <c r="E193" s="37">
        <f aca="true" t="shared" si="76" ref="E193:K193">SUM(E194,E221,E235,E239,E265,E272,E277,E288)</f>
        <v>27468430</v>
      </c>
      <c r="F193" s="37">
        <f t="shared" si="76"/>
        <v>-1600000</v>
      </c>
      <c r="G193" s="37">
        <f t="shared" si="76"/>
        <v>25868430</v>
      </c>
      <c r="H193" s="37">
        <f t="shared" si="76"/>
        <v>0</v>
      </c>
      <c r="I193" s="37">
        <f t="shared" si="76"/>
        <v>25868430</v>
      </c>
      <c r="J193" s="37">
        <f t="shared" si="76"/>
        <v>125888</v>
      </c>
      <c r="K193" s="37">
        <f t="shared" si="76"/>
        <v>25994318</v>
      </c>
      <c r="L193" s="37">
        <f>SUM(L194,L221,L235,L239,L265,L272,L277,L288)</f>
        <v>0</v>
      </c>
      <c r="M193" s="37">
        <f>SUM(M194,M221,M235,M239,M265,M272,M277,M288)</f>
        <v>25994318</v>
      </c>
      <c r="N193" s="37">
        <f>SUM(N194,N221,N235,N239,N265,N272,N277,N288)</f>
        <v>0</v>
      </c>
      <c r="O193" s="37">
        <f>SUM(O194,O221,O235,O239,O265,O272,O277,O288)</f>
        <v>25994318</v>
      </c>
    </row>
    <row r="194" spans="1:15" s="24" customFormat="1" ht="22.5" customHeight="1">
      <c r="A194" s="57"/>
      <c r="B194" s="71" t="s">
        <v>113</v>
      </c>
      <c r="C194" s="75"/>
      <c r="D194" s="38" t="s">
        <v>52</v>
      </c>
      <c r="E194" s="70">
        <f aca="true" t="shared" si="77" ref="E194:K194">SUM(E195:E220)</f>
        <v>13620346</v>
      </c>
      <c r="F194" s="70">
        <f t="shared" si="77"/>
        <v>-1200000</v>
      </c>
      <c r="G194" s="70">
        <f t="shared" si="77"/>
        <v>12420346</v>
      </c>
      <c r="H194" s="70">
        <f t="shared" si="77"/>
        <v>0</v>
      </c>
      <c r="I194" s="70">
        <f t="shared" si="77"/>
        <v>12420346</v>
      </c>
      <c r="J194" s="70">
        <f t="shared" si="77"/>
        <v>82287</v>
      </c>
      <c r="K194" s="70">
        <f t="shared" si="77"/>
        <v>12502633</v>
      </c>
      <c r="L194" s="70">
        <f>SUM(L195:L220)</f>
        <v>0</v>
      </c>
      <c r="M194" s="70">
        <f>SUM(M195:M220)</f>
        <v>12502633</v>
      </c>
      <c r="N194" s="70">
        <f>SUM(N195:N220)</f>
        <v>0</v>
      </c>
      <c r="O194" s="70">
        <f>SUM(O195:O220)</f>
        <v>12502633</v>
      </c>
    </row>
    <row r="195" spans="1:15" s="24" customFormat="1" ht="25.5" customHeight="1">
      <c r="A195" s="57"/>
      <c r="B195" s="71"/>
      <c r="C195" s="75">
        <v>2540</v>
      </c>
      <c r="D195" s="38" t="s">
        <v>188</v>
      </c>
      <c r="E195" s="70">
        <v>447149</v>
      </c>
      <c r="F195" s="70"/>
      <c r="G195" s="70">
        <f aca="true" t="shared" si="78" ref="G195:G261">SUM(E195:F195)</f>
        <v>447149</v>
      </c>
      <c r="H195" s="70"/>
      <c r="I195" s="70">
        <f aca="true" t="shared" si="79" ref="I195:I220">SUM(G195:H195)</f>
        <v>447149</v>
      </c>
      <c r="J195" s="70"/>
      <c r="K195" s="70">
        <f aca="true" t="shared" si="80" ref="K195:K220">SUM(I195:J195)</f>
        <v>447149</v>
      </c>
      <c r="L195" s="70"/>
      <c r="M195" s="70">
        <f aca="true" t="shared" si="81" ref="M195:M220">SUM(K195:L195)</f>
        <v>447149</v>
      </c>
      <c r="N195" s="70"/>
      <c r="O195" s="70">
        <f aca="true" t="shared" si="82" ref="O195:O220">SUM(M195:N195)</f>
        <v>447149</v>
      </c>
    </row>
    <row r="196" spans="1:15" s="24" customFormat="1" ht="21" customHeight="1">
      <c r="A196" s="57"/>
      <c r="B196" s="71"/>
      <c r="C196" s="57">
        <v>3020</v>
      </c>
      <c r="D196" s="38" t="s">
        <v>215</v>
      </c>
      <c r="E196" s="70">
        <v>195991</v>
      </c>
      <c r="F196" s="70"/>
      <c r="G196" s="70">
        <f t="shared" si="78"/>
        <v>195991</v>
      </c>
      <c r="H196" s="70"/>
      <c r="I196" s="70">
        <f t="shared" si="79"/>
        <v>195991</v>
      </c>
      <c r="J196" s="70"/>
      <c r="K196" s="70">
        <f t="shared" si="80"/>
        <v>195991</v>
      </c>
      <c r="L196" s="70"/>
      <c r="M196" s="70">
        <f t="shared" si="81"/>
        <v>195991</v>
      </c>
      <c r="N196" s="70"/>
      <c r="O196" s="70">
        <f t="shared" si="82"/>
        <v>195991</v>
      </c>
    </row>
    <row r="197" spans="1:17" s="24" customFormat="1" ht="21" customHeight="1">
      <c r="A197" s="57"/>
      <c r="B197" s="71"/>
      <c r="C197" s="57">
        <v>4010</v>
      </c>
      <c r="D197" s="38" t="s">
        <v>86</v>
      </c>
      <c r="E197" s="70">
        <v>7107101</v>
      </c>
      <c r="F197" s="70"/>
      <c r="G197" s="70">
        <f t="shared" si="78"/>
        <v>7107101</v>
      </c>
      <c r="H197" s="70"/>
      <c r="I197" s="70">
        <f t="shared" si="79"/>
        <v>7107101</v>
      </c>
      <c r="J197" s="70">
        <v>13926</v>
      </c>
      <c r="K197" s="70">
        <f t="shared" si="80"/>
        <v>7121027</v>
      </c>
      <c r="L197" s="70"/>
      <c r="M197" s="70">
        <f t="shared" si="81"/>
        <v>7121027</v>
      </c>
      <c r="N197" s="70"/>
      <c r="O197" s="70">
        <f t="shared" si="82"/>
        <v>7121027</v>
      </c>
      <c r="P197" s="98"/>
      <c r="Q197" s="98"/>
    </row>
    <row r="198" spans="1:17" s="24" customFormat="1" ht="21" customHeight="1">
      <c r="A198" s="57"/>
      <c r="B198" s="71"/>
      <c r="C198" s="57">
        <v>4040</v>
      </c>
      <c r="D198" s="38" t="s">
        <v>87</v>
      </c>
      <c r="E198" s="70">
        <v>551652</v>
      </c>
      <c r="F198" s="70"/>
      <c r="G198" s="70">
        <f t="shared" si="78"/>
        <v>551652</v>
      </c>
      <c r="H198" s="70"/>
      <c r="I198" s="70">
        <f t="shared" si="79"/>
        <v>551652</v>
      </c>
      <c r="J198" s="70">
        <v>-18389</v>
      </c>
      <c r="K198" s="70">
        <f t="shared" si="80"/>
        <v>533263</v>
      </c>
      <c r="L198" s="70"/>
      <c r="M198" s="70">
        <f t="shared" si="81"/>
        <v>533263</v>
      </c>
      <c r="N198" s="70"/>
      <c r="O198" s="70">
        <f t="shared" si="82"/>
        <v>533263</v>
      </c>
      <c r="P198" s="98"/>
      <c r="Q198" s="98"/>
    </row>
    <row r="199" spans="1:17" s="24" customFormat="1" ht="21" customHeight="1">
      <c r="A199" s="57"/>
      <c r="B199" s="71"/>
      <c r="C199" s="57">
        <v>4110</v>
      </c>
      <c r="D199" s="38" t="s">
        <v>88</v>
      </c>
      <c r="E199" s="70">
        <v>1159019</v>
      </c>
      <c r="F199" s="70"/>
      <c r="G199" s="70">
        <f t="shared" si="78"/>
        <v>1159019</v>
      </c>
      <c r="H199" s="70"/>
      <c r="I199" s="70">
        <f t="shared" si="79"/>
        <v>1159019</v>
      </c>
      <c r="J199" s="70"/>
      <c r="K199" s="70">
        <f t="shared" si="80"/>
        <v>1159019</v>
      </c>
      <c r="L199" s="70"/>
      <c r="M199" s="70">
        <f t="shared" si="81"/>
        <v>1159019</v>
      </c>
      <c r="N199" s="70"/>
      <c r="O199" s="70">
        <f t="shared" si="82"/>
        <v>1159019</v>
      </c>
      <c r="P199" s="98"/>
      <c r="Q199" s="98"/>
    </row>
    <row r="200" spans="1:17" s="24" customFormat="1" ht="21" customHeight="1">
      <c r="A200" s="57"/>
      <c r="B200" s="71"/>
      <c r="C200" s="57">
        <v>4120</v>
      </c>
      <c r="D200" s="38" t="s">
        <v>89</v>
      </c>
      <c r="E200" s="70">
        <v>186008</v>
      </c>
      <c r="F200" s="70"/>
      <c r="G200" s="70">
        <f t="shared" si="78"/>
        <v>186008</v>
      </c>
      <c r="H200" s="70"/>
      <c r="I200" s="70">
        <f t="shared" si="79"/>
        <v>186008</v>
      </c>
      <c r="J200" s="70"/>
      <c r="K200" s="70">
        <f t="shared" si="80"/>
        <v>186008</v>
      </c>
      <c r="L200" s="70"/>
      <c r="M200" s="70">
        <f t="shared" si="81"/>
        <v>186008</v>
      </c>
      <c r="N200" s="70"/>
      <c r="O200" s="70">
        <f t="shared" si="82"/>
        <v>186008</v>
      </c>
      <c r="P200" s="98"/>
      <c r="Q200" s="98"/>
    </row>
    <row r="201" spans="1:17" s="24" customFormat="1" ht="21" customHeight="1">
      <c r="A201" s="57"/>
      <c r="B201" s="71"/>
      <c r="C201" s="57">
        <v>4170</v>
      </c>
      <c r="D201" s="38" t="s">
        <v>199</v>
      </c>
      <c r="E201" s="70">
        <v>13100</v>
      </c>
      <c r="F201" s="70"/>
      <c r="G201" s="70">
        <f t="shared" si="78"/>
        <v>13100</v>
      </c>
      <c r="H201" s="70"/>
      <c r="I201" s="70">
        <f t="shared" si="79"/>
        <v>13100</v>
      </c>
      <c r="J201" s="70"/>
      <c r="K201" s="70">
        <f t="shared" si="80"/>
        <v>13100</v>
      </c>
      <c r="L201" s="70">
        <v>1000</v>
      </c>
      <c r="M201" s="70">
        <f t="shared" si="81"/>
        <v>14100</v>
      </c>
      <c r="N201" s="70"/>
      <c r="O201" s="70">
        <f t="shared" si="82"/>
        <v>14100</v>
      </c>
      <c r="P201" s="98"/>
      <c r="Q201" s="98"/>
    </row>
    <row r="202" spans="1:15" s="24" customFormat="1" ht="21" customHeight="1">
      <c r="A202" s="57"/>
      <c r="B202" s="71"/>
      <c r="C202" s="57">
        <v>4210</v>
      </c>
      <c r="D202" s="38" t="s">
        <v>94</v>
      </c>
      <c r="E202" s="70">
        <f>6800+450205</f>
        <v>457005</v>
      </c>
      <c r="F202" s="70"/>
      <c r="G202" s="70">
        <f t="shared" si="78"/>
        <v>457005</v>
      </c>
      <c r="H202" s="70"/>
      <c r="I202" s="70">
        <f t="shared" si="79"/>
        <v>457005</v>
      </c>
      <c r="J202" s="70">
        <f>1750-2700</f>
        <v>-950</v>
      </c>
      <c r="K202" s="70">
        <f t="shared" si="80"/>
        <v>456055</v>
      </c>
      <c r="L202" s="70"/>
      <c r="M202" s="70">
        <f t="shared" si="81"/>
        <v>456055</v>
      </c>
      <c r="N202" s="70">
        <v>-8704</v>
      </c>
      <c r="O202" s="70">
        <f t="shared" si="82"/>
        <v>447351</v>
      </c>
    </row>
    <row r="203" spans="1:15" s="24" customFormat="1" ht="24">
      <c r="A203" s="57"/>
      <c r="B203" s="71"/>
      <c r="C203" s="75">
        <v>4230</v>
      </c>
      <c r="D203" s="38" t="s">
        <v>244</v>
      </c>
      <c r="E203" s="70">
        <v>2000</v>
      </c>
      <c r="F203" s="70"/>
      <c r="G203" s="70">
        <f t="shared" si="78"/>
        <v>2000</v>
      </c>
      <c r="H203" s="70"/>
      <c r="I203" s="70">
        <f t="shared" si="79"/>
        <v>2000</v>
      </c>
      <c r="J203" s="70"/>
      <c r="K203" s="70">
        <f t="shared" si="80"/>
        <v>2000</v>
      </c>
      <c r="L203" s="70"/>
      <c r="M203" s="70">
        <f t="shared" si="81"/>
        <v>2000</v>
      </c>
      <c r="N203" s="70"/>
      <c r="O203" s="70">
        <f t="shared" si="82"/>
        <v>2000</v>
      </c>
    </row>
    <row r="204" spans="1:15" s="24" customFormat="1" ht="24">
      <c r="A204" s="57"/>
      <c r="B204" s="71"/>
      <c r="C204" s="75">
        <v>4240</v>
      </c>
      <c r="D204" s="38" t="s">
        <v>125</v>
      </c>
      <c r="E204" s="70">
        <f>500+84060</f>
        <v>84560</v>
      </c>
      <c r="F204" s="70"/>
      <c r="G204" s="70">
        <f t="shared" si="78"/>
        <v>84560</v>
      </c>
      <c r="H204" s="70"/>
      <c r="I204" s="70">
        <f t="shared" si="79"/>
        <v>84560</v>
      </c>
      <c r="J204" s="70">
        <v>1700</v>
      </c>
      <c r="K204" s="70">
        <f t="shared" si="80"/>
        <v>86260</v>
      </c>
      <c r="L204" s="70"/>
      <c r="M204" s="70">
        <f t="shared" si="81"/>
        <v>86260</v>
      </c>
      <c r="N204" s="70">
        <v>7685</v>
      </c>
      <c r="O204" s="70">
        <f t="shared" si="82"/>
        <v>93945</v>
      </c>
    </row>
    <row r="205" spans="1:15" s="24" customFormat="1" ht="21" customHeight="1">
      <c r="A205" s="57"/>
      <c r="B205" s="71"/>
      <c r="C205" s="57">
        <v>4260</v>
      </c>
      <c r="D205" s="38" t="s">
        <v>97</v>
      </c>
      <c r="E205" s="70">
        <v>505430</v>
      </c>
      <c r="F205" s="70"/>
      <c r="G205" s="70">
        <f t="shared" si="78"/>
        <v>505430</v>
      </c>
      <c r="H205" s="70"/>
      <c r="I205" s="70">
        <f t="shared" si="79"/>
        <v>505430</v>
      </c>
      <c r="J205" s="70"/>
      <c r="K205" s="70">
        <f t="shared" si="80"/>
        <v>505430</v>
      </c>
      <c r="L205" s="70"/>
      <c r="M205" s="70">
        <f t="shared" si="81"/>
        <v>505430</v>
      </c>
      <c r="N205" s="70"/>
      <c r="O205" s="70">
        <f t="shared" si="82"/>
        <v>505430</v>
      </c>
    </row>
    <row r="206" spans="1:15" s="24" customFormat="1" ht="21" customHeight="1">
      <c r="A206" s="57"/>
      <c r="B206" s="71"/>
      <c r="C206" s="57">
        <v>4270</v>
      </c>
      <c r="D206" s="38" t="s">
        <v>80</v>
      </c>
      <c r="E206" s="70">
        <v>153158</v>
      </c>
      <c r="F206" s="70"/>
      <c r="G206" s="70">
        <f t="shared" si="78"/>
        <v>153158</v>
      </c>
      <c r="H206" s="70"/>
      <c r="I206" s="70">
        <f t="shared" si="79"/>
        <v>153158</v>
      </c>
      <c r="J206" s="70">
        <v>85000</v>
      </c>
      <c r="K206" s="70">
        <f t="shared" si="80"/>
        <v>238158</v>
      </c>
      <c r="L206" s="70">
        <v>-1000</v>
      </c>
      <c r="M206" s="70">
        <f t="shared" si="81"/>
        <v>237158</v>
      </c>
      <c r="N206" s="70"/>
      <c r="O206" s="70">
        <f t="shared" si="82"/>
        <v>237158</v>
      </c>
    </row>
    <row r="207" spans="1:15" s="24" customFormat="1" ht="21" customHeight="1">
      <c r="A207" s="57"/>
      <c r="B207" s="71"/>
      <c r="C207" s="57">
        <v>4280</v>
      </c>
      <c r="D207" s="38" t="s">
        <v>204</v>
      </c>
      <c r="E207" s="70">
        <v>18900</v>
      </c>
      <c r="F207" s="70"/>
      <c r="G207" s="70">
        <f t="shared" si="78"/>
        <v>18900</v>
      </c>
      <c r="H207" s="70"/>
      <c r="I207" s="70">
        <f t="shared" si="79"/>
        <v>18900</v>
      </c>
      <c r="J207" s="70"/>
      <c r="K207" s="70">
        <f t="shared" si="80"/>
        <v>18900</v>
      </c>
      <c r="L207" s="70"/>
      <c r="M207" s="70">
        <f t="shared" si="81"/>
        <v>18900</v>
      </c>
      <c r="N207" s="70"/>
      <c r="O207" s="70">
        <f t="shared" si="82"/>
        <v>18900</v>
      </c>
    </row>
    <row r="208" spans="1:15" s="24" customFormat="1" ht="21" customHeight="1">
      <c r="A208" s="57"/>
      <c r="B208" s="71"/>
      <c r="C208" s="57">
        <v>4300</v>
      </c>
      <c r="D208" s="38" t="s">
        <v>81</v>
      </c>
      <c r="E208" s="70">
        <v>110748</v>
      </c>
      <c r="F208" s="70"/>
      <c r="G208" s="70">
        <f t="shared" si="78"/>
        <v>110748</v>
      </c>
      <c r="H208" s="70"/>
      <c r="I208" s="70">
        <f t="shared" si="79"/>
        <v>110748</v>
      </c>
      <c r="J208" s="70">
        <v>1000</v>
      </c>
      <c r="K208" s="70">
        <f t="shared" si="80"/>
        <v>111748</v>
      </c>
      <c r="L208" s="70"/>
      <c r="M208" s="70">
        <f t="shared" si="81"/>
        <v>111748</v>
      </c>
      <c r="N208" s="70">
        <v>-1000</v>
      </c>
      <c r="O208" s="70">
        <f t="shared" si="82"/>
        <v>110748</v>
      </c>
    </row>
    <row r="209" spans="1:15" s="24" customFormat="1" ht="21" customHeight="1">
      <c r="A209" s="57"/>
      <c r="B209" s="71"/>
      <c r="C209" s="57">
        <v>4350</v>
      </c>
      <c r="D209" s="38" t="s">
        <v>212</v>
      </c>
      <c r="E209" s="70">
        <v>4050</v>
      </c>
      <c r="F209" s="70"/>
      <c r="G209" s="70">
        <f t="shared" si="78"/>
        <v>4050</v>
      </c>
      <c r="H209" s="70"/>
      <c r="I209" s="70">
        <f t="shared" si="79"/>
        <v>4050</v>
      </c>
      <c r="J209" s="70"/>
      <c r="K209" s="70">
        <f t="shared" si="80"/>
        <v>4050</v>
      </c>
      <c r="L209" s="70"/>
      <c r="M209" s="70">
        <f t="shared" si="81"/>
        <v>4050</v>
      </c>
      <c r="N209" s="70">
        <v>200</v>
      </c>
      <c r="O209" s="70">
        <f t="shared" si="82"/>
        <v>4250</v>
      </c>
    </row>
    <row r="210" spans="1:15" s="24" customFormat="1" ht="27" customHeight="1">
      <c r="A210" s="57"/>
      <c r="B210" s="71"/>
      <c r="C210" s="57">
        <v>4360</v>
      </c>
      <c r="D210" s="38" t="s">
        <v>234</v>
      </c>
      <c r="E210" s="70"/>
      <c r="F210" s="70"/>
      <c r="G210" s="70"/>
      <c r="H210" s="70"/>
      <c r="I210" s="70">
        <v>0</v>
      </c>
      <c r="J210" s="70">
        <v>370</v>
      </c>
      <c r="K210" s="70">
        <f t="shared" si="80"/>
        <v>370</v>
      </c>
      <c r="L210" s="70"/>
      <c r="M210" s="70">
        <f t="shared" si="81"/>
        <v>370</v>
      </c>
      <c r="N210" s="70"/>
      <c r="O210" s="70">
        <f t="shared" si="82"/>
        <v>370</v>
      </c>
    </row>
    <row r="211" spans="1:15" s="24" customFormat="1" ht="24">
      <c r="A211" s="57"/>
      <c r="B211" s="71"/>
      <c r="C211" s="57">
        <v>4370</v>
      </c>
      <c r="D211" s="11" t="s">
        <v>231</v>
      </c>
      <c r="E211" s="70">
        <v>20770</v>
      </c>
      <c r="F211" s="70"/>
      <c r="G211" s="70">
        <f t="shared" si="78"/>
        <v>20770</v>
      </c>
      <c r="H211" s="70"/>
      <c r="I211" s="70">
        <f t="shared" si="79"/>
        <v>20770</v>
      </c>
      <c r="J211" s="70">
        <v>-370</v>
      </c>
      <c r="K211" s="70">
        <f t="shared" si="80"/>
        <v>20400</v>
      </c>
      <c r="L211" s="70"/>
      <c r="M211" s="70">
        <f t="shared" si="81"/>
        <v>20400</v>
      </c>
      <c r="N211" s="70">
        <v>1000</v>
      </c>
      <c r="O211" s="70">
        <f t="shared" si="82"/>
        <v>21400</v>
      </c>
    </row>
    <row r="212" spans="1:15" s="24" customFormat="1" ht="24">
      <c r="A212" s="57"/>
      <c r="B212" s="71"/>
      <c r="C212" s="57">
        <v>4390</v>
      </c>
      <c r="D212" s="38" t="s">
        <v>257</v>
      </c>
      <c r="E212" s="70">
        <v>5400</v>
      </c>
      <c r="F212" s="70"/>
      <c r="G212" s="70">
        <f t="shared" si="78"/>
        <v>5400</v>
      </c>
      <c r="H212" s="70"/>
      <c r="I212" s="70">
        <f t="shared" si="79"/>
        <v>5400</v>
      </c>
      <c r="J212" s="70"/>
      <c r="K212" s="70">
        <f t="shared" si="80"/>
        <v>5400</v>
      </c>
      <c r="L212" s="70"/>
      <c r="M212" s="70">
        <f t="shared" si="81"/>
        <v>5400</v>
      </c>
      <c r="N212" s="70"/>
      <c r="O212" s="70">
        <f t="shared" si="82"/>
        <v>5400</v>
      </c>
    </row>
    <row r="213" spans="1:15" s="24" customFormat="1" ht="21" customHeight="1">
      <c r="A213" s="57"/>
      <c r="B213" s="71"/>
      <c r="C213" s="57">
        <v>4410</v>
      </c>
      <c r="D213" s="38" t="s">
        <v>92</v>
      </c>
      <c r="E213" s="70">
        <v>18780</v>
      </c>
      <c r="F213" s="70"/>
      <c r="G213" s="70">
        <f t="shared" si="78"/>
        <v>18780</v>
      </c>
      <c r="H213" s="70"/>
      <c r="I213" s="70">
        <f t="shared" si="79"/>
        <v>18780</v>
      </c>
      <c r="J213" s="70"/>
      <c r="K213" s="70">
        <f t="shared" si="80"/>
        <v>18780</v>
      </c>
      <c r="L213" s="70"/>
      <c r="M213" s="70">
        <f t="shared" si="81"/>
        <v>18780</v>
      </c>
      <c r="N213" s="70"/>
      <c r="O213" s="70">
        <f t="shared" si="82"/>
        <v>18780</v>
      </c>
    </row>
    <row r="214" spans="1:15" s="24" customFormat="1" ht="21" customHeight="1">
      <c r="A214" s="57"/>
      <c r="B214" s="71"/>
      <c r="C214" s="60">
        <v>4430</v>
      </c>
      <c r="D214" s="38" t="s">
        <v>96</v>
      </c>
      <c r="E214" s="70">
        <v>8100</v>
      </c>
      <c r="F214" s="70"/>
      <c r="G214" s="70">
        <f t="shared" si="78"/>
        <v>8100</v>
      </c>
      <c r="H214" s="70"/>
      <c r="I214" s="70">
        <f t="shared" si="79"/>
        <v>8100</v>
      </c>
      <c r="J214" s="70"/>
      <c r="K214" s="70">
        <f t="shared" si="80"/>
        <v>8100</v>
      </c>
      <c r="L214" s="70">
        <f>1270+1500+580</f>
        <v>3350</v>
      </c>
      <c r="M214" s="70">
        <f t="shared" si="81"/>
        <v>11450</v>
      </c>
      <c r="N214" s="70">
        <v>800</v>
      </c>
      <c r="O214" s="70">
        <f t="shared" si="82"/>
        <v>12250</v>
      </c>
    </row>
    <row r="215" spans="1:15" s="24" customFormat="1" ht="24">
      <c r="A215" s="57"/>
      <c r="B215" s="71"/>
      <c r="C215" s="60">
        <v>4440</v>
      </c>
      <c r="D215" s="38" t="s">
        <v>90</v>
      </c>
      <c r="E215" s="70">
        <v>414975</v>
      </c>
      <c r="F215" s="70"/>
      <c r="G215" s="70">
        <f t="shared" si="78"/>
        <v>414975</v>
      </c>
      <c r="H215" s="70"/>
      <c r="I215" s="70">
        <f t="shared" si="79"/>
        <v>414975</v>
      </c>
      <c r="J215" s="70"/>
      <c r="K215" s="70">
        <f t="shared" si="80"/>
        <v>414975</v>
      </c>
      <c r="L215" s="70"/>
      <c r="M215" s="70">
        <f t="shared" si="81"/>
        <v>414975</v>
      </c>
      <c r="N215" s="70"/>
      <c r="O215" s="70">
        <f t="shared" si="82"/>
        <v>414975</v>
      </c>
    </row>
    <row r="216" spans="1:15" s="24" customFormat="1" ht="21" customHeight="1">
      <c r="A216" s="57"/>
      <c r="B216" s="71"/>
      <c r="C216" s="60">
        <v>4580</v>
      </c>
      <c r="D216" s="38" t="s">
        <v>11</v>
      </c>
      <c r="E216" s="70"/>
      <c r="F216" s="70"/>
      <c r="G216" s="70"/>
      <c r="H216" s="70"/>
      <c r="I216" s="70"/>
      <c r="J216" s="70"/>
      <c r="K216" s="70"/>
      <c r="L216" s="70"/>
      <c r="M216" s="70">
        <v>0</v>
      </c>
      <c r="N216" s="70">
        <v>19</v>
      </c>
      <c r="O216" s="70">
        <f t="shared" si="82"/>
        <v>19</v>
      </c>
    </row>
    <row r="217" spans="1:15" s="24" customFormat="1" ht="24">
      <c r="A217" s="57"/>
      <c r="B217" s="71"/>
      <c r="C217" s="60">
        <v>4700</v>
      </c>
      <c r="D217" s="38" t="s">
        <v>246</v>
      </c>
      <c r="E217" s="70">
        <v>8860</v>
      </c>
      <c r="F217" s="70"/>
      <c r="G217" s="70">
        <f t="shared" si="78"/>
        <v>8860</v>
      </c>
      <c r="H217" s="70"/>
      <c r="I217" s="70">
        <f t="shared" si="79"/>
        <v>8860</v>
      </c>
      <c r="J217" s="70"/>
      <c r="K217" s="70">
        <f t="shared" si="80"/>
        <v>8860</v>
      </c>
      <c r="L217" s="70"/>
      <c r="M217" s="70">
        <f t="shared" si="81"/>
        <v>8860</v>
      </c>
      <c r="N217" s="70"/>
      <c r="O217" s="70">
        <f t="shared" si="82"/>
        <v>8860</v>
      </c>
    </row>
    <row r="218" spans="1:15" s="24" customFormat="1" ht="26.25" customHeight="1">
      <c r="A218" s="57"/>
      <c r="B218" s="71"/>
      <c r="C218" s="60">
        <v>4740</v>
      </c>
      <c r="D218" s="11" t="s">
        <v>232</v>
      </c>
      <c r="E218" s="70">
        <v>5900</v>
      </c>
      <c r="F218" s="70"/>
      <c r="G218" s="70">
        <f t="shared" si="78"/>
        <v>5900</v>
      </c>
      <c r="H218" s="70"/>
      <c r="I218" s="70">
        <f t="shared" si="79"/>
        <v>5900</v>
      </c>
      <c r="J218" s="70"/>
      <c r="K218" s="70">
        <f t="shared" si="80"/>
        <v>5900</v>
      </c>
      <c r="L218" s="70"/>
      <c r="M218" s="70">
        <f t="shared" si="81"/>
        <v>5900</v>
      </c>
      <c r="N218" s="70"/>
      <c r="O218" s="70">
        <f t="shared" si="82"/>
        <v>5900</v>
      </c>
    </row>
    <row r="219" spans="1:15" s="24" customFormat="1" ht="24">
      <c r="A219" s="57"/>
      <c r="B219" s="71"/>
      <c r="C219" s="60">
        <v>4750</v>
      </c>
      <c r="D219" s="11" t="s">
        <v>233</v>
      </c>
      <c r="E219" s="70">
        <v>41690</v>
      </c>
      <c r="F219" s="70"/>
      <c r="G219" s="70">
        <f t="shared" si="78"/>
        <v>41690</v>
      </c>
      <c r="H219" s="70"/>
      <c r="I219" s="70">
        <f t="shared" si="79"/>
        <v>41690</v>
      </c>
      <c r="J219" s="70"/>
      <c r="K219" s="70">
        <f t="shared" si="80"/>
        <v>41690</v>
      </c>
      <c r="L219" s="70">
        <f>-1270-1500-580</f>
        <v>-3350</v>
      </c>
      <c r="M219" s="70">
        <f t="shared" si="81"/>
        <v>38340</v>
      </c>
      <c r="N219" s="70"/>
      <c r="O219" s="70">
        <f t="shared" si="82"/>
        <v>38340</v>
      </c>
    </row>
    <row r="220" spans="1:15" s="24" customFormat="1" ht="24">
      <c r="A220" s="57"/>
      <c r="B220" s="71"/>
      <c r="C220" s="60">
        <v>6050</v>
      </c>
      <c r="D220" s="11" t="s">
        <v>75</v>
      </c>
      <c r="E220" s="70">
        <v>2100000</v>
      </c>
      <c r="F220" s="70">
        <v>-1200000</v>
      </c>
      <c r="G220" s="70">
        <f t="shared" si="78"/>
        <v>900000</v>
      </c>
      <c r="H220" s="70"/>
      <c r="I220" s="70">
        <f t="shared" si="79"/>
        <v>900000</v>
      </c>
      <c r="J220" s="70"/>
      <c r="K220" s="70">
        <f t="shared" si="80"/>
        <v>900000</v>
      </c>
      <c r="L220" s="70"/>
      <c r="M220" s="70">
        <f t="shared" si="81"/>
        <v>900000</v>
      </c>
      <c r="N220" s="70"/>
      <c r="O220" s="70">
        <f t="shared" si="82"/>
        <v>900000</v>
      </c>
    </row>
    <row r="221" spans="1:15" s="24" customFormat="1" ht="24">
      <c r="A221" s="57"/>
      <c r="B221" s="71">
        <v>80103</v>
      </c>
      <c r="C221" s="60"/>
      <c r="D221" s="38" t="s">
        <v>209</v>
      </c>
      <c r="E221" s="70">
        <f aca="true" t="shared" si="83" ref="E221:K221">SUM(E222:E234)</f>
        <v>449927</v>
      </c>
      <c r="F221" s="70">
        <f t="shared" si="83"/>
        <v>0</v>
      </c>
      <c r="G221" s="70">
        <f t="shared" si="83"/>
        <v>449927</v>
      </c>
      <c r="H221" s="70">
        <f t="shared" si="83"/>
        <v>0</v>
      </c>
      <c r="I221" s="70">
        <f t="shared" si="83"/>
        <v>449927</v>
      </c>
      <c r="J221" s="70">
        <f t="shared" si="83"/>
        <v>0</v>
      </c>
      <c r="K221" s="70">
        <f t="shared" si="83"/>
        <v>449927</v>
      </c>
      <c r="L221" s="70">
        <f>SUM(L222:L234)</f>
        <v>0</v>
      </c>
      <c r="M221" s="70">
        <f>SUM(M222:M234)</f>
        <v>449927</v>
      </c>
      <c r="N221" s="70">
        <f>SUM(N222:N234)</f>
        <v>0</v>
      </c>
      <c r="O221" s="70">
        <f>SUM(O222:O234)</f>
        <v>449927</v>
      </c>
    </row>
    <row r="222" spans="1:15" s="24" customFormat="1" ht="24">
      <c r="A222" s="57"/>
      <c r="B222" s="71"/>
      <c r="C222" s="75">
        <v>2540</v>
      </c>
      <c r="D222" s="38" t="s">
        <v>188</v>
      </c>
      <c r="E222" s="70">
        <v>61433</v>
      </c>
      <c r="F222" s="70"/>
      <c r="G222" s="70">
        <f t="shared" si="78"/>
        <v>61433</v>
      </c>
      <c r="H222" s="70"/>
      <c r="I222" s="70">
        <f aca="true" t="shared" si="84" ref="I222:I234">SUM(G222:H222)</f>
        <v>61433</v>
      </c>
      <c r="J222" s="70"/>
      <c r="K222" s="70">
        <f aca="true" t="shared" si="85" ref="K222:K234">SUM(I222:J222)</f>
        <v>61433</v>
      </c>
      <c r="L222" s="70"/>
      <c r="M222" s="70">
        <f aca="true" t="shared" si="86" ref="M222:M234">SUM(K222:L222)</f>
        <v>61433</v>
      </c>
      <c r="N222" s="70"/>
      <c r="O222" s="70">
        <f aca="true" t="shared" si="87" ref="O222:O234">SUM(M222:N222)</f>
        <v>61433</v>
      </c>
    </row>
    <row r="223" spans="1:15" s="24" customFormat="1" ht="24">
      <c r="A223" s="57"/>
      <c r="B223" s="71"/>
      <c r="C223" s="75">
        <v>3020</v>
      </c>
      <c r="D223" s="38" t="s">
        <v>197</v>
      </c>
      <c r="E223" s="70">
        <v>19723</v>
      </c>
      <c r="F223" s="70"/>
      <c r="G223" s="70">
        <f t="shared" si="78"/>
        <v>19723</v>
      </c>
      <c r="H223" s="70"/>
      <c r="I223" s="70">
        <f t="shared" si="84"/>
        <v>19723</v>
      </c>
      <c r="J223" s="70"/>
      <c r="K223" s="70">
        <f t="shared" si="85"/>
        <v>19723</v>
      </c>
      <c r="L223" s="70"/>
      <c r="M223" s="70">
        <f t="shared" si="86"/>
        <v>19723</v>
      </c>
      <c r="N223" s="70"/>
      <c r="O223" s="70">
        <f t="shared" si="87"/>
        <v>19723</v>
      </c>
    </row>
    <row r="224" spans="1:17" s="24" customFormat="1" ht="21" customHeight="1">
      <c r="A224" s="57"/>
      <c r="B224" s="71"/>
      <c r="C224" s="75">
        <v>4010</v>
      </c>
      <c r="D224" s="38" t="s">
        <v>86</v>
      </c>
      <c r="E224" s="70">
        <v>258770</v>
      </c>
      <c r="F224" s="70"/>
      <c r="G224" s="70">
        <f t="shared" si="78"/>
        <v>258770</v>
      </c>
      <c r="H224" s="70"/>
      <c r="I224" s="70">
        <f t="shared" si="84"/>
        <v>258770</v>
      </c>
      <c r="J224" s="70">
        <v>940</v>
      </c>
      <c r="K224" s="70">
        <f t="shared" si="85"/>
        <v>259710</v>
      </c>
      <c r="L224" s="70"/>
      <c r="M224" s="70">
        <f t="shared" si="86"/>
        <v>259710</v>
      </c>
      <c r="N224" s="70"/>
      <c r="O224" s="70">
        <f t="shared" si="87"/>
        <v>259710</v>
      </c>
      <c r="P224" s="98"/>
      <c r="Q224" s="98"/>
    </row>
    <row r="225" spans="1:17" s="24" customFormat="1" ht="21" customHeight="1">
      <c r="A225" s="57"/>
      <c r="B225" s="71"/>
      <c r="C225" s="75">
        <v>4040</v>
      </c>
      <c r="D225" s="38" t="s">
        <v>87</v>
      </c>
      <c r="E225" s="70">
        <v>19531</v>
      </c>
      <c r="F225" s="70"/>
      <c r="G225" s="70">
        <f t="shared" si="78"/>
        <v>19531</v>
      </c>
      <c r="H225" s="70"/>
      <c r="I225" s="70">
        <f t="shared" si="84"/>
        <v>19531</v>
      </c>
      <c r="J225" s="70">
        <v>-940</v>
      </c>
      <c r="K225" s="70">
        <f t="shared" si="85"/>
        <v>18591</v>
      </c>
      <c r="L225" s="70"/>
      <c r="M225" s="70">
        <f t="shared" si="86"/>
        <v>18591</v>
      </c>
      <c r="N225" s="70"/>
      <c r="O225" s="70">
        <f t="shared" si="87"/>
        <v>18591</v>
      </c>
      <c r="P225" s="98"/>
      <c r="Q225" s="98"/>
    </row>
    <row r="226" spans="1:17" s="24" customFormat="1" ht="21" customHeight="1">
      <c r="A226" s="57"/>
      <c r="B226" s="71"/>
      <c r="C226" s="75">
        <v>4110</v>
      </c>
      <c r="D226" s="38" t="s">
        <v>88</v>
      </c>
      <c r="E226" s="70">
        <v>43218</v>
      </c>
      <c r="F226" s="70"/>
      <c r="G226" s="70">
        <f t="shared" si="78"/>
        <v>43218</v>
      </c>
      <c r="H226" s="70"/>
      <c r="I226" s="70">
        <f t="shared" si="84"/>
        <v>43218</v>
      </c>
      <c r="J226" s="70"/>
      <c r="K226" s="70">
        <f t="shared" si="85"/>
        <v>43218</v>
      </c>
      <c r="L226" s="70"/>
      <c r="M226" s="70">
        <f t="shared" si="86"/>
        <v>43218</v>
      </c>
      <c r="N226" s="70"/>
      <c r="O226" s="70">
        <f t="shared" si="87"/>
        <v>43218</v>
      </c>
      <c r="P226" s="98"/>
      <c r="Q226" s="98"/>
    </row>
    <row r="227" spans="1:17" s="24" customFormat="1" ht="21" customHeight="1">
      <c r="A227" s="57"/>
      <c r="B227" s="71"/>
      <c r="C227" s="75">
        <v>4120</v>
      </c>
      <c r="D227" s="38" t="s">
        <v>89</v>
      </c>
      <c r="E227" s="70">
        <v>7444</v>
      </c>
      <c r="F227" s="70"/>
      <c r="G227" s="70">
        <f t="shared" si="78"/>
        <v>7444</v>
      </c>
      <c r="H227" s="70"/>
      <c r="I227" s="70">
        <f t="shared" si="84"/>
        <v>7444</v>
      </c>
      <c r="J227" s="70"/>
      <c r="K227" s="70">
        <f t="shared" si="85"/>
        <v>7444</v>
      </c>
      <c r="L227" s="70"/>
      <c r="M227" s="70">
        <f t="shared" si="86"/>
        <v>7444</v>
      </c>
      <c r="N227" s="70"/>
      <c r="O227" s="70">
        <f t="shared" si="87"/>
        <v>7444</v>
      </c>
      <c r="P227" s="98"/>
      <c r="Q227" s="98"/>
    </row>
    <row r="228" spans="1:15" s="24" customFormat="1" ht="21" customHeight="1">
      <c r="A228" s="57"/>
      <c r="B228" s="71"/>
      <c r="C228" s="75">
        <v>4210</v>
      </c>
      <c r="D228" s="38" t="s">
        <v>74</v>
      </c>
      <c r="E228" s="70">
        <f>1700+8950</f>
        <v>10650</v>
      </c>
      <c r="F228" s="70"/>
      <c r="G228" s="70">
        <f t="shared" si="78"/>
        <v>10650</v>
      </c>
      <c r="H228" s="70"/>
      <c r="I228" s="70">
        <f t="shared" si="84"/>
        <v>10650</v>
      </c>
      <c r="J228" s="70">
        <v>-1400</v>
      </c>
      <c r="K228" s="70">
        <f t="shared" si="85"/>
        <v>9250</v>
      </c>
      <c r="L228" s="70"/>
      <c r="M228" s="70">
        <f t="shared" si="86"/>
        <v>9250</v>
      </c>
      <c r="N228" s="70"/>
      <c r="O228" s="70">
        <f t="shared" si="87"/>
        <v>9250</v>
      </c>
    </row>
    <row r="229" spans="1:15" s="24" customFormat="1" ht="24">
      <c r="A229" s="57"/>
      <c r="B229" s="71"/>
      <c r="C229" s="75">
        <v>4240</v>
      </c>
      <c r="D229" s="38" t="s">
        <v>125</v>
      </c>
      <c r="E229" s="70">
        <v>3200</v>
      </c>
      <c r="F229" s="70"/>
      <c r="G229" s="70">
        <f t="shared" si="78"/>
        <v>3200</v>
      </c>
      <c r="H229" s="70"/>
      <c r="I229" s="70">
        <f t="shared" si="84"/>
        <v>3200</v>
      </c>
      <c r="J229" s="70">
        <v>1400</v>
      </c>
      <c r="K229" s="70">
        <f t="shared" si="85"/>
        <v>4600</v>
      </c>
      <c r="L229" s="70"/>
      <c r="M229" s="70">
        <f t="shared" si="86"/>
        <v>4600</v>
      </c>
      <c r="N229" s="70"/>
      <c r="O229" s="70">
        <f t="shared" si="87"/>
        <v>4600</v>
      </c>
    </row>
    <row r="230" spans="1:15" s="24" customFormat="1" ht="21" customHeight="1">
      <c r="A230" s="57"/>
      <c r="B230" s="71"/>
      <c r="C230" s="75">
        <v>4260</v>
      </c>
      <c r="D230" s="38" t="s">
        <v>97</v>
      </c>
      <c r="E230" s="70">
        <v>600</v>
      </c>
      <c r="F230" s="70"/>
      <c r="G230" s="70">
        <f t="shared" si="78"/>
        <v>600</v>
      </c>
      <c r="H230" s="70"/>
      <c r="I230" s="70">
        <f t="shared" si="84"/>
        <v>600</v>
      </c>
      <c r="J230" s="70"/>
      <c r="K230" s="70">
        <f t="shared" si="85"/>
        <v>600</v>
      </c>
      <c r="L230" s="70"/>
      <c r="M230" s="70">
        <f t="shared" si="86"/>
        <v>600</v>
      </c>
      <c r="N230" s="70"/>
      <c r="O230" s="70">
        <f t="shared" si="87"/>
        <v>600</v>
      </c>
    </row>
    <row r="231" spans="1:15" s="24" customFormat="1" ht="21" customHeight="1">
      <c r="A231" s="57"/>
      <c r="B231" s="71"/>
      <c r="C231" s="75">
        <v>4270</v>
      </c>
      <c r="D231" s="38" t="s">
        <v>80</v>
      </c>
      <c r="E231" s="70">
        <v>6000</v>
      </c>
      <c r="F231" s="70"/>
      <c r="G231" s="70">
        <f t="shared" si="78"/>
        <v>6000</v>
      </c>
      <c r="H231" s="70"/>
      <c r="I231" s="70">
        <f t="shared" si="84"/>
        <v>6000</v>
      </c>
      <c r="J231" s="70"/>
      <c r="K231" s="70">
        <f t="shared" si="85"/>
        <v>6000</v>
      </c>
      <c r="L231" s="70"/>
      <c r="M231" s="70">
        <f t="shared" si="86"/>
        <v>6000</v>
      </c>
      <c r="N231" s="70"/>
      <c r="O231" s="70">
        <f t="shared" si="87"/>
        <v>6000</v>
      </c>
    </row>
    <row r="232" spans="1:15" s="24" customFormat="1" ht="21" customHeight="1">
      <c r="A232" s="57"/>
      <c r="B232" s="71"/>
      <c r="C232" s="75">
        <v>4280</v>
      </c>
      <c r="D232" s="38" t="s">
        <v>204</v>
      </c>
      <c r="E232" s="70">
        <v>600</v>
      </c>
      <c r="F232" s="70"/>
      <c r="G232" s="70">
        <f t="shared" si="78"/>
        <v>600</v>
      </c>
      <c r="H232" s="70"/>
      <c r="I232" s="70">
        <f t="shared" si="84"/>
        <v>600</v>
      </c>
      <c r="J232" s="70"/>
      <c r="K232" s="70">
        <f t="shared" si="85"/>
        <v>600</v>
      </c>
      <c r="L232" s="70"/>
      <c r="M232" s="70">
        <f t="shared" si="86"/>
        <v>600</v>
      </c>
      <c r="N232" s="70"/>
      <c r="O232" s="70">
        <f t="shared" si="87"/>
        <v>600</v>
      </c>
    </row>
    <row r="233" spans="1:15" s="24" customFormat="1" ht="24">
      <c r="A233" s="57"/>
      <c r="B233" s="71"/>
      <c r="C233" s="75">
        <v>4440</v>
      </c>
      <c r="D233" s="38" t="s">
        <v>116</v>
      </c>
      <c r="E233" s="70">
        <v>18558</v>
      </c>
      <c r="F233" s="70"/>
      <c r="G233" s="70">
        <f t="shared" si="78"/>
        <v>18558</v>
      </c>
      <c r="H233" s="70"/>
      <c r="I233" s="70">
        <f t="shared" si="84"/>
        <v>18558</v>
      </c>
      <c r="J233" s="70"/>
      <c r="K233" s="70">
        <f t="shared" si="85"/>
        <v>18558</v>
      </c>
      <c r="L233" s="70"/>
      <c r="M233" s="70">
        <f t="shared" si="86"/>
        <v>18558</v>
      </c>
      <c r="N233" s="70"/>
      <c r="O233" s="70">
        <f t="shared" si="87"/>
        <v>18558</v>
      </c>
    </row>
    <row r="234" spans="1:15" s="24" customFormat="1" ht="27" customHeight="1">
      <c r="A234" s="57"/>
      <c r="B234" s="71"/>
      <c r="C234" s="75">
        <v>4740</v>
      </c>
      <c r="D234" s="11" t="s">
        <v>232</v>
      </c>
      <c r="E234" s="70">
        <v>200</v>
      </c>
      <c r="F234" s="70"/>
      <c r="G234" s="70">
        <f t="shared" si="78"/>
        <v>200</v>
      </c>
      <c r="H234" s="70"/>
      <c r="I234" s="70">
        <f t="shared" si="84"/>
        <v>200</v>
      </c>
      <c r="J234" s="70"/>
      <c r="K234" s="70">
        <f t="shared" si="85"/>
        <v>200</v>
      </c>
      <c r="L234" s="70"/>
      <c r="M234" s="70">
        <f t="shared" si="86"/>
        <v>200</v>
      </c>
      <c r="N234" s="70"/>
      <c r="O234" s="70">
        <f t="shared" si="87"/>
        <v>200</v>
      </c>
    </row>
    <row r="235" spans="1:15" s="24" customFormat="1" ht="21" customHeight="1">
      <c r="A235" s="77"/>
      <c r="B235" s="71" t="s">
        <v>115</v>
      </c>
      <c r="C235" s="75"/>
      <c r="D235" s="38" t="s">
        <v>126</v>
      </c>
      <c r="E235" s="70">
        <f>SUM(E236:E237)</f>
        <v>3355548</v>
      </c>
      <c r="F235" s="70">
        <f>SUM(F236:F237)</f>
        <v>0</v>
      </c>
      <c r="G235" s="70">
        <f>SUM(G236:G237)</f>
        <v>3355548</v>
      </c>
      <c r="H235" s="70">
        <f>SUM(H236:H237)</f>
        <v>0</v>
      </c>
      <c r="I235" s="70">
        <f aca="true" t="shared" si="88" ref="I235:O235">SUM(I236:I238)</f>
        <v>3355548</v>
      </c>
      <c r="J235" s="70">
        <f t="shared" si="88"/>
        <v>43000</v>
      </c>
      <c r="K235" s="70">
        <f t="shared" si="88"/>
        <v>3398548</v>
      </c>
      <c r="L235" s="70">
        <f t="shared" si="88"/>
        <v>0</v>
      </c>
      <c r="M235" s="70">
        <f t="shared" si="88"/>
        <v>3398548</v>
      </c>
      <c r="N235" s="70">
        <f t="shared" si="88"/>
        <v>0</v>
      </c>
      <c r="O235" s="70">
        <f t="shared" si="88"/>
        <v>3398548</v>
      </c>
    </row>
    <row r="236" spans="1:15" s="24" customFormat="1" ht="24">
      <c r="A236" s="77"/>
      <c r="B236" s="71"/>
      <c r="C236" s="75">
        <v>2510</v>
      </c>
      <c r="D236" s="38" t="s">
        <v>127</v>
      </c>
      <c r="E236" s="70">
        <v>3355048</v>
      </c>
      <c r="F236" s="70"/>
      <c r="G236" s="70">
        <f t="shared" si="78"/>
        <v>3355048</v>
      </c>
      <c r="H236" s="70"/>
      <c r="I236" s="70">
        <f>SUM(G236:H236)</f>
        <v>3355048</v>
      </c>
      <c r="J236" s="70">
        <v>500</v>
      </c>
      <c r="K236" s="70">
        <f>SUM(I236:J236)</f>
        <v>3355548</v>
      </c>
      <c r="L236" s="70"/>
      <c r="M236" s="70">
        <f>SUM(K236:L236)</f>
        <v>3355548</v>
      </c>
      <c r="N236" s="70"/>
      <c r="O236" s="70">
        <f>SUM(M236:N236)</f>
        <v>3355548</v>
      </c>
    </row>
    <row r="237" spans="1:15" s="24" customFormat="1" ht="21" customHeight="1">
      <c r="A237" s="77"/>
      <c r="B237" s="71"/>
      <c r="C237" s="75">
        <v>4210</v>
      </c>
      <c r="D237" s="38" t="s">
        <v>74</v>
      </c>
      <c r="E237" s="70">
        <v>500</v>
      </c>
      <c r="F237" s="70"/>
      <c r="G237" s="70">
        <f t="shared" si="78"/>
        <v>500</v>
      </c>
      <c r="H237" s="70"/>
      <c r="I237" s="70">
        <f>SUM(G237:H237)</f>
        <v>500</v>
      </c>
      <c r="J237" s="70">
        <v>-500</v>
      </c>
      <c r="K237" s="70">
        <f>SUM(I237:J237)</f>
        <v>0</v>
      </c>
      <c r="L237" s="70"/>
      <c r="M237" s="70">
        <f>SUM(K237:L237)</f>
        <v>0</v>
      </c>
      <c r="N237" s="70"/>
      <c r="O237" s="70">
        <f>SUM(M237:N237)</f>
        <v>0</v>
      </c>
    </row>
    <row r="238" spans="1:15" s="24" customFormat="1" ht="21" customHeight="1">
      <c r="A238" s="77"/>
      <c r="B238" s="71"/>
      <c r="C238" s="75">
        <v>4270</v>
      </c>
      <c r="D238" s="38" t="s">
        <v>80</v>
      </c>
      <c r="E238" s="70"/>
      <c r="F238" s="70"/>
      <c r="G238" s="70"/>
      <c r="H238" s="70"/>
      <c r="I238" s="70">
        <v>0</v>
      </c>
      <c r="J238" s="70">
        <v>43000</v>
      </c>
      <c r="K238" s="70">
        <f>SUM(I238:J238)</f>
        <v>43000</v>
      </c>
      <c r="L238" s="70"/>
      <c r="M238" s="70">
        <f>SUM(K238:L238)</f>
        <v>43000</v>
      </c>
      <c r="N238" s="70"/>
      <c r="O238" s="70">
        <f>SUM(M238:N238)</f>
        <v>43000</v>
      </c>
    </row>
    <row r="239" spans="1:15" s="24" customFormat="1" ht="21" customHeight="1">
      <c r="A239" s="77"/>
      <c r="B239" s="71" t="s">
        <v>117</v>
      </c>
      <c r="C239" s="75"/>
      <c r="D239" s="38" t="s">
        <v>53</v>
      </c>
      <c r="E239" s="70">
        <f aca="true" t="shared" si="89" ref="E239:K239">SUM(E240:E264)</f>
        <v>9135030</v>
      </c>
      <c r="F239" s="70">
        <f t="shared" si="89"/>
        <v>-400000</v>
      </c>
      <c r="G239" s="70">
        <f t="shared" si="89"/>
        <v>8735030</v>
      </c>
      <c r="H239" s="70">
        <f t="shared" si="89"/>
        <v>0</v>
      </c>
      <c r="I239" s="70">
        <f t="shared" si="89"/>
        <v>8735030</v>
      </c>
      <c r="J239" s="70">
        <f t="shared" si="89"/>
        <v>-2400</v>
      </c>
      <c r="K239" s="70">
        <f t="shared" si="89"/>
        <v>8732630</v>
      </c>
      <c r="L239" s="70">
        <f>SUM(L240:L264)</f>
        <v>0</v>
      </c>
      <c r="M239" s="70">
        <f>SUM(M240:M264)</f>
        <v>8732630</v>
      </c>
      <c r="N239" s="70">
        <f>SUM(N240:N264)</f>
        <v>0</v>
      </c>
      <c r="O239" s="70">
        <f>SUM(O240:O264)</f>
        <v>8732630</v>
      </c>
    </row>
    <row r="240" spans="1:15" s="24" customFormat="1" ht="48">
      <c r="A240" s="77"/>
      <c r="B240" s="71"/>
      <c r="C240" s="75">
        <v>2590</v>
      </c>
      <c r="D240" s="38" t="s">
        <v>256</v>
      </c>
      <c r="E240" s="70">
        <v>101210</v>
      </c>
      <c r="F240" s="70"/>
      <c r="G240" s="70">
        <f t="shared" si="78"/>
        <v>101210</v>
      </c>
      <c r="H240" s="70"/>
      <c r="I240" s="70">
        <f aca="true" t="shared" si="90" ref="I240:I264">SUM(G240:H240)</f>
        <v>101210</v>
      </c>
      <c r="J240" s="70"/>
      <c r="K240" s="70">
        <f aca="true" t="shared" si="91" ref="K240:K264">SUM(I240:J240)</f>
        <v>101210</v>
      </c>
      <c r="L240" s="70"/>
      <c r="M240" s="70">
        <f aca="true" t="shared" si="92" ref="M240:M264">SUM(K240:L240)</f>
        <v>101210</v>
      </c>
      <c r="N240" s="70"/>
      <c r="O240" s="70">
        <f aca="true" t="shared" si="93" ref="O240:O264">SUM(M240:N240)</f>
        <v>101210</v>
      </c>
    </row>
    <row r="241" spans="1:15" s="24" customFormat="1" ht="21" customHeight="1">
      <c r="A241" s="57"/>
      <c r="B241" s="71"/>
      <c r="C241" s="75">
        <v>3020</v>
      </c>
      <c r="D241" s="38" t="s">
        <v>197</v>
      </c>
      <c r="E241" s="70">
        <v>42171</v>
      </c>
      <c r="F241" s="70"/>
      <c r="G241" s="70">
        <f t="shared" si="78"/>
        <v>42171</v>
      </c>
      <c r="H241" s="70"/>
      <c r="I241" s="70">
        <f t="shared" si="90"/>
        <v>42171</v>
      </c>
      <c r="J241" s="70"/>
      <c r="K241" s="70">
        <f t="shared" si="91"/>
        <v>42171</v>
      </c>
      <c r="L241" s="70"/>
      <c r="M241" s="70">
        <f t="shared" si="92"/>
        <v>42171</v>
      </c>
      <c r="N241" s="70"/>
      <c r="O241" s="70">
        <f t="shared" si="93"/>
        <v>42171</v>
      </c>
    </row>
    <row r="242" spans="1:17" s="24" customFormat="1" ht="21" customHeight="1">
      <c r="A242" s="57"/>
      <c r="B242" s="71"/>
      <c r="C242" s="75">
        <v>4010</v>
      </c>
      <c r="D242" s="38" t="s">
        <v>86</v>
      </c>
      <c r="E242" s="70">
        <v>3501950</v>
      </c>
      <c r="F242" s="70"/>
      <c r="G242" s="70">
        <f t="shared" si="78"/>
        <v>3501950</v>
      </c>
      <c r="H242" s="70"/>
      <c r="I242" s="70">
        <f t="shared" si="90"/>
        <v>3501950</v>
      </c>
      <c r="J242" s="70">
        <v>9023</v>
      </c>
      <c r="K242" s="70">
        <f t="shared" si="91"/>
        <v>3510973</v>
      </c>
      <c r="L242" s="70"/>
      <c r="M242" s="70">
        <f t="shared" si="92"/>
        <v>3510973</v>
      </c>
      <c r="N242" s="70"/>
      <c r="O242" s="70">
        <f t="shared" si="93"/>
        <v>3510973</v>
      </c>
      <c r="P242" s="98"/>
      <c r="Q242" s="98"/>
    </row>
    <row r="243" spans="1:17" s="24" customFormat="1" ht="21" customHeight="1">
      <c r="A243" s="57"/>
      <c r="B243" s="71"/>
      <c r="C243" s="75">
        <v>4040</v>
      </c>
      <c r="D243" s="38" t="s">
        <v>87</v>
      </c>
      <c r="E243" s="70">
        <v>264234</v>
      </c>
      <c r="F243" s="70"/>
      <c r="G243" s="70">
        <f t="shared" si="78"/>
        <v>264234</v>
      </c>
      <c r="H243" s="70"/>
      <c r="I243" s="70">
        <f t="shared" si="90"/>
        <v>264234</v>
      </c>
      <c r="J243" s="70">
        <v>-9023</v>
      </c>
      <c r="K243" s="70">
        <f t="shared" si="91"/>
        <v>255211</v>
      </c>
      <c r="L243" s="70"/>
      <c r="M243" s="70">
        <f t="shared" si="92"/>
        <v>255211</v>
      </c>
      <c r="N243" s="70"/>
      <c r="O243" s="70">
        <f t="shared" si="93"/>
        <v>255211</v>
      </c>
      <c r="P243" s="98"/>
      <c r="Q243" s="98"/>
    </row>
    <row r="244" spans="1:17" s="24" customFormat="1" ht="21" customHeight="1">
      <c r="A244" s="57"/>
      <c r="B244" s="71"/>
      <c r="C244" s="75">
        <v>4110</v>
      </c>
      <c r="D244" s="38" t="s">
        <v>88</v>
      </c>
      <c r="E244" s="70">
        <v>570864</v>
      </c>
      <c r="F244" s="70"/>
      <c r="G244" s="70">
        <f t="shared" si="78"/>
        <v>570864</v>
      </c>
      <c r="H244" s="70"/>
      <c r="I244" s="70">
        <f t="shared" si="90"/>
        <v>570864</v>
      </c>
      <c r="J244" s="70"/>
      <c r="K244" s="70">
        <f t="shared" si="91"/>
        <v>570864</v>
      </c>
      <c r="L244" s="70"/>
      <c r="M244" s="70">
        <f t="shared" si="92"/>
        <v>570864</v>
      </c>
      <c r="N244" s="70"/>
      <c r="O244" s="70">
        <f t="shared" si="93"/>
        <v>570864</v>
      </c>
      <c r="P244" s="98"/>
      <c r="Q244" s="98"/>
    </row>
    <row r="245" spans="1:17" s="24" customFormat="1" ht="21" customHeight="1">
      <c r="A245" s="57"/>
      <c r="B245" s="71"/>
      <c r="C245" s="75">
        <v>4120</v>
      </c>
      <c r="D245" s="38" t="s">
        <v>89</v>
      </c>
      <c r="E245" s="70">
        <v>94292</v>
      </c>
      <c r="F245" s="70"/>
      <c r="G245" s="70">
        <f t="shared" si="78"/>
        <v>94292</v>
      </c>
      <c r="H245" s="70"/>
      <c r="I245" s="70">
        <f t="shared" si="90"/>
        <v>94292</v>
      </c>
      <c r="J245" s="70"/>
      <c r="K245" s="70">
        <f t="shared" si="91"/>
        <v>94292</v>
      </c>
      <c r="L245" s="70"/>
      <c r="M245" s="70">
        <f t="shared" si="92"/>
        <v>94292</v>
      </c>
      <c r="N245" s="70"/>
      <c r="O245" s="70">
        <f t="shared" si="93"/>
        <v>94292</v>
      </c>
      <c r="P245" s="98"/>
      <c r="Q245" s="98"/>
    </row>
    <row r="246" spans="1:17" s="24" customFormat="1" ht="21" customHeight="1">
      <c r="A246" s="57"/>
      <c r="B246" s="71"/>
      <c r="C246" s="75">
        <v>4170</v>
      </c>
      <c r="D246" s="38" t="s">
        <v>199</v>
      </c>
      <c r="E246" s="70">
        <v>12700</v>
      </c>
      <c r="F246" s="70"/>
      <c r="G246" s="70">
        <f t="shared" si="78"/>
        <v>12700</v>
      </c>
      <c r="H246" s="70"/>
      <c r="I246" s="70">
        <f t="shared" si="90"/>
        <v>12700</v>
      </c>
      <c r="J246" s="70"/>
      <c r="K246" s="70">
        <f t="shared" si="91"/>
        <v>12700</v>
      </c>
      <c r="L246" s="70"/>
      <c r="M246" s="70">
        <f t="shared" si="92"/>
        <v>12700</v>
      </c>
      <c r="N246" s="70"/>
      <c r="O246" s="70">
        <f t="shared" si="93"/>
        <v>12700</v>
      </c>
      <c r="P246" s="98"/>
      <c r="Q246" s="98"/>
    </row>
    <row r="247" spans="1:15" s="24" customFormat="1" ht="21" customHeight="1">
      <c r="A247" s="57"/>
      <c r="B247" s="71"/>
      <c r="C247" s="75">
        <v>4210</v>
      </c>
      <c r="D247" s="38" t="s">
        <v>94</v>
      </c>
      <c r="E247" s="70">
        <f>1000+170700</f>
        <v>171700</v>
      </c>
      <c r="F247" s="70"/>
      <c r="G247" s="70">
        <f t="shared" si="78"/>
        <v>171700</v>
      </c>
      <c r="H247" s="70"/>
      <c r="I247" s="70">
        <f t="shared" si="90"/>
        <v>171700</v>
      </c>
      <c r="J247" s="70">
        <v>600</v>
      </c>
      <c r="K247" s="70">
        <f t="shared" si="91"/>
        <v>172300</v>
      </c>
      <c r="L247" s="70"/>
      <c r="M247" s="70">
        <f t="shared" si="92"/>
        <v>172300</v>
      </c>
      <c r="N247" s="70">
        <v>-510</v>
      </c>
      <c r="O247" s="70">
        <f t="shared" si="93"/>
        <v>171790</v>
      </c>
    </row>
    <row r="248" spans="1:15" s="24" customFormat="1" ht="21" customHeight="1">
      <c r="A248" s="57"/>
      <c r="B248" s="71"/>
      <c r="C248" s="75">
        <v>4230</v>
      </c>
      <c r="D248" s="38" t="s">
        <v>244</v>
      </c>
      <c r="E248" s="70">
        <v>1500</v>
      </c>
      <c r="F248" s="70"/>
      <c r="G248" s="70">
        <f t="shared" si="78"/>
        <v>1500</v>
      </c>
      <c r="H248" s="70"/>
      <c r="I248" s="70">
        <f t="shared" si="90"/>
        <v>1500</v>
      </c>
      <c r="J248" s="70"/>
      <c r="K248" s="70">
        <f t="shared" si="91"/>
        <v>1500</v>
      </c>
      <c r="L248" s="70"/>
      <c r="M248" s="70">
        <f t="shared" si="92"/>
        <v>1500</v>
      </c>
      <c r="N248" s="70"/>
      <c r="O248" s="70">
        <f t="shared" si="93"/>
        <v>1500</v>
      </c>
    </row>
    <row r="249" spans="1:15" s="24" customFormat="1" ht="21" customHeight="1">
      <c r="A249" s="57"/>
      <c r="B249" s="71"/>
      <c r="C249" s="75">
        <v>4240</v>
      </c>
      <c r="D249" s="38" t="s">
        <v>125</v>
      </c>
      <c r="E249" s="70">
        <v>11100</v>
      </c>
      <c r="F249" s="70"/>
      <c r="G249" s="70">
        <f t="shared" si="78"/>
        <v>11100</v>
      </c>
      <c r="H249" s="70"/>
      <c r="I249" s="70">
        <f t="shared" si="90"/>
        <v>11100</v>
      </c>
      <c r="J249" s="70"/>
      <c r="K249" s="70">
        <f t="shared" si="91"/>
        <v>11100</v>
      </c>
      <c r="L249" s="70"/>
      <c r="M249" s="70">
        <f t="shared" si="92"/>
        <v>11100</v>
      </c>
      <c r="N249" s="70"/>
      <c r="O249" s="70">
        <f t="shared" si="93"/>
        <v>11100</v>
      </c>
    </row>
    <row r="250" spans="1:15" s="24" customFormat="1" ht="21" customHeight="1">
      <c r="A250" s="57"/>
      <c r="B250" s="71"/>
      <c r="C250" s="75">
        <v>4260</v>
      </c>
      <c r="D250" s="38" t="s">
        <v>97</v>
      </c>
      <c r="E250" s="70">
        <v>291500</v>
      </c>
      <c r="F250" s="70"/>
      <c r="G250" s="70">
        <f t="shared" si="78"/>
        <v>291500</v>
      </c>
      <c r="H250" s="70"/>
      <c r="I250" s="70">
        <f t="shared" si="90"/>
        <v>291500</v>
      </c>
      <c r="J250" s="70"/>
      <c r="K250" s="70">
        <f t="shared" si="91"/>
        <v>291500</v>
      </c>
      <c r="L250" s="70"/>
      <c r="M250" s="70">
        <f t="shared" si="92"/>
        <v>291500</v>
      </c>
      <c r="N250" s="70"/>
      <c r="O250" s="70">
        <f t="shared" si="93"/>
        <v>291500</v>
      </c>
    </row>
    <row r="251" spans="1:15" s="24" customFormat="1" ht="21" customHeight="1">
      <c r="A251" s="57"/>
      <c r="B251" s="71"/>
      <c r="C251" s="75">
        <v>4270</v>
      </c>
      <c r="D251" s="38" t="s">
        <v>80</v>
      </c>
      <c r="E251" s="70">
        <v>49550</v>
      </c>
      <c r="F251" s="70"/>
      <c r="G251" s="70">
        <f t="shared" si="78"/>
        <v>49550</v>
      </c>
      <c r="H251" s="70"/>
      <c r="I251" s="70">
        <f t="shared" si="90"/>
        <v>49550</v>
      </c>
      <c r="J251" s="70">
        <f>-3250</f>
        <v>-3250</v>
      </c>
      <c r="K251" s="70">
        <f t="shared" si="91"/>
        <v>46300</v>
      </c>
      <c r="L251" s="70"/>
      <c r="M251" s="70">
        <f t="shared" si="92"/>
        <v>46300</v>
      </c>
      <c r="N251" s="70"/>
      <c r="O251" s="70">
        <f t="shared" si="93"/>
        <v>46300</v>
      </c>
    </row>
    <row r="252" spans="1:15" s="24" customFormat="1" ht="21" customHeight="1">
      <c r="A252" s="57"/>
      <c r="B252" s="71"/>
      <c r="C252" s="75">
        <v>4280</v>
      </c>
      <c r="D252" s="38" t="s">
        <v>204</v>
      </c>
      <c r="E252" s="70">
        <v>8400</v>
      </c>
      <c r="F252" s="70"/>
      <c r="G252" s="70">
        <f t="shared" si="78"/>
        <v>8400</v>
      </c>
      <c r="H252" s="70"/>
      <c r="I252" s="70">
        <f t="shared" si="90"/>
        <v>8400</v>
      </c>
      <c r="J252" s="70"/>
      <c r="K252" s="70">
        <f t="shared" si="91"/>
        <v>8400</v>
      </c>
      <c r="L252" s="70"/>
      <c r="M252" s="70">
        <f t="shared" si="92"/>
        <v>8400</v>
      </c>
      <c r="N252" s="70"/>
      <c r="O252" s="70">
        <f t="shared" si="93"/>
        <v>8400</v>
      </c>
    </row>
    <row r="253" spans="1:15" s="24" customFormat="1" ht="21" customHeight="1">
      <c r="A253" s="57"/>
      <c r="B253" s="71"/>
      <c r="C253" s="75">
        <v>4300</v>
      </c>
      <c r="D253" s="38" t="s">
        <v>81</v>
      </c>
      <c r="E253" s="70">
        <v>44500</v>
      </c>
      <c r="F253" s="70"/>
      <c r="G253" s="70">
        <f t="shared" si="78"/>
        <v>44500</v>
      </c>
      <c r="H253" s="70"/>
      <c r="I253" s="70">
        <f t="shared" si="90"/>
        <v>44500</v>
      </c>
      <c r="J253" s="70"/>
      <c r="K253" s="70">
        <f t="shared" si="91"/>
        <v>44500</v>
      </c>
      <c r="L253" s="70"/>
      <c r="M253" s="70">
        <f t="shared" si="92"/>
        <v>44500</v>
      </c>
      <c r="N253" s="70">
        <v>-1000</v>
      </c>
      <c r="O253" s="70">
        <f t="shared" si="93"/>
        <v>43500</v>
      </c>
    </row>
    <row r="254" spans="1:15" s="24" customFormat="1" ht="21" customHeight="1">
      <c r="A254" s="57"/>
      <c r="B254" s="71"/>
      <c r="C254" s="75">
        <v>4350</v>
      </c>
      <c r="D254" s="38" t="s">
        <v>212</v>
      </c>
      <c r="E254" s="70">
        <v>2400</v>
      </c>
      <c r="F254" s="70"/>
      <c r="G254" s="70">
        <f t="shared" si="78"/>
        <v>2400</v>
      </c>
      <c r="H254" s="70"/>
      <c r="I254" s="70">
        <f t="shared" si="90"/>
        <v>2400</v>
      </c>
      <c r="J254" s="70"/>
      <c r="K254" s="70">
        <f t="shared" si="91"/>
        <v>2400</v>
      </c>
      <c r="L254" s="70"/>
      <c r="M254" s="70">
        <f t="shared" si="92"/>
        <v>2400</v>
      </c>
      <c r="N254" s="70">
        <v>1500</v>
      </c>
      <c r="O254" s="70">
        <f t="shared" si="93"/>
        <v>3900</v>
      </c>
    </row>
    <row r="255" spans="1:15" s="24" customFormat="1" ht="28.5" customHeight="1">
      <c r="A255" s="57"/>
      <c r="B255" s="71"/>
      <c r="C255" s="75">
        <v>4370</v>
      </c>
      <c r="D255" s="11" t="s">
        <v>231</v>
      </c>
      <c r="E255" s="70">
        <v>9000</v>
      </c>
      <c r="F255" s="70"/>
      <c r="G255" s="70">
        <f t="shared" si="78"/>
        <v>9000</v>
      </c>
      <c r="H255" s="70"/>
      <c r="I255" s="70">
        <f t="shared" si="90"/>
        <v>9000</v>
      </c>
      <c r="J255" s="70"/>
      <c r="K255" s="70">
        <f t="shared" si="91"/>
        <v>9000</v>
      </c>
      <c r="L255" s="70"/>
      <c r="M255" s="70">
        <f t="shared" si="92"/>
        <v>9000</v>
      </c>
      <c r="N255" s="70">
        <v>-500</v>
      </c>
      <c r="O255" s="70">
        <f t="shared" si="93"/>
        <v>8500</v>
      </c>
    </row>
    <row r="256" spans="1:15" s="24" customFormat="1" ht="26.25" customHeight="1">
      <c r="A256" s="57"/>
      <c r="B256" s="71"/>
      <c r="C256" s="75">
        <v>4390</v>
      </c>
      <c r="D256" s="38" t="s">
        <v>257</v>
      </c>
      <c r="E256" s="70">
        <v>800</v>
      </c>
      <c r="F256" s="70"/>
      <c r="G256" s="70">
        <f t="shared" si="78"/>
        <v>800</v>
      </c>
      <c r="H256" s="70"/>
      <c r="I256" s="70">
        <f t="shared" si="90"/>
        <v>800</v>
      </c>
      <c r="J256" s="70"/>
      <c r="K256" s="70">
        <f t="shared" si="91"/>
        <v>800</v>
      </c>
      <c r="L256" s="70"/>
      <c r="M256" s="70">
        <f t="shared" si="92"/>
        <v>800</v>
      </c>
      <c r="N256" s="70"/>
      <c r="O256" s="70">
        <f t="shared" si="93"/>
        <v>800</v>
      </c>
    </row>
    <row r="257" spans="1:15" s="24" customFormat="1" ht="21" customHeight="1">
      <c r="A257" s="57"/>
      <c r="B257" s="71"/>
      <c r="C257" s="75">
        <v>4410</v>
      </c>
      <c r="D257" s="38" t="s">
        <v>92</v>
      </c>
      <c r="E257" s="70">
        <v>6000</v>
      </c>
      <c r="F257" s="70"/>
      <c r="G257" s="70">
        <f t="shared" si="78"/>
        <v>6000</v>
      </c>
      <c r="H257" s="70"/>
      <c r="I257" s="70">
        <f t="shared" si="90"/>
        <v>6000</v>
      </c>
      <c r="J257" s="70"/>
      <c r="K257" s="70">
        <f t="shared" si="91"/>
        <v>6000</v>
      </c>
      <c r="L257" s="70"/>
      <c r="M257" s="70">
        <f t="shared" si="92"/>
        <v>6000</v>
      </c>
      <c r="N257" s="70">
        <v>500</v>
      </c>
      <c r="O257" s="70">
        <f t="shared" si="93"/>
        <v>6500</v>
      </c>
    </row>
    <row r="258" spans="1:15" s="24" customFormat="1" ht="21" customHeight="1">
      <c r="A258" s="57"/>
      <c r="B258" s="71"/>
      <c r="C258" s="75">
        <v>4430</v>
      </c>
      <c r="D258" s="38" t="s">
        <v>96</v>
      </c>
      <c r="E258" s="70">
        <v>4000</v>
      </c>
      <c r="F258" s="70"/>
      <c r="G258" s="70">
        <f t="shared" si="78"/>
        <v>4000</v>
      </c>
      <c r="H258" s="70"/>
      <c r="I258" s="70">
        <f t="shared" si="90"/>
        <v>4000</v>
      </c>
      <c r="J258" s="70">
        <v>250</v>
      </c>
      <c r="K258" s="70">
        <f t="shared" si="91"/>
        <v>4250</v>
      </c>
      <c r="L258" s="70"/>
      <c r="M258" s="70">
        <f t="shared" si="92"/>
        <v>4250</v>
      </c>
      <c r="N258" s="70"/>
      <c r="O258" s="70">
        <f t="shared" si="93"/>
        <v>4250</v>
      </c>
    </row>
    <row r="259" spans="1:15" s="24" customFormat="1" ht="26.25" customHeight="1">
      <c r="A259" s="57"/>
      <c r="B259" s="71"/>
      <c r="C259" s="75">
        <v>4440</v>
      </c>
      <c r="D259" s="38" t="s">
        <v>90</v>
      </c>
      <c r="E259" s="70">
        <v>205309</v>
      </c>
      <c r="F259" s="70"/>
      <c r="G259" s="70">
        <f t="shared" si="78"/>
        <v>205309</v>
      </c>
      <c r="H259" s="70"/>
      <c r="I259" s="70">
        <f t="shared" si="90"/>
        <v>205309</v>
      </c>
      <c r="J259" s="70"/>
      <c r="K259" s="70">
        <f t="shared" si="91"/>
        <v>205309</v>
      </c>
      <c r="L259" s="70"/>
      <c r="M259" s="70">
        <f t="shared" si="92"/>
        <v>205309</v>
      </c>
      <c r="N259" s="70"/>
      <c r="O259" s="70">
        <f t="shared" si="93"/>
        <v>205309</v>
      </c>
    </row>
    <row r="260" spans="1:15" s="24" customFormat="1" ht="26.25" customHeight="1">
      <c r="A260" s="57"/>
      <c r="B260" s="71"/>
      <c r="C260" s="75">
        <v>4580</v>
      </c>
      <c r="D260" s="38"/>
      <c r="E260" s="70"/>
      <c r="F260" s="70"/>
      <c r="G260" s="70"/>
      <c r="H260" s="70"/>
      <c r="I260" s="70"/>
      <c r="J260" s="70"/>
      <c r="K260" s="70"/>
      <c r="L260" s="70"/>
      <c r="M260" s="70">
        <v>0</v>
      </c>
      <c r="N260" s="70">
        <v>10</v>
      </c>
      <c r="O260" s="70">
        <f t="shared" si="93"/>
        <v>10</v>
      </c>
    </row>
    <row r="261" spans="1:15" s="24" customFormat="1" ht="27" customHeight="1">
      <c r="A261" s="57"/>
      <c r="B261" s="71"/>
      <c r="C261" s="75">
        <v>4700</v>
      </c>
      <c r="D261" s="38" t="s">
        <v>246</v>
      </c>
      <c r="E261" s="70">
        <v>2500</v>
      </c>
      <c r="F261" s="70"/>
      <c r="G261" s="70">
        <f t="shared" si="78"/>
        <v>2500</v>
      </c>
      <c r="H261" s="70"/>
      <c r="I261" s="70">
        <f t="shared" si="90"/>
        <v>2500</v>
      </c>
      <c r="J261" s="70"/>
      <c r="K261" s="70">
        <f t="shared" si="91"/>
        <v>2500</v>
      </c>
      <c r="L261" s="70"/>
      <c r="M261" s="70">
        <f t="shared" si="92"/>
        <v>2500</v>
      </c>
      <c r="N261" s="70"/>
      <c r="O261" s="70">
        <f t="shared" si="93"/>
        <v>2500</v>
      </c>
    </row>
    <row r="262" spans="1:15" s="24" customFormat="1" ht="27" customHeight="1">
      <c r="A262" s="57"/>
      <c r="B262" s="71"/>
      <c r="C262" s="75">
        <v>4740</v>
      </c>
      <c r="D262" s="11" t="s">
        <v>232</v>
      </c>
      <c r="E262" s="70">
        <v>4500</v>
      </c>
      <c r="F262" s="70"/>
      <c r="G262" s="70">
        <f aca="true" t="shared" si="94" ref="G262:G329">SUM(E262:F262)</f>
        <v>4500</v>
      </c>
      <c r="H262" s="70"/>
      <c r="I262" s="70">
        <f t="shared" si="90"/>
        <v>4500</v>
      </c>
      <c r="J262" s="70"/>
      <c r="K262" s="70">
        <f t="shared" si="91"/>
        <v>4500</v>
      </c>
      <c r="L262" s="70"/>
      <c r="M262" s="70">
        <f t="shared" si="92"/>
        <v>4500</v>
      </c>
      <c r="N262" s="70">
        <v>-1000</v>
      </c>
      <c r="O262" s="70">
        <f t="shared" si="93"/>
        <v>3500</v>
      </c>
    </row>
    <row r="263" spans="1:15" s="24" customFormat="1" ht="24.75" customHeight="1">
      <c r="A263" s="57"/>
      <c r="B263" s="71"/>
      <c r="C263" s="75">
        <v>4750</v>
      </c>
      <c r="D263" s="11" t="s">
        <v>233</v>
      </c>
      <c r="E263" s="70">
        <v>14850</v>
      </c>
      <c r="F263" s="70"/>
      <c r="G263" s="70">
        <f t="shared" si="94"/>
        <v>14850</v>
      </c>
      <c r="H263" s="70"/>
      <c r="I263" s="70">
        <f t="shared" si="90"/>
        <v>14850</v>
      </c>
      <c r="J263" s="70"/>
      <c r="K263" s="70">
        <f t="shared" si="91"/>
        <v>14850</v>
      </c>
      <c r="L263" s="70"/>
      <c r="M263" s="70">
        <f t="shared" si="92"/>
        <v>14850</v>
      </c>
      <c r="N263" s="70">
        <v>1000</v>
      </c>
      <c r="O263" s="70">
        <f t="shared" si="93"/>
        <v>15850</v>
      </c>
    </row>
    <row r="264" spans="1:15" s="24" customFormat="1" ht="24.75" customHeight="1">
      <c r="A264" s="57"/>
      <c r="B264" s="71"/>
      <c r="C264" s="75">
        <v>6050</v>
      </c>
      <c r="D264" s="11" t="s">
        <v>75</v>
      </c>
      <c r="E264" s="70">
        <f>4720000-1000000</f>
        <v>3720000</v>
      </c>
      <c r="F264" s="70">
        <f>-1200000+800000</f>
        <v>-400000</v>
      </c>
      <c r="G264" s="70">
        <f t="shared" si="94"/>
        <v>3320000</v>
      </c>
      <c r="H264" s="70"/>
      <c r="I264" s="70">
        <f t="shared" si="90"/>
        <v>3320000</v>
      </c>
      <c r="J264" s="70"/>
      <c r="K264" s="70">
        <f t="shared" si="91"/>
        <v>3320000</v>
      </c>
      <c r="L264" s="70"/>
      <c r="M264" s="70">
        <f t="shared" si="92"/>
        <v>3320000</v>
      </c>
      <c r="N264" s="70"/>
      <c r="O264" s="70">
        <f t="shared" si="93"/>
        <v>3320000</v>
      </c>
    </row>
    <row r="265" spans="1:15" s="24" customFormat="1" ht="21" customHeight="1">
      <c r="A265" s="57"/>
      <c r="B265" s="62" t="s">
        <v>118</v>
      </c>
      <c r="C265" s="41"/>
      <c r="D265" s="11" t="s">
        <v>119</v>
      </c>
      <c r="E265" s="61">
        <f aca="true" t="shared" si="95" ref="E265:K265">SUM(E266:E271)</f>
        <v>309460</v>
      </c>
      <c r="F265" s="61">
        <f t="shared" si="95"/>
        <v>0</v>
      </c>
      <c r="G265" s="61">
        <f t="shared" si="95"/>
        <v>309460</v>
      </c>
      <c r="H265" s="61">
        <f t="shared" si="95"/>
        <v>0</v>
      </c>
      <c r="I265" s="61">
        <f t="shared" si="95"/>
        <v>309460</v>
      </c>
      <c r="J265" s="61">
        <f t="shared" si="95"/>
        <v>0</v>
      </c>
      <c r="K265" s="61">
        <f t="shared" si="95"/>
        <v>309460</v>
      </c>
      <c r="L265" s="61">
        <f>SUM(L266:L271)</f>
        <v>0</v>
      </c>
      <c r="M265" s="61">
        <f>SUM(M266:M271)</f>
        <v>309460</v>
      </c>
      <c r="N265" s="61">
        <f>SUM(N266:N271)</f>
        <v>0</v>
      </c>
      <c r="O265" s="61">
        <f>SUM(O266:O271)</f>
        <v>309460</v>
      </c>
    </row>
    <row r="266" spans="1:17" s="24" customFormat="1" ht="21" customHeight="1">
      <c r="A266" s="57"/>
      <c r="B266" s="62"/>
      <c r="C266" s="41">
        <v>4110</v>
      </c>
      <c r="D266" s="38" t="s">
        <v>88</v>
      </c>
      <c r="E266" s="61">
        <v>2592</v>
      </c>
      <c r="F266" s="61"/>
      <c r="G266" s="70">
        <f t="shared" si="94"/>
        <v>2592</v>
      </c>
      <c r="H266" s="61"/>
      <c r="I266" s="70">
        <f aca="true" t="shared" si="96" ref="I266:I271">SUM(G266:H266)</f>
        <v>2592</v>
      </c>
      <c r="J266" s="61"/>
      <c r="K266" s="70">
        <f aca="true" t="shared" si="97" ref="K266:K271">SUM(I266:J266)</f>
        <v>2592</v>
      </c>
      <c r="L266" s="61"/>
      <c r="M266" s="70">
        <f aca="true" t="shared" si="98" ref="M266:M271">SUM(K266:L266)</f>
        <v>2592</v>
      </c>
      <c r="N266" s="61"/>
      <c r="O266" s="70">
        <f aca="true" t="shared" si="99" ref="O266:O271">SUM(M266:N266)</f>
        <v>2592</v>
      </c>
      <c r="P266" s="98"/>
      <c r="Q266" s="98"/>
    </row>
    <row r="267" spans="1:17" s="24" customFormat="1" ht="21" customHeight="1">
      <c r="A267" s="57"/>
      <c r="B267" s="62"/>
      <c r="C267" s="41">
        <v>4120</v>
      </c>
      <c r="D267" s="38" t="s">
        <v>89</v>
      </c>
      <c r="E267" s="61">
        <v>368</v>
      </c>
      <c r="F267" s="61"/>
      <c r="G267" s="70">
        <f t="shared" si="94"/>
        <v>368</v>
      </c>
      <c r="H267" s="61"/>
      <c r="I267" s="70">
        <f t="shared" si="96"/>
        <v>368</v>
      </c>
      <c r="J267" s="61"/>
      <c r="K267" s="70">
        <f t="shared" si="97"/>
        <v>368</v>
      </c>
      <c r="L267" s="61"/>
      <c r="M267" s="70">
        <f t="shared" si="98"/>
        <v>368</v>
      </c>
      <c r="N267" s="61"/>
      <c r="O267" s="70">
        <f t="shared" si="99"/>
        <v>368</v>
      </c>
      <c r="P267" s="98"/>
      <c r="Q267" s="98"/>
    </row>
    <row r="268" spans="1:17" s="24" customFormat="1" ht="21" customHeight="1">
      <c r="A268" s="57"/>
      <c r="B268" s="62"/>
      <c r="C268" s="41">
        <v>4170</v>
      </c>
      <c r="D268" s="38" t="s">
        <v>199</v>
      </c>
      <c r="E268" s="61">
        <v>24000</v>
      </c>
      <c r="F268" s="61"/>
      <c r="G268" s="70">
        <f t="shared" si="94"/>
        <v>24000</v>
      </c>
      <c r="H268" s="61"/>
      <c r="I268" s="70">
        <f t="shared" si="96"/>
        <v>24000</v>
      </c>
      <c r="J268" s="61"/>
      <c r="K268" s="70">
        <f t="shared" si="97"/>
        <v>24000</v>
      </c>
      <c r="L268" s="61"/>
      <c r="M268" s="70">
        <f t="shared" si="98"/>
        <v>24000</v>
      </c>
      <c r="N268" s="61"/>
      <c r="O268" s="70">
        <f t="shared" si="99"/>
        <v>24000</v>
      </c>
      <c r="P268" s="98"/>
      <c r="Q268" s="98"/>
    </row>
    <row r="269" spans="1:15" s="24" customFormat="1" ht="21" customHeight="1">
      <c r="A269" s="57"/>
      <c r="B269" s="62"/>
      <c r="C269" s="41">
        <v>4210</v>
      </c>
      <c r="D269" s="11" t="s">
        <v>94</v>
      </c>
      <c r="E269" s="61">
        <v>45000</v>
      </c>
      <c r="F269" s="61"/>
      <c r="G269" s="70">
        <f t="shared" si="94"/>
        <v>45000</v>
      </c>
      <c r="H269" s="61"/>
      <c r="I269" s="70">
        <f t="shared" si="96"/>
        <v>45000</v>
      </c>
      <c r="J269" s="61"/>
      <c r="K269" s="70">
        <f t="shared" si="97"/>
        <v>45000</v>
      </c>
      <c r="L269" s="61"/>
      <c r="M269" s="70">
        <f t="shared" si="98"/>
        <v>45000</v>
      </c>
      <c r="N269" s="61"/>
      <c r="O269" s="70">
        <f t="shared" si="99"/>
        <v>45000</v>
      </c>
    </row>
    <row r="270" spans="1:15" s="24" customFormat="1" ht="21" customHeight="1">
      <c r="A270" s="57"/>
      <c r="B270" s="62"/>
      <c r="C270" s="41">
        <v>4300</v>
      </c>
      <c r="D270" s="11" t="s">
        <v>81</v>
      </c>
      <c r="E270" s="61">
        <f>215000+10000+8000</f>
        <v>233000</v>
      </c>
      <c r="F270" s="61"/>
      <c r="G270" s="70">
        <f t="shared" si="94"/>
        <v>233000</v>
      </c>
      <c r="H270" s="61"/>
      <c r="I270" s="70">
        <f t="shared" si="96"/>
        <v>233000</v>
      </c>
      <c r="J270" s="61"/>
      <c r="K270" s="70">
        <f t="shared" si="97"/>
        <v>233000</v>
      </c>
      <c r="L270" s="61"/>
      <c r="M270" s="70">
        <f t="shared" si="98"/>
        <v>233000</v>
      </c>
      <c r="N270" s="61"/>
      <c r="O270" s="70">
        <f t="shared" si="99"/>
        <v>233000</v>
      </c>
    </row>
    <row r="271" spans="1:15" s="24" customFormat="1" ht="21" customHeight="1">
      <c r="A271" s="57"/>
      <c r="B271" s="62"/>
      <c r="C271" s="41">
        <v>4430</v>
      </c>
      <c r="D271" s="38" t="s">
        <v>96</v>
      </c>
      <c r="E271" s="61">
        <v>4500</v>
      </c>
      <c r="F271" s="61"/>
      <c r="G271" s="70">
        <f t="shared" si="94"/>
        <v>4500</v>
      </c>
      <c r="H271" s="61"/>
      <c r="I271" s="70">
        <f t="shared" si="96"/>
        <v>4500</v>
      </c>
      <c r="J271" s="61"/>
      <c r="K271" s="70">
        <f t="shared" si="97"/>
        <v>4500</v>
      </c>
      <c r="L271" s="61"/>
      <c r="M271" s="70">
        <f t="shared" si="98"/>
        <v>4500</v>
      </c>
      <c r="N271" s="61"/>
      <c r="O271" s="70">
        <f t="shared" si="99"/>
        <v>4500</v>
      </c>
    </row>
    <row r="272" spans="1:15" s="24" customFormat="1" ht="21" customHeight="1">
      <c r="A272" s="57"/>
      <c r="B272" s="76">
        <v>80146</v>
      </c>
      <c r="C272" s="60"/>
      <c r="D272" s="38" t="s">
        <v>150</v>
      </c>
      <c r="E272" s="70">
        <f>SUM(E273:E274)</f>
        <v>109224</v>
      </c>
      <c r="F272" s="70">
        <f>SUM(F273:F274)</f>
        <v>0</v>
      </c>
      <c r="G272" s="70">
        <f>SUM(G273:G274)</f>
        <v>109224</v>
      </c>
      <c r="H272" s="70">
        <f>SUM(H273:H274)</f>
        <v>0</v>
      </c>
      <c r="I272" s="70">
        <f aca="true" t="shared" si="100" ref="I272:O272">SUM(I273:I276)</f>
        <v>109224</v>
      </c>
      <c r="J272" s="70">
        <f t="shared" si="100"/>
        <v>0</v>
      </c>
      <c r="K272" s="70">
        <f t="shared" si="100"/>
        <v>109224</v>
      </c>
      <c r="L272" s="70">
        <f t="shared" si="100"/>
        <v>0</v>
      </c>
      <c r="M272" s="70">
        <f t="shared" si="100"/>
        <v>109224</v>
      </c>
      <c r="N272" s="70">
        <f t="shared" si="100"/>
        <v>0</v>
      </c>
      <c r="O272" s="70">
        <f t="shared" si="100"/>
        <v>109224</v>
      </c>
    </row>
    <row r="273" spans="1:15" s="24" customFormat="1" ht="24">
      <c r="A273" s="57"/>
      <c r="B273" s="76"/>
      <c r="C273" s="60">
        <v>2510</v>
      </c>
      <c r="D273" s="38" t="s">
        <v>127</v>
      </c>
      <c r="E273" s="70">
        <v>13687</v>
      </c>
      <c r="F273" s="70"/>
      <c r="G273" s="70">
        <f t="shared" si="94"/>
        <v>13687</v>
      </c>
      <c r="H273" s="70"/>
      <c r="I273" s="70">
        <f>SUM(G273:H273)</f>
        <v>13687</v>
      </c>
      <c r="J273" s="70"/>
      <c r="K273" s="70">
        <f>SUM(I273:J273)</f>
        <v>13687</v>
      </c>
      <c r="L273" s="70"/>
      <c r="M273" s="70">
        <f>SUM(K273:L273)</f>
        <v>13687</v>
      </c>
      <c r="N273" s="70"/>
      <c r="O273" s="70">
        <f>SUM(M273:N273)</f>
        <v>13687</v>
      </c>
    </row>
    <row r="274" spans="1:15" s="24" customFormat="1" ht="21" customHeight="1">
      <c r="A274" s="57"/>
      <c r="B274" s="76"/>
      <c r="C274" s="60">
        <v>4300</v>
      </c>
      <c r="D274" s="38" t="s">
        <v>81</v>
      </c>
      <c r="E274" s="70">
        <v>95537</v>
      </c>
      <c r="F274" s="70"/>
      <c r="G274" s="70">
        <f t="shared" si="94"/>
        <v>95537</v>
      </c>
      <c r="H274" s="70"/>
      <c r="I274" s="70">
        <f>SUM(G274:H274)</f>
        <v>95537</v>
      </c>
      <c r="J274" s="70">
        <f>-42185-28357</f>
        <v>-70542</v>
      </c>
      <c r="K274" s="70">
        <f>SUM(I274:J274)</f>
        <v>24995</v>
      </c>
      <c r="L274" s="70"/>
      <c r="M274" s="70">
        <f>SUM(K274:L274)</f>
        <v>24995</v>
      </c>
      <c r="N274" s="70"/>
      <c r="O274" s="70">
        <f>SUM(M274:N274)</f>
        <v>24995</v>
      </c>
    </row>
    <row r="275" spans="1:15" s="24" customFormat="1" ht="21" customHeight="1">
      <c r="A275" s="57"/>
      <c r="B275" s="76"/>
      <c r="C275" s="60">
        <v>4410</v>
      </c>
      <c r="D275" s="38" t="s">
        <v>92</v>
      </c>
      <c r="E275" s="70"/>
      <c r="F275" s="70"/>
      <c r="G275" s="70"/>
      <c r="H275" s="70"/>
      <c r="I275" s="70">
        <v>0</v>
      </c>
      <c r="J275" s="70">
        <v>28357</v>
      </c>
      <c r="K275" s="70">
        <f>SUM(I275:J275)</f>
        <v>28357</v>
      </c>
      <c r="L275" s="70"/>
      <c r="M275" s="70">
        <f>SUM(K275:L275)</f>
        <v>28357</v>
      </c>
      <c r="N275" s="70"/>
      <c r="O275" s="70">
        <f>SUM(M275:N275)</f>
        <v>28357</v>
      </c>
    </row>
    <row r="276" spans="1:15" s="24" customFormat="1" ht="25.5" customHeight="1">
      <c r="A276" s="57"/>
      <c r="B276" s="76"/>
      <c r="C276" s="60">
        <v>4700</v>
      </c>
      <c r="D276" s="38" t="s">
        <v>246</v>
      </c>
      <c r="E276" s="70"/>
      <c r="F276" s="70"/>
      <c r="G276" s="70"/>
      <c r="H276" s="70"/>
      <c r="I276" s="70">
        <v>0</v>
      </c>
      <c r="J276" s="70">
        <v>42185</v>
      </c>
      <c r="K276" s="70">
        <f>SUM(I276:J276)</f>
        <v>42185</v>
      </c>
      <c r="L276" s="70"/>
      <c r="M276" s="70">
        <f>SUM(K276:L276)</f>
        <v>42185</v>
      </c>
      <c r="N276" s="70"/>
      <c r="O276" s="70">
        <f>SUM(M276:N276)</f>
        <v>42185</v>
      </c>
    </row>
    <row r="277" spans="1:15" s="24" customFormat="1" ht="21" customHeight="1">
      <c r="A277" s="57"/>
      <c r="B277" s="76">
        <v>80148</v>
      </c>
      <c r="C277" s="60"/>
      <c r="D277" s="38" t="s">
        <v>243</v>
      </c>
      <c r="E277" s="70">
        <f aca="true" t="shared" si="101" ref="E277:K277">SUM(E278:E287)</f>
        <v>257225</v>
      </c>
      <c r="F277" s="70">
        <f t="shared" si="101"/>
        <v>0</v>
      </c>
      <c r="G277" s="70">
        <f t="shared" si="101"/>
        <v>257225</v>
      </c>
      <c r="H277" s="70">
        <f t="shared" si="101"/>
        <v>0</v>
      </c>
      <c r="I277" s="70">
        <f t="shared" si="101"/>
        <v>257225</v>
      </c>
      <c r="J277" s="70">
        <f t="shared" si="101"/>
        <v>3001</v>
      </c>
      <c r="K277" s="70">
        <f t="shared" si="101"/>
        <v>260226</v>
      </c>
      <c r="L277" s="70">
        <f>SUM(L278:L287)</f>
        <v>0</v>
      </c>
      <c r="M277" s="70">
        <f>SUM(M278:M287)</f>
        <v>260226</v>
      </c>
      <c r="N277" s="70">
        <f>SUM(N278:N287)</f>
        <v>0</v>
      </c>
      <c r="O277" s="70">
        <f>SUM(O278:O287)</f>
        <v>260226</v>
      </c>
    </row>
    <row r="278" spans="1:15" s="24" customFormat="1" ht="23.25" customHeight="1">
      <c r="A278" s="57"/>
      <c r="B278" s="76"/>
      <c r="C278" s="75">
        <v>3020</v>
      </c>
      <c r="D278" s="38" t="s">
        <v>197</v>
      </c>
      <c r="E278" s="70">
        <v>185</v>
      </c>
      <c r="F278" s="70"/>
      <c r="G278" s="70">
        <f t="shared" si="94"/>
        <v>185</v>
      </c>
      <c r="H278" s="70"/>
      <c r="I278" s="70">
        <f aca="true" t="shared" si="102" ref="I278:I287">SUM(G278:H278)</f>
        <v>185</v>
      </c>
      <c r="J278" s="70"/>
      <c r="K278" s="70">
        <f aca="true" t="shared" si="103" ref="K278:K287">SUM(I278:J278)</f>
        <v>185</v>
      </c>
      <c r="L278" s="70"/>
      <c r="M278" s="70">
        <f aca="true" t="shared" si="104" ref="M278:M287">SUM(K278:L278)</f>
        <v>185</v>
      </c>
      <c r="N278" s="70"/>
      <c r="O278" s="70">
        <f aca="true" t="shared" si="105" ref="O278:O287">SUM(M278:N278)</f>
        <v>185</v>
      </c>
    </row>
    <row r="279" spans="1:17" s="24" customFormat="1" ht="21" customHeight="1">
      <c r="A279" s="57"/>
      <c r="B279" s="76"/>
      <c r="C279" s="75">
        <v>4010</v>
      </c>
      <c r="D279" s="38" t="s">
        <v>86</v>
      </c>
      <c r="E279" s="70">
        <v>103619</v>
      </c>
      <c r="F279" s="70"/>
      <c r="G279" s="70">
        <f t="shared" si="94"/>
        <v>103619</v>
      </c>
      <c r="H279" s="70"/>
      <c r="I279" s="70">
        <f t="shared" si="102"/>
        <v>103619</v>
      </c>
      <c r="J279" s="70">
        <v>134</v>
      </c>
      <c r="K279" s="70">
        <f t="shared" si="103"/>
        <v>103753</v>
      </c>
      <c r="L279" s="70"/>
      <c r="M279" s="70">
        <f t="shared" si="104"/>
        <v>103753</v>
      </c>
      <c r="N279" s="70"/>
      <c r="O279" s="70">
        <f t="shared" si="105"/>
        <v>103753</v>
      </c>
      <c r="P279" s="98"/>
      <c r="Q279" s="98"/>
    </row>
    <row r="280" spans="1:17" s="24" customFormat="1" ht="21" customHeight="1">
      <c r="A280" s="57"/>
      <c r="B280" s="76"/>
      <c r="C280" s="75">
        <v>4040</v>
      </c>
      <c r="D280" s="38" t="s">
        <v>87</v>
      </c>
      <c r="E280" s="70">
        <v>7647</v>
      </c>
      <c r="F280" s="70"/>
      <c r="G280" s="70">
        <f t="shared" si="94"/>
        <v>7647</v>
      </c>
      <c r="H280" s="70"/>
      <c r="I280" s="70">
        <f t="shared" si="102"/>
        <v>7647</v>
      </c>
      <c r="J280" s="70">
        <v>-133</v>
      </c>
      <c r="K280" s="70">
        <f t="shared" si="103"/>
        <v>7514</v>
      </c>
      <c r="L280" s="70"/>
      <c r="M280" s="70">
        <f t="shared" si="104"/>
        <v>7514</v>
      </c>
      <c r="N280" s="70"/>
      <c r="O280" s="70">
        <f t="shared" si="105"/>
        <v>7514</v>
      </c>
      <c r="P280" s="98"/>
      <c r="Q280" s="98"/>
    </row>
    <row r="281" spans="1:17" s="24" customFormat="1" ht="21" customHeight="1">
      <c r="A281" s="57"/>
      <c r="B281" s="76"/>
      <c r="C281" s="75">
        <v>4110</v>
      </c>
      <c r="D281" s="38" t="s">
        <v>88</v>
      </c>
      <c r="E281" s="70">
        <v>17383</v>
      </c>
      <c r="F281" s="70"/>
      <c r="G281" s="70">
        <f t="shared" si="94"/>
        <v>17383</v>
      </c>
      <c r="H281" s="70"/>
      <c r="I281" s="70">
        <f t="shared" si="102"/>
        <v>17383</v>
      </c>
      <c r="J281" s="70"/>
      <c r="K281" s="70">
        <f t="shared" si="103"/>
        <v>17383</v>
      </c>
      <c r="L281" s="70"/>
      <c r="M281" s="70">
        <f t="shared" si="104"/>
        <v>17383</v>
      </c>
      <c r="N281" s="70"/>
      <c r="O281" s="70">
        <f t="shared" si="105"/>
        <v>17383</v>
      </c>
      <c r="P281" s="98"/>
      <c r="Q281" s="98"/>
    </row>
    <row r="282" spans="1:17" s="24" customFormat="1" ht="21" customHeight="1">
      <c r="A282" s="57"/>
      <c r="B282" s="76"/>
      <c r="C282" s="75">
        <v>4120</v>
      </c>
      <c r="D282" s="38" t="s">
        <v>89</v>
      </c>
      <c r="E282" s="70">
        <v>2895</v>
      </c>
      <c r="F282" s="70"/>
      <c r="G282" s="70">
        <f t="shared" si="94"/>
        <v>2895</v>
      </c>
      <c r="H282" s="70"/>
      <c r="I282" s="70">
        <f t="shared" si="102"/>
        <v>2895</v>
      </c>
      <c r="J282" s="70"/>
      <c r="K282" s="70">
        <f t="shared" si="103"/>
        <v>2895</v>
      </c>
      <c r="L282" s="70"/>
      <c r="M282" s="70">
        <f t="shared" si="104"/>
        <v>2895</v>
      </c>
      <c r="N282" s="70"/>
      <c r="O282" s="70">
        <f t="shared" si="105"/>
        <v>2895</v>
      </c>
      <c r="P282" s="98"/>
      <c r="Q282" s="98"/>
    </row>
    <row r="283" spans="1:17" s="24" customFormat="1" ht="21" customHeight="1">
      <c r="A283" s="57"/>
      <c r="B283" s="76"/>
      <c r="C283" s="75">
        <v>4170</v>
      </c>
      <c r="D283" s="38" t="s">
        <v>199</v>
      </c>
      <c r="E283" s="70">
        <v>4000</v>
      </c>
      <c r="F283" s="70"/>
      <c r="G283" s="70">
        <f t="shared" si="94"/>
        <v>4000</v>
      </c>
      <c r="H283" s="70"/>
      <c r="I283" s="70">
        <f t="shared" si="102"/>
        <v>4000</v>
      </c>
      <c r="J283" s="70"/>
      <c r="K283" s="70">
        <f t="shared" si="103"/>
        <v>4000</v>
      </c>
      <c r="L283" s="70"/>
      <c r="M283" s="70">
        <f t="shared" si="104"/>
        <v>4000</v>
      </c>
      <c r="N283" s="70"/>
      <c r="O283" s="70">
        <f t="shared" si="105"/>
        <v>4000</v>
      </c>
      <c r="P283" s="98"/>
      <c r="Q283" s="98"/>
    </row>
    <row r="284" spans="1:15" s="24" customFormat="1" ht="21" customHeight="1">
      <c r="A284" s="57"/>
      <c r="B284" s="76"/>
      <c r="C284" s="75">
        <v>4210</v>
      </c>
      <c r="D284" s="38" t="s">
        <v>74</v>
      </c>
      <c r="E284" s="70">
        <v>3990</v>
      </c>
      <c r="F284" s="70"/>
      <c r="G284" s="70">
        <f t="shared" si="94"/>
        <v>3990</v>
      </c>
      <c r="H284" s="70"/>
      <c r="I284" s="70">
        <f t="shared" si="102"/>
        <v>3990</v>
      </c>
      <c r="J284" s="70">
        <v>3000</v>
      </c>
      <c r="K284" s="70">
        <f t="shared" si="103"/>
        <v>6990</v>
      </c>
      <c r="L284" s="70"/>
      <c r="M284" s="70">
        <f t="shared" si="104"/>
        <v>6990</v>
      </c>
      <c r="N284" s="70"/>
      <c r="O284" s="70">
        <f t="shared" si="105"/>
        <v>6990</v>
      </c>
    </row>
    <row r="285" spans="1:15" s="24" customFormat="1" ht="21" customHeight="1">
      <c r="A285" s="57"/>
      <c r="B285" s="76"/>
      <c r="C285" s="75">
        <v>4220</v>
      </c>
      <c r="D285" s="11" t="s">
        <v>183</v>
      </c>
      <c r="E285" s="70">
        <v>112000</v>
      </c>
      <c r="F285" s="70"/>
      <c r="G285" s="70">
        <f t="shared" si="94"/>
        <v>112000</v>
      </c>
      <c r="H285" s="70"/>
      <c r="I285" s="70">
        <f t="shared" si="102"/>
        <v>112000</v>
      </c>
      <c r="J285" s="70"/>
      <c r="K285" s="70">
        <f t="shared" si="103"/>
        <v>112000</v>
      </c>
      <c r="L285" s="70"/>
      <c r="M285" s="70">
        <f t="shared" si="104"/>
        <v>112000</v>
      </c>
      <c r="N285" s="70"/>
      <c r="O285" s="70">
        <f t="shared" si="105"/>
        <v>112000</v>
      </c>
    </row>
    <row r="286" spans="1:15" s="24" customFormat="1" ht="21" customHeight="1">
      <c r="A286" s="57"/>
      <c r="B286" s="76"/>
      <c r="C286" s="75">
        <v>4280</v>
      </c>
      <c r="D286" s="38" t="s">
        <v>204</v>
      </c>
      <c r="E286" s="70">
        <v>160</v>
      </c>
      <c r="F286" s="70"/>
      <c r="G286" s="70">
        <f t="shared" si="94"/>
        <v>160</v>
      </c>
      <c r="H286" s="70"/>
      <c r="I286" s="70">
        <f t="shared" si="102"/>
        <v>160</v>
      </c>
      <c r="J286" s="70"/>
      <c r="K286" s="70">
        <f t="shared" si="103"/>
        <v>160</v>
      </c>
      <c r="L286" s="70"/>
      <c r="M286" s="70">
        <f t="shared" si="104"/>
        <v>160</v>
      </c>
      <c r="N286" s="70"/>
      <c r="O286" s="70">
        <f t="shared" si="105"/>
        <v>160</v>
      </c>
    </row>
    <row r="287" spans="1:15" s="24" customFormat="1" ht="24" customHeight="1">
      <c r="A287" s="57"/>
      <c r="B287" s="76"/>
      <c r="C287" s="75">
        <v>4440</v>
      </c>
      <c r="D287" s="38" t="s">
        <v>90</v>
      </c>
      <c r="E287" s="70">
        <v>5346</v>
      </c>
      <c r="F287" s="70"/>
      <c r="G287" s="70">
        <f t="shared" si="94"/>
        <v>5346</v>
      </c>
      <c r="H287" s="70"/>
      <c r="I287" s="70">
        <f t="shared" si="102"/>
        <v>5346</v>
      </c>
      <c r="J287" s="70"/>
      <c r="K287" s="70">
        <f t="shared" si="103"/>
        <v>5346</v>
      </c>
      <c r="L287" s="70"/>
      <c r="M287" s="70">
        <f t="shared" si="104"/>
        <v>5346</v>
      </c>
      <c r="N287" s="70"/>
      <c r="O287" s="70">
        <f t="shared" si="105"/>
        <v>5346</v>
      </c>
    </row>
    <row r="288" spans="1:15" s="24" customFormat="1" ht="21" customHeight="1">
      <c r="A288" s="57"/>
      <c r="B288" s="71">
        <v>80195</v>
      </c>
      <c r="C288" s="57"/>
      <c r="D288" s="38" t="s">
        <v>6</v>
      </c>
      <c r="E288" s="70">
        <f aca="true" t="shared" si="106" ref="E288:K288">SUM(E289:E292)</f>
        <v>231670</v>
      </c>
      <c r="F288" s="70">
        <f t="shared" si="106"/>
        <v>0</v>
      </c>
      <c r="G288" s="70">
        <f t="shared" si="106"/>
        <v>231670</v>
      </c>
      <c r="H288" s="70">
        <f t="shared" si="106"/>
        <v>0</v>
      </c>
      <c r="I288" s="70">
        <f t="shared" si="106"/>
        <v>231670</v>
      </c>
      <c r="J288" s="70">
        <f t="shared" si="106"/>
        <v>0</v>
      </c>
      <c r="K288" s="70">
        <f t="shared" si="106"/>
        <v>231670</v>
      </c>
      <c r="L288" s="70">
        <f>SUM(L289:L292)</f>
        <v>0</v>
      </c>
      <c r="M288" s="70">
        <f>SUM(M289:M292)</f>
        <v>231670</v>
      </c>
      <c r="N288" s="70">
        <f>SUM(N289:N292)</f>
        <v>0</v>
      </c>
      <c r="O288" s="70">
        <f>SUM(O289:O292)</f>
        <v>231670</v>
      </c>
    </row>
    <row r="289" spans="1:17" s="24" customFormat="1" ht="21" customHeight="1">
      <c r="A289" s="57"/>
      <c r="B289" s="71"/>
      <c r="C289" s="57">
        <v>4170</v>
      </c>
      <c r="D289" s="38" t="s">
        <v>199</v>
      </c>
      <c r="E289" s="70">
        <v>500</v>
      </c>
      <c r="F289" s="70"/>
      <c r="G289" s="70">
        <f t="shared" si="94"/>
        <v>500</v>
      </c>
      <c r="H289" s="70"/>
      <c r="I289" s="70">
        <f>SUM(G289:H289)</f>
        <v>500</v>
      </c>
      <c r="J289" s="70"/>
      <c r="K289" s="70">
        <f>SUM(I289:J289)</f>
        <v>500</v>
      </c>
      <c r="L289" s="70"/>
      <c r="M289" s="70">
        <f>SUM(K289:L289)</f>
        <v>500</v>
      </c>
      <c r="N289" s="70"/>
      <c r="O289" s="70">
        <f>SUM(M289:N289)</f>
        <v>500</v>
      </c>
      <c r="P289" s="98"/>
      <c r="Q289" s="98"/>
    </row>
    <row r="290" spans="1:15" s="24" customFormat="1" ht="21" customHeight="1">
      <c r="A290" s="57"/>
      <c r="B290" s="71"/>
      <c r="C290" s="57">
        <v>4210</v>
      </c>
      <c r="D290" s="38" t="s">
        <v>74</v>
      </c>
      <c r="E290" s="70">
        <v>1100</v>
      </c>
      <c r="F290" s="70"/>
      <c r="G290" s="70">
        <f t="shared" si="94"/>
        <v>1100</v>
      </c>
      <c r="H290" s="70"/>
      <c r="I290" s="70">
        <f>SUM(G290:H290)</f>
        <v>1100</v>
      </c>
      <c r="J290" s="70"/>
      <c r="K290" s="70">
        <f>SUM(I290:J290)</f>
        <v>1100</v>
      </c>
      <c r="L290" s="70"/>
      <c r="M290" s="70">
        <f>SUM(K290:L290)</f>
        <v>1100</v>
      </c>
      <c r="N290" s="70"/>
      <c r="O290" s="70">
        <f>SUM(M290:N290)</f>
        <v>1100</v>
      </c>
    </row>
    <row r="291" spans="1:15" s="24" customFormat="1" ht="21" customHeight="1">
      <c r="A291" s="57"/>
      <c r="B291" s="71"/>
      <c r="C291" s="57">
        <v>4300</v>
      </c>
      <c r="D291" s="11" t="s">
        <v>81</v>
      </c>
      <c r="E291" s="61">
        <f>50986+5000</f>
        <v>55986</v>
      </c>
      <c r="F291" s="61"/>
      <c r="G291" s="70">
        <f t="shared" si="94"/>
        <v>55986</v>
      </c>
      <c r="H291" s="61"/>
      <c r="I291" s="70">
        <f>SUM(G291:H291)</f>
        <v>55986</v>
      </c>
      <c r="J291" s="61"/>
      <c r="K291" s="70">
        <f>SUM(I291:J291)</f>
        <v>55986</v>
      </c>
      <c r="L291" s="61"/>
      <c r="M291" s="70">
        <f>SUM(K291:L291)</f>
        <v>55986</v>
      </c>
      <c r="N291" s="61"/>
      <c r="O291" s="70">
        <f>SUM(M291:N291)</f>
        <v>55986</v>
      </c>
    </row>
    <row r="292" spans="1:15" s="24" customFormat="1" ht="21" customHeight="1">
      <c r="A292" s="57"/>
      <c r="B292" s="71"/>
      <c r="C292" s="57">
        <v>4440</v>
      </c>
      <c r="D292" s="38" t="s">
        <v>90</v>
      </c>
      <c r="E292" s="70">
        <v>174084</v>
      </c>
      <c r="F292" s="70"/>
      <c r="G292" s="70">
        <f t="shared" si="94"/>
        <v>174084</v>
      </c>
      <c r="H292" s="70"/>
      <c r="I292" s="70">
        <f>SUM(G292:H292)</f>
        <v>174084</v>
      </c>
      <c r="J292" s="70"/>
      <c r="K292" s="70">
        <f>SUM(I292:J292)</f>
        <v>174084</v>
      </c>
      <c r="L292" s="70"/>
      <c r="M292" s="70">
        <f>SUM(K292:L292)</f>
        <v>174084</v>
      </c>
      <c r="N292" s="70"/>
      <c r="O292" s="70">
        <f>SUM(M292:N292)</f>
        <v>174084</v>
      </c>
    </row>
    <row r="293" spans="1:15" s="6" customFormat="1" ht="21" customHeight="1">
      <c r="A293" s="33" t="s">
        <v>120</v>
      </c>
      <c r="B293" s="34"/>
      <c r="C293" s="35"/>
      <c r="D293" s="36" t="s">
        <v>54</v>
      </c>
      <c r="E293" s="37">
        <f aca="true" t="shared" si="107" ref="E293:K293">SUM(E296,E306,E294)</f>
        <v>102408</v>
      </c>
      <c r="F293" s="37">
        <f t="shared" si="107"/>
        <v>-75000</v>
      </c>
      <c r="G293" s="37">
        <f t="shared" si="107"/>
        <v>97408</v>
      </c>
      <c r="H293" s="37">
        <f t="shared" si="107"/>
        <v>64010</v>
      </c>
      <c r="I293" s="37">
        <f t="shared" si="107"/>
        <v>161418</v>
      </c>
      <c r="J293" s="37">
        <f t="shared" si="107"/>
        <v>0</v>
      </c>
      <c r="K293" s="37">
        <f t="shared" si="107"/>
        <v>161418</v>
      </c>
      <c r="L293" s="37">
        <f>SUM(L296,L306,L294)</f>
        <v>0</v>
      </c>
      <c r="M293" s="37">
        <f>SUM(M296,M306,M294)</f>
        <v>161418</v>
      </c>
      <c r="N293" s="37">
        <f>SUM(N296,N306,N294)</f>
        <v>0</v>
      </c>
      <c r="O293" s="37">
        <f>SUM(O296,O306,O294)</f>
        <v>161418</v>
      </c>
    </row>
    <row r="294" spans="1:15" s="6" customFormat="1" ht="21" customHeight="1">
      <c r="A294" s="33"/>
      <c r="B294" s="76">
        <v>85153</v>
      </c>
      <c r="C294" s="75"/>
      <c r="D294" s="38" t="s">
        <v>226</v>
      </c>
      <c r="E294" s="70">
        <f aca="true" t="shared" si="108" ref="E294:O294">SUM(E295:E295)</f>
        <v>6360</v>
      </c>
      <c r="F294" s="70">
        <f t="shared" si="108"/>
        <v>0</v>
      </c>
      <c r="G294" s="70">
        <f t="shared" si="108"/>
        <v>6360</v>
      </c>
      <c r="H294" s="70">
        <f t="shared" si="108"/>
        <v>0</v>
      </c>
      <c r="I294" s="70">
        <f t="shared" si="108"/>
        <v>6360</v>
      </c>
      <c r="J294" s="70">
        <f t="shared" si="108"/>
        <v>0</v>
      </c>
      <c r="K294" s="70">
        <f t="shared" si="108"/>
        <v>6360</v>
      </c>
      <c r="L294" s="70">
        <f t="shared" si="108"/>
        <v>0</v>
      </c>
      <c r="M294" s="70">
        <f t="shared" si="108"/>
        <v>6360</v>
      </c>
      <c r="N294" s="70">
        <f t="shared" si="108"/>
        <v>0</v>
      </c>
      <c r="O294" s="70">
        <f t="shared" si="108"/>
        <v>6360</v>
      </c>
    </row>
    <row r="295" spans="1:15" s="6" customFormat="1" ht="21" customHeight="1">
      <c r="A295" s="33"/>
      <c r="B295" s="76"/>
      <c r="C295" s="75">
        <v>4300</v>
      </c>
      <c r="D295" s="38" t="s">
        <v>81</v>
      </c>
      <c r="E295" s="70">
        <v>6360</v>
      </c>
      <c r="F295" s="70"/>
      <c r="G295" s="70">
        <f t="shared" si="94"/>
        <v>6360</v>
      </c>
      <c r="H295" s="70"/>
      <c r="I295" s="70">
        <f>SUM(G295:H295)</f>
        <v>6360</v>
      </c>
      <c r="J295" s="70"/>
      <c r="K295" s="70">
        <f>SUM(I295:J295)</f>
        <v>6360</v>
      </c>
      <c r="L295" s="70"/>
      <c r="M295" s="70">
        <f>SUM(K295:L295)</f>
        <v>6360</v>
      </c>
      <c r="N295" s="70"/>
      <c r="O295" s="70">
        <f>SUM(M295:N295)</f>
        <v>6360</v>
      </c>
    </row>
    <row r="296" spans="1:15" s="24" customFormat="1" ht="21" customHeight="1">
      <c r="A296" s="57"/>
      <c r="B296" s="71" t="s">
        <v>121</v>
      </c>
      <c r="C296" s="75"/>
      <c r="D296" s="38" t="s">
        <v>55</v>
      </c>
      <c r="E296" s="70">
        <f>SUM(E298:E305)</f>
        <v>86048</v>
      </c>
      <c r="F296" s="70">
        <f>SUM(F298:F305)</f>
        <v>-75000</v>
      </c>
      <c r="G296" s="70">
        <f aca="true" t="shared" si="109" ref="G296:M296">SUM(G297:G305)</f>
        <v>81048</v>
      </c>
      <c r="H296" s="70">
        <f t="shared" si="109"/>
        <v>64010</v>
      </c>
      <c r="I296" s="70">
        <f t="shared" si="109"/>
        <v>145058</v>
      </c>
      <c r="J296" s="70">
        <f t="shared" si="109"/>
        <v>0</v>
      </c>
      <c r="K296" s="70">
        <f t="shared" si="109"/>
        <v>145058</v>
      </c>
      <c r="L296" s="70">
        <f t="shared" si="109"/>
        <v>0</v>
      </c>
      <c r="M296" s="70">
        <f t="shared" si="109"/>
        <v>145058</v>
      </c>
      <c r="N296" s="70">
        <f>SUM(N297:N305)</f>
        <v>0</v>
      </c>
      <c r="O296" s="70">
        <f>SUM(O297:O305)</f>
        <v>145058</v>
      </c>
    </row>
    <row r="297" spans="1:15" s="24" customFormat="1" ht="34.5" customHeight="1">
      <c r="A297" s="57"/>
      <c r="B297" s="71"/>
      <c r="C297" s="75">
        <v>2820</v>
      </c>
      <c r="D297" s="38" t="s">
        <v>254</v>
      </c>
      <c r="E297" s="70" t="s">
        <v>254</v>
      </c>
      <c r="F297" s="70"/>
      <c r="G297" s="70">
        <v>0</v>
      </c>
      <c r="H297" s="70">
        <v>8130</v>
      </c>
      <c r="I297" s="70">
        <f aca="true" t="shared" si="110" ref="I297:I305">SUM(G297:H297)</f>
        <v>8130</v>
      </c>
      <c r="J297" s="70"/>
      <c r="K297" s="70">
        <f aca="true" t="shared" si="111" ref="K297:K305">SUM(I297:J297)</f>
        <v>8130</v>
      </c>
      <c r="L297" s="70"/>
      <c r="M297" s="70">
        <f aca="true" t="shared" si="112" ref="M297:M305">SUM(K297:L297)</f>
        <v>8130</v>
      </c>
      <c r="N297" s="70"/>
      <c r="O297" s="70">
        <f aca="true" t="shared" si="113" ref="O297:O305">SUM(M297:N297)</f>
        <v>8130</v>
      </c>
    </row>
    <row r="298" spans="1:15" s="24" customFormat="1" ht="58.5" customHeight="1">
      <c r="A298" s="57"/>
      <c r="B298" s="76"/>
      <c r="C298" s="75">
        <v>2830</v>
      </c>
      <c r="D298" s="38" t="s">
        <v>318</v>
      </c>
      <c r="E298" s="70" t="s">
        <v>318</v>
      </c>
      <c r="F298" s="70">
        <v>-70000</v>
      </c>
      <c r="G298" s="70">
        <v>0</v>
      </c>
      <c r="H298" s="70">
        <f>50060+5820</f>
        <v>55880</v>
      </c>
      <c r="I298" s="70">
        <f t="shared" si="110"/>
        <v>55880</v>
      </c>
      <c r="J298" s="70"/>
      <c r="K298" s="70">
        <f t="shared" si="111"/>
        <v>55880</v>
      </c>
      <c r="L298" s="70"/>
      <c r="M298" s="70">
        <f t="shared" si="112"/>
        <v>55880</v>
      </c>
      <c r="N298" s="70"/>
      <c r="O298" s="70">
        <f t="shared" si="113"/>
        <v>55880</v>
      </c>
    </row>
    <row r="299" spans="1:17" s="24" customFormat="1" ht="21" customHeight="1">
      <c r="A299" s="57"/>
      <c r="B299" s="76"/>
      <c r="C299" s="75">
        <v>4110</v>
      </c>
      <c r="D299" s="11" t="s">
        <v>88</v>
      </c>
      <c r="E299" s="70">
        <v>1758</v>
      </c>
      <c r="F299" s="70"/>
      <c r="G299" s="70">
        <f t="shared" si="94"/>
        <v>1758</v>
      </c>
      <c r="H299" s="70"/>
      <c r="I299" s="70">
        <f t="shared" si="110"/>
        <v>1758</v>
      </c>
      <c r="J299" s="70"/>
      <c r="K299" s="70">
        <f t="shared" si="111"/>
        <v>1758</v>
      </c>
      <c r="L299" s="70"/>
      <c r="M299" s="70">
        <f t="shared" si="112"/>
        <v>1758</v>
      </c>
      <c r="N299" s="70"/>
      <c r="O299" s="70">
        <f t="shared" si="113"/>
        <v>1758</v>
      </c>
      <c r="P299" s="98"/>
      <c r="Q299" s="98"/>
    </row>
    <row r="300" spans="1:17" s="24" customFormat="1" ht="21" customHeight="1">
      <c r="A300" s="57"/>
      <c r="B300" s="76"/>
      <c r="C300" s="75">
        <v>4170</v>
      </c>
      <c r="D300" s="38" t="s">
        <v>199</v>
      </c>
      <c r="E300" s="70">
        <v>37800</v>
      </c>
      <c r="F300" s="70"/>
      <c r="G300" s="70">
        <f t="shared" si="94"/>
        <v>37800</v>
      </c>
      <c r="H300" s="70"/>
      <c r="I300" s="70">
        <f t="shared" si="110"/>
        <v>37800</v>
      </c>
      <c r="J300" s="70"/>
      <c r="K300" s="70">
        <f t="shared" si="111"/>
        <v>37800</v>
      </c>
      <c r="L300" s="70"/>
      <c r="M300" s="70">
        <f t="shared" si="112"/>
        <v>37800</v>
      </c>
      <c r="N300" s="70"/>
      <c r="O300" s="70">
        <f t="shared" si="113"/>
        <v>37800</v>
      </c>
      <c r="P300" s="98"/>
      <c r="Q300" s="98"/>
    </row>
    <row r="301" spans="1:15" s="24" customFormat="1" ht="21" customHeight="1">
      <c r="A301" s="57"/>
      <c r="B301" s="76"/>
      <c r="C301" s="75">
        <v>4210</v>
      </c>
      <c r="D301" s="11" t="s">
        <v>94</v>
      </c>
      <c r="E301" s="70">
        <v>8000</v>
      </c>
      <c r="F301" s="70"/>
      <c r="G301" s="70">
        <f t="shared" si="94"/>
        <v>8000</v>
      </c>
      <c r="H301" s="70"/>
      <c r="I301" s="70">
        <f t="shared" si="110"/>
        <v>8000</v>
      </c>
      <c r="J301" s="70"/>
      <c r="K301" s="70">
        <f t="shared" si="111"/>
        <v>8000</v>
      </c>
      <c r="L301" s="70"/>
      <c r="M301" s="70">
        <f t="shared" si="112"/>
        <v>8000</v>
      </c>
      <c r="N301" s="70"/>
      <c r="O301" s="70">
        <f t="shared" si="113"/>
        <v>8000</v>
      </c>
    </row>
    <row r="302" spans="1:15" s="24" customFormat="1" ht="21" customHeight="1">
      <c r="A302" s="57"/>
      <c r="B302" s="76"/>
      <c r="C302" s="75">
        <v>4220</v>
      </c>
      <c r="D302" s="11" t="s">
        <v>183</v>
      </c>
      <c r="E302" s="70">
        <v>10000</v>
      </c>
      <c r="F302" s="70"/>
      <c r="G302" s="70">
        <f t="shared" si="94"/>
        <v>10000</v>
      </c>
      <c r="H302" s="70"/>
      <c r="I302" s="70">
        <f t="shared" si="110"/>
        <v>10000</v>
      </c>
      <c r="J302" s="70"/>
      <c r="K302" s="70">
        <f t="shared" si="111"/>
        <v>10000</v>
      </c>
      <c r="L302" s="70"/>
      <c r="M302" s="70">
        <f t="shared" si="112"/>
        <v>10000</v>
      </c>
      <c r="N302" s="70"/>
      <c r="O302" s="70">
        <f t="shared" si="113"/>
        <v>10000</v>
      </c>
    </row>
    <row r="303" spans="1:15" s="24" customFormat="1" ht="21" customHeight="1">
      <c r="A303" s="57"/>
      <c r="B303" s="76"/>
      <c r="C303" s="75">
        <v>4300</v>
      </c>
      <c r="D303" s="38" t="s">
        <v>81</v>
      </c>
      <c r="E303" s="70">
        <f>25240+850</f>
        <v>26090</v>
      </c>
      <c r="F303" s="70">
        <v>-5000</v>
      </c>
      <c r="G303" s="70">
        <f t="shared" si="94"/>
        <v>21090</v>
      </c>
      <c r="H303" s="70"/>
      <c r="I303" s="70">
        <f t="shared" si="110"/>
        <v>21090</v>
      </c>
      <c r="J303" s="70"/>
      <c r="K303" s="70">
        <f t="shared" si="111"/>
        <v>21090</v>
      </c>
      <c r="L303" s="70"/>
      <c r="M303" s="70">
        <f t="shared" si="112"/>
        <v>21090</v>
      </c>
      <c r="N303" s="70"/>
      <c r="O303" s="70">
        <f t="shared" si="113"/>
        <v>21090</v>
      </c>
    </row>
    <row r="304" spans="1:15" s="24" customFormat="1" ht="21" customHeight="1">
      <c r="A304" s="57"/>
      <c r="B304" s="76"/>
      <c r="C304" s="75">
        <v>4350</v>
      </c>
      <c r="D304" s="38" t="s">
        <v>212</v>
      </c>
      <c r="E304" s="70">
        <v>1200</v>
      </c>
      <c r="F304" s="70"/>
      <c r="G304" s="70">
        <f t="shared" si="94"/>
        <v>1200</v>
      </c>
      <c r="H304" s="70"/>
      <c r="I304" s="70">
        <f t="shared" si="110"/>
        <v>1200</v>
      </c>
      <c r="J304" s="70"/>
      <c r="K304" s="70">
        <f t="shared" si="111"/>
        <v>1200</v>
      </c>
      <c r="L304" s="70"/>
      <c r="M304" s="70">
        <f t="shared" si="112"/>
        <v>1200</v>
      </c>
      <c r="N304" s="70"/>
      <c r="O304" s="70">
        <f t="shared" si="113"/>
        <v>1200</v>
      </c>
    </row>
    <row r="305" spans="1:15" s="24" customFormat="1" ht="21" customHeight="1">
      <c r="A305" s="57"/>
      <c r="B305" s="76"/>
      <c r="C305" s="75">
        <v>4410</v>
      </c>
      <c r="D305" s="38" t="s">
        <v>92</v>
      </c>
      <c r="E305" s="70">
        <v>1200</v>
      </c>
      <c r="F305" s="70"/>
      <c r="G305" s="70">
        <f t="shared" si="94"/>
        <v>1200</v>
      </c>
      <c r="H305" s="70"/>
      <c r="I305" s="70">
        <f t="shared" si="110"/>
        <v>1200</v>
      </c>
      <c r="J305" s="70"/>
      <c r="K305" s="70">
        <f t="shared" si="111"/>
        <v>1200</v>
      </c>
      <c r="L305" s="70"/>
      <c r="M305" s="70">
        <f t="shared" si="112"/>
        <v>1200</v>
      </c>
      <c r="N305" s="70"/>
      <c r="O305" s="70">
        <f t="shared" si="113"/>
        <v>1200</v>
      </c>
    </row>
    <row r="306" spans="1:15" s="24" customFormat="1" ht="21" customHeight="1">
      <c r="A306" s="57"/>
      <c r="B306" s="76">
        <v>85195</v>
      </c>
      <c r="C306" s="75"/>
      <c r="D306" s="38" t="s">
        <v>6</v>
      </c>
      <c r="E306" s="70">
        <f aca="true" t="shared" si="114" ref="E306:O306">SUM(E307)</f>
        <v>10000</v>
      </c>
      <c r="F306" s="70">
        <f t="shared" si="114"/>
        <v>0</v>
      </c>
      <c r="G306" s="70">
        <f t="shared" si="114"/>
        <v>10000</v>
      </c>
      <c r="H306" s="70">
        <f t="shared" si="114"/>
        <v>0</v>
      </c>
      <c r="I306" s="70">
        <f t="shared" si="114"/>
        <v>10000</v>
      </c>
      <c r="J306" s="70">
        <f t="shared" si="114"/>
        <v>0</v>
      </c>
      <c r="K306" s="70">
        <f t="shared" si="114"/>
        <v>10000</v>
      </c>
      <c r="L306" s="70">
        <f t="shared" si="114"/>
        <v>0</v>
      </c>
      <c r="M306" s="70">
        <f t="shared" si="114"/>
        <v>10000</v>
      </c>
      <c r="N306" s="70">
        <f t="shared" si="114"/>
        <v>0</v>
      </c>
      <c r="O306" s="70">
        <f t="shared" si="114"/>
        <v>10000</v>
      </c>
    </row>
    <row r="307" spans="1:15" s="24" customFormat="1" ht="21" customHeight="1">
      <c r="A307" s="57"/>
      <c r="B307" s="76"/>
      <c r="C307" s="75">
        <v>4430</v>
      </c>
      <c r="D307" s="38" t="s">
        <v>96</v>
      </c>
      <c r="E307" s="70">
        <v>10000</v>
      </c>
      <c r="F307" s="70"/>
      <c r="G307" s="70">
        <f t="shared" si="94"/>
        <v>10000</v>
      </c>
      <c r="H307" s="70"/>
      <c r="I307" s="70">
        <f>SUM(G307:H307)</f>
        <v>10000</v>
      </c>
      <c r="J307" s="70"/>
      <c r="K307" s="70">
        <f>SUM(I307:J307)</f>
        <v>10000</v>
      </c>
      <c r="L307" s="70"/>
      <c r="M307" s="70">
        <f>SUM(K307:L307)</f>
        <v>10000</v>
      </c>
      <c r="N307" s="70"/>
      <c r="O307" s="70">
        <f>SUM(M307:N307)</f>
        <v>10000</v>
      </c>
    </row>
    <row r="308" spans="1:15" s="6" customFormat="1" ht="24.75" customHeight="1">
      <c r="A308" s="51">
        <v>852</v>
      </c>
      <c r="B308" s="34"/>
      <c r="C308" s="35"/>
      <c r="D308" s="36" t="s">
        <v>193</v>
      </c>
      <c r="E308" s="37">
        <f aca="true" t="shared" si="115" ref="E308:K308">SUM(E309,E333,E335,E338,E340,E364,E366,)</f>
        <v>11465246</v>
      </c>
      <c r="F308" s="37">
        <f t="shared" si="115"/>
        <v>0</v>
      </c>
      <c r="G308" s="37">
        <f t="shared" si="115"/>
        <v>11465246</v>
      </c>
      <c r="H308" s="37">
        <f t="shared" si="115"/>
        <v>0</v>
      </c>
      <c r="I308" s="37">
        <f t="shared" si="115"/>
        <v>11465246</v>
      </c>
      <c r="J308" s="37">
        <f t="shared" si="115"/>
        <v>312600</v>
      </c>
      <c r="K308" s="37">
        <f t="shared" si="115"/>
        <v>11777846</v>
      </c>
      <c r="L308" s="37">
        <f>SUM(L309,L333,L335,L338,L340,L364,L366,)</f>
        <v>36050</v>
      </c>
      <c r="M308" s="37">
        <f>SUM(M309,M333,M335,M338,M340,M364,M366,)</f>
        <v>11813896</v>
      </c>
      <c r="N308" s="37">
        <f>SUM(N309,N333,N335,N338,N340,N364,N366,)</f>
        <v>75000</v>
      </c>
      <c r="O308" s="37">
        <f>SUM(O309,O333,O335,O338,O340,O364,O366,)</f>
        <v>11888896</v>
      </c>
    </row>
    <row r="309" spans="1:15" s="24" customFormat="1" ht="48">
      <c r="A309" s="84"/>
      <c r="B309" s="41">
        <v>85212</v>
      </c>
      <c r="C309" s="68"/>
      <c r="D309" s="66" t="s">
        <v>347</v>
      </c>
      <c r="E309" s="61">
        <f aca="true" t="shared" si="116" ref="E309:K309">SUM(E310:E332)</f>
        <v>6568634</v>
      </c>
      <c r="F309" s="61">
        <f t="shared" si="116"/>
        <v>0</v>
      </c>
      <c r="G309" s="61">
        <f t="shared" si="116"/>
        <v>6568634</v>
      </c>
      <c r="H309" s="61">
        <f t="shared" si="116"/>
        <v>0</v>
      </c>
      <c r="I309" s="61">
        <f t="shared" si="116"/>
        <v>6568634</v>
      </c>
      <c r="J309" s="61">
        <f t="shared" si="116"/>
        <v>334300</v>
      </c>
      <c r="K309" s="61">
        <f t="shared" si="116"/>
        <v>6902934</v>
      </c>
      <c r="L309" s="61">
        <f>SUM(L310:L332)</f>
        <v>0</v>
      </c>
      <c r="M309" s="61">
        <f>SUM(M310:M332)</f>
        <v>6902934</v>
      </c>
      <c r="N309" s="61">
        <f>SUM(N310:N332)</f>
        <v>0</v>
      </c>
      <c r="O309" s="61">
        <f>SUM(O310:O332)</f>
        <v>6902934</v>
      </c>
    </row>
    <row r="310" spans="1:15" s="24" customFormat="1" ht="21" customHeight="1">
      <c r="A310" s="84"/>
      <c r="B310" s="41"/>
      <c r="C310" s="68">
        <v>3020</v>
      </c>
      <c r="D310" s="38" t="s">
        <v>197</v>
      </c>
      <c r="E310" s="61">
        <v>1760</v>
      </c>
      <c r="F310" s="61"/>
      <c r="G310" s="70">
        <f t="shared" si="94"/>
        <v>1760</v>
      </c>
      <c r="H310" s="61"/>
      <c r="I310" s="70">
        <f aca="true" t="shared" si="117" ref="I310:I332">SUM(G310:H310)</f>
        <v>1760</v>
      </c>
      <c r="J310" s="61"/>
      <c r="K310" s="70">
        <f aca="true" t="shared" si="118" ref="K310:K332">SUM(I310:J310)</f>
        <v>1760</v>
      </c>
      <c r="L310" s="61"/>
      <c r="M310" s="70">
        <f aca="true" t="shared" si="119" ref="M310:M332">SUM(K310:L310)</f>
        <v>1760</v>
      </c>
      <c r="N310" s="61"/>
      <c r="O310" s="70">
        <f aca="true" t="shared" si="120" ref="O310:O332">SUM(M310:N310)</f>
        <v>1760</v>
      </c>
    </row>
    <row r="311" spans="1:15" s="24" customFormat="1" ht="21" customHeight="1">
      <c r="A311" s="84"/>
      <c r="B311" s="41"/>
      <c r="C311" s="68">
        <v>3110</v>
      </c>
      <c r="D311" s="66" t="s">
        <v>114</v>
      </c>
      <c r="E311" s="61">
        <f>6284727-51000</f>
        <v>6233727</v>
      </c>
      <c r="F311" s="61"/>
      <c r="G311" s="70">
        <f t="shared" si="94"/>
        <v>6233727</v>
      </c>
      <c r="H311" s="61"/>
      <c r="I311" s="70">
        <f t="shared" si="117"/>
        <v>6233727</v>
      </c>
      <c r="J311" s="61">
        <v>324271</v>
      </c>
      <c r="K311" s="70">
        <f t="shared" si="118"/>
        <v>6557998</v>
      </c>
      <c r="L311" s="61"/>
      <c r="M311" s="70">
        <f t="shared" si="119"/>
        <v>6557998</v>
      </c>
      <c r="N311" s="61"/>
      <c r="O311" s="70">
        <f t="shared" si="120"/>
        <v>6557998</v>
      </c>
    </row>
    <row r="312" spans="1:17" s="24" customFormat="1" ht="21" customHeight="1">
      <c r="A312" s="84"/>
      <c r="B312" s="41"/>
      <c r="C312" s="41">
        <v>4010</v>
      </c>
      <c r="D312" s="11" t="s">
        <v>86</v>
      </c>
      <c r="E312" s="61">
        <f>153581+24502</f>
        <v>178083</v>
      </c>
      <c r="F312" s="61"/>
      <c r="G312" s="70">
        <f t="shared" si="94"/>
        <v>178083</v>
      </c>
      <c r="H312" s="61"/>
      <c r="I312" s="70">
        <f t="shared" si="117"/>
        <v>178083</v>
      </c>
      <c r="J312" s="61">
        <v>1080</v>
      </c>
      <c r="K312" s="70">
        <f t="shared" si="118"/>
        <v>179163</v>
      </c>
      <c r="L312" s="61"/>
      <c r="M312" s="70">
        <f t="shared" si="119"/>
        <v>179163</v>
      </c>
      <c r="N312" s="61"/>
      <c r="O312" s="70">
        <f t="shared" si="120"/>
        <v>179163</v>
      </c>
      <c r="P312" s="98"/>
      <c r="Q312" s="98"/>
    </row>
    <row r="313" spans="1:17" s="24" customFormat="1" ht="21" customHeight="1">
      <c r="A313" s="84"/>
      <c r="B313" s="41"/>
      <c r="C313" s="41">
        <v>4040</v>
      </c>
      <c r="D313" s="11" t="s">
        <v>87</v>
      </c>
      <c r="E313" s="61">
        <v>12000</v>
      </c>
      <c r="F313" s="61"/>
      <c r="G313" s="70">
        <f t="shared" si="94"/>
        <v>12000</v>
      </c>
      <c r="H313" s="61"/>
      <c r="I313" s="70">
        <f t="shared" si="117"/>
        <v>12000</v>
      </c>
      <c r="J313" s="61">
        <v>-1406</v>
      </c>
      <c r="K313" s="70">
        <f t="shared" si="118"/>
        <v>10594</v>
      </c>
      <c r="L313" s="61"/>
      <c r="M313" s="70">
        <f t="shared" si="119"/>
        <v>10594</v>
      </c>
      <c r="N313" s="61"/>
      <c r="O313" s="70">
        <f t="shared" si="120"/>
        <v>10594</v>
      </c>
      <c r="P313" s="98"/>
      <c r="Q313" s="98"/>
    </row>
    <row r="314" spans="1:17" s="24" customFormat="1" ht="21" customHeight="1">
      <c r="A314" s="84"/>
      <c r="B314" s="41"/>
      <c r="C314" s="41">
        <v>4110</v>
      </c>
      <c r="D314" s="11" t="s">
        <v>88</v>
      </c>
      <c r="E314" s="61">
        <f>20612+7904+51000</f>
        <v>79516</v>
      </c>
      <c r="F314" s="61"/>
      <c r="G314" s="70">
        <f t="shared" si="94"/>
        <v>79516</v>
      </c>
      <c r="H314" s="61"/>
      <c r="I314" s="70">
        <f t="shared" si="117"/>
        <v>79516</v>
      </c>
      <c r="J314" s="61"/>
      <c r="K314" s="70">
        <f t="shared" si="118"/>
        <v>79516</v>
      </c>
      <c r="L314" s="61"/>
      <c r="M314" s="70">
        <f t="shared" si="119"/>
        <v>79516</v>
      </c>
      <c r="N314" s="61"/>
      <c r="O314" s="70">
        <f t="shared" si="120"/>
        <v>79516</v>
      </c>
      <c r="P314" s="98"/>
      <c r="Q314" s="98"/>
    </row>
    <row r="315" spans="1:17" s="24" customFormat="1" ht="21" customHeight="1">
      <c r="A315" s="84"/>
      <c r="B315" s="41"/>
      <c r="C315" s="41">
        <v>4120</v>
      </c>
      <c r="D315" s="11" t="s">
        <v>89</v>
      </c>
      <c r="E315" s="61">
        <f>3305+1268</f>
        <v>4573</v>
      </c>
      <c r="F315" s="61"/>
      <c r="G315" s="70">
        <f t="shared" si="94"/>
        <v>4573</v>
      </c>
      <c r="H315" s="61"/>
      <c r="I315" s="70">
        <f t="shared" si="117"/>
        <v>4573</v>
      </c>
      <c r="J315" s="61"/>
      <c r="K315" s="70">
        <f t="shared" si="118"/>
        <v>4573</v>
      </c>
      <c r="L315" s="61"/>
      <c r="M315" s="70">
        <f t="shared" si="119"/>
        <v>4573</v>
      </c>
      <c r="N315" s="61"/>
      <c r="O315" s="70">
        <f t="shared" si="120"/>
        <v>4573</v>
      </c>
      <c r="P315" s="98"/>
      <c r="Q315" s="98"/>
    </row>
    <row r="316" spans="1:17" s="24" customFormat="1" ht="21" customHeight="1">
      <c r="A316" s="84"/>
      <c r="B316" s="67"/>
      <c r="C316" s="41">
        <v>4170</v>
      </c>
      <c r="D316" s="38" t="s">
        <v>199</v>
      </c>
      <c r="E316" s="61">
        <v>3000</v>
      </c>
      <c r="F316" s="61"/>
      <c r="G316" s="70">
        <f t="shared" si="94"/>
        <v>3000</v>
      </c>
      <c r="H316" s="61"/>
      <c r="I316" s="70">
        <f t="shared" si="117"/>
        <v>3000</v>
      </c>
      <c r="J316" s="61"/>
      <c r="K316" s="70">
        <f t="shared" si="118"/>
        <v>3000</v>
      </c>
      <c r="L316" s="61"/>
      <c r="M316" s="70">
        <f t="shared" si="119"/>
        <v>3000</v>
      </c>
      <c r="N316" s="61"/>
      <c r="O316" s="70">
        <f t="shared" si="120"/>
        <v>3000</v>
      </c>
      <c r="P316" s="98"/>
      <c r="Q316" s="98"/>
    </row>
    <row r="317" spans="1:15" s="24" customFormat="1" ht="21" customHeight="1">
      <c r="A317" s="84"/>
      <c r="B317" s="67"/>
      <c r="C317" s="41">
        <v>4210</v>
      </c>
      <c r="D317" s="11" t="s">
        <v>94</v>
      </c>
      <c r="E317" s="61">
        <v>6980</v>
      </c>
      <c r="F317" s="61"/>
      <c r="G317" s="70">
        <f t="shared" si="94"/>
        <v>6980</v>
      </c>
      <c r="H317" s="61"/>
      <c r="I317" s="70">
        <f t="shared" si="117"/>
        <v>6980</v>
      </c>
      <c r="J317" s="61">
        <v>5029</v>
      </c>
      <c r="K317" s="70">
        <f t="shared" si="118"/>
        <v>12009</v>
      </c>
      <c r="L317" s="61">
        <v>-4200</v>
      </c>
      <c r="M317" s="70">
        <f t="shared" si="119"/>
        <v>7809</v>
      </c>
      <c r="N317" s="61"/>
      <c r="O317" s="70">
        <f t="shared" si="120"/>
        <v>7809</v>
      </c>
    </row>
    <row r="318" spans="1:15" s="24" customFormat="1" ht="21" customHeight="1">
      <c r="A318" s="84"/>
      <c r="B318" s="67"/>
      <c r="C318" s="41">
        <v>4260</v>
      </c>
      <c r="D318" s="38" t="s">
        <v>97</v>
      </c>
      <c r="E318" s="61">
        <v>8400</v>
      </c>
      <c r="F318" s="61"/>
      <c r="G318" s="70">
        <f t="shared" si="94"/>
        <v>8400</v>
      </c>
      <c r="H318" s="61"/>
      <c r="I318" s="70">
        <f t="shared" si="117"/>
        <v>8400</v>
      </c>
      <c r="J318" s="61"/>
      <c r="K318" s="70">
        <f t="shared" si="118"/>
        <v>8400</v>
      </c>
      <c r="L318" s="61"/>
      <c r="M318" s="70">
        <f t="shared" si="119"/>
        <v>8400</v>
      </c>
      <c r="N318" s="61"/>
      <c r="O318" s="70">
        <f t="shared" si="120"/>
        <v>8400</v>
      </c>
    </row>
    <row r="319" spans="1:15" s="24" customFormat="1" ht="21" customHeight="1">
      <c r="A319" s="84"/>
      <c r="B319" s="67"/>
      <c r="C319" s="41">
        <v>4270</v>
      </c>
      <c r="D319" s="38" t="s">
        <v>80</v>
      </c>
      <c r="E319" s="61">
        <v>2000</v>
      </c>
      <c r="F319" s="61"/>
      <c r="G319" s="70">
        <f t="shared" si="94"/>
        <v>2000</v>
      </c>
      <c r="H319" s="61"/>
      <c r="I319" s="70">
        <f t="shared" si="117"/>
        <v>2000</v>
      </c>
      <c r="J319" s="61"/>
      <c r="K319" s="70">
        <f t="shared" si="118"/>
        <v>2000</v>
      </c>
      <c r="L319" s="61"/>
      <c r="M319" s="70">
        <f t="shared" si="119"/>
        <v>2000</v>
      </c>
      <c r="N319" s="61"/>
      <c r="O319" s="70">
        <f t="shared" si="120"/>
        <v>2000</v>
      </c>
    </row>
    <row r="320" spans="1:15" s="24" customFormat="1" ht="21" customHeight="1">
      <c r="A320" s="84"/>
      <c r="B320" s="67"/>
      <c r="C320" s="41">
        <v>4280</v>
      </c>
      <c r="D320" s="38" t="s">
        <v>204</v>
      </c>
      <c r="E320" s="61">
        <v>960</v>
      </c>
      <c r="F320" s="61"/>
      <c r="G320" s="70">
        <f t="shared" si="94"/>
        <v>960</v>
      </c>
      <c r="H320" s="61"/>
      <c r="I320" s="70">
        <f t="shared" si="117"/>
        <v>960</v>
      </c>
      <c r="J320" s="61"/>
      <c r="K320" s="70">
        <f t="shared" si="118"/>
        <v>960</v>
      </c>
      <c r="L320" s="61"/>
      <c r="M320" s="70">
        <f t="shared" si="119"/>
        <v>960</v>
      </c>
      <c r="N320" s="61"/>
      <c r="O320" s="70">
        <f t="shared" si="120"/>
        <v>960</v>
      </c>
    </row>
    <row r="321" spans="1:15" s="24" customFormat="1" ht="21" customHeight="1">
      <c r="A321" s="84"/>
      <c r="B321" s="67"/>
      <c r="C321" s="41">
        <v>4300</v>
      </c>
      <c r="D321" s="11" t="s">
        <v>81</v>
      </c>
      <c r="E321" s="61">
        <v>6700</v>
      </c>
      <c r="F321" s="61"/>
      <c r="G321" s="70">
        <f t="shared" si="94"/>
        <v>6700</v>
      </c>
      <c r="H321" s="61"/>
      <c r="I321" s="70">
        <f t="shared" si="117"/>
        <v>6700</v>
      </c>
      <c r="J321" s="61"/>
      <c r="K321" s="70">
        <f t="shared" si="118"/>
        <v>6700</v>
      </c>
      <c r="L321" s="61">
        <v>-2500</v>
      </c>
      <c r="M321" s="70">
        <f t="shared" si="119"/>
        <v>4200</v>
      </c>
      <c r="N321" s="61"/>
      <c r="O321" s="70">
        <f t="shared" si="120"/>
        <v>4200</v>
      </c>
    </row>
    <row r="322" spans="1:15" s="24" customFormat="1" ht="21" customHeight="1">
      <c r="A322" s="84"/>
      <c r="B322" s="67"/>
      <c r="C322" s="41">
        <v>4350</v>
      </c>
      <c r="D322" s="38" t="s">
        <v>212</v>
      </c>
      <c r="E322" s="61">
        <v>3000</v>
      </c>
      <c r="F322" s="61"/>
      <c r="G322" s="70">
        <f t="shared" si="94"/>
        <v>3000</v>
      </c>
      <c r="H322" s="61"/>
      <c r="I322" s="70">
        <f t="shared" si="117"/>
        <v>3000</v>
      </c>
      <c r="J322" s="61"/>
      <c r="K322" s="70">
        <f t="shared" si="118"/>
        <v>3000</v>
      </c>
      <c r="L322" s="61"/>
      <c r="M322" s="70">
        <f t="shared" si="119"/>
        <v>3000</v>
      </c>
      <c r="N322" s="61"/>
      <c r="O322" s="70">
        <f t="shared" si="120"/>
        <v>3000</v>
      </c>
    </row>
    <row r="323" spans="1:15" s="24" customFormat="1" ht="24">
      <c r="A323" s="84"/>
      <c r="B323" s="67"/>
      <c r="C323" s="41">
        <v>4360</v>
      </c>
      <c r="D323" s="38" t="s">
        <v>234</v>
      </c>
      <c r="E323" s="61">
        <v>960</v>
      </c>
      <c r="F323" s="61"/>
      <c r="G323" s="70">
        <f t="shared" si="94"/>
        <v>960</v>
      </c>
      <c r="H323" s="61"/>
      <c r="I323" s="70">
        <f t="shared" si="117"/>
        <v>960</v>
      </c>
      <c r="J323" s="61"/>
      <c r="K323" s="70">
        <f t="shared" si="118"/>
        <v>960</v>
      </c>
      <c r="L323" s="61"/>
      <c r="M323" s="70">
        <f t="shared" si="119"/>
        <v>960</v>
      </c>
      <c r="N323" s="61"/>
      <c r="O323" s="70">
        <f t="shared" si="120"/>
        <v>960</v>
      </c>
    </row>
    <row r="324" spans="1:15" s="24" customFormat="1" ht="24">
      <c r="A324" s="84"/>
      <c r="B324" s="67"/>
      <c r="C324" s="41">
        <v>4370</v>
      </c>
      <c r="D324" s="38" t="s">
        <v>231</v>
      </c>
      <c r="E324" s="61">
        <v>2000</v>
      </c>
      <c r="F324" s="61"/>
      <c r="G324" s="70">
        <f t="shared" si="94"/>
        <v>2000</v>
      </c>
      <c r="H324" s="61"/>
      <c r="I324" s="70">
        <f t="shared" si="117"/>
        <v>2000</v>
      </c>
      <c r="J324" s="61"/>
      <c r="K324" s="70">
        <f t="shared" si="118"/>
        <v>2000</v>
      </c>
      <c r="L324" s="61"/>
      <c r="M324" s="70">
        <f t="shared" si="119"/>
        <v>2000</v>
      </c>
      <c r="N324" s="61"/>
      <c r="O324" s="70">
        <f t="shared" si="120"/>
        <v>2000</v>
      </c>
    </row>
    <row r="325" spans="1:15" s="24" customFormat="1" ht="21" customHeight="1">
      <c r="A325" s="84"/>
      <c r="B325" s="67"/>
      <c r="C325" s="41">
        <v>4410</v>
      </c>
      <c r="D325" s="38" t="s">
        <v>92</v>
      </c>
      <c r="E325" s="61">
        <v>4000</v>
      </c>
      <c r="F325" s="61"/>
      <c r="G325" s="70">
        <f t="shared" si="94"/>
        <v>4000</v>
      </c>
      <c r="H325" s="61"/>
      <c r="I325" s="70">
        <f t="shared" si="117"/>
        <v>4000</v>
      </c>
      <c r="J325" s="61">
        <v>2000</v>
      </c>
      <c r="K325" s="70">
        <f t="shared" si="118"/>
        <v>6000</v>
      </c>
      <c r="L325" s="61"/>
      <c r="M325" s="70">
        <f t="shared" si="119"/>
        <v>6000</v>
      </c>
      <c r="N325" s="61"/>
      <c r="O325" s="70">
        <f t="shared" si="120"/>
        <v>6000</v>
      </c>
    </row>
    <row r="326" spans="1:15" s="24" customFormat="1" ht="21" customHeight="1">
      <c r="A326" s="84"/>
      <c r="B326" s="67"/>
      <c r="C326" s="41">
        <v>4430</v>
      </c>
      <c r="D326" s="38" t="s">
        <v>96</v>
      </c>
      <c r="E326" s="61">
        <v>7800</v>
      </c>
      <c r="F326" s="61"/>
      <c r="G326" s="70">
        <f t="shared" si="94"/>
        <v>7800</v>
      </c>
      <c r="H326" s="61"/>
      <c r="I326" s="70">
        <f t="shared" si="117"/>
        <v>7800</v>
      </c>
      <c r="J326" s="61">
        <v>1000</v>
      </c>
      <c r="K326" s="70">
        <f t="shared" si="118"/>
        <v>8800</v>
      </c>
      <c r="L326" s="61"/>
      <c r="M326" s="70">
        <f t="shared" si="119"/>
        <v>8800</v>
      </c>
      <c r="N326" s="61"/>
      <c r="O326" s="70">
        <f t="shared" si="120"/>
        <v>8800</v>
      </c>
    </row>
    <row r="327" spans="1:15" s="24" customFormat="1" ht="24">
      <c r="A327" s="84"/>
      <c r="B327" s="67"/>
      <c r="C327" s="41">
        <v>4440</v>
      </c>
      <c r="D327" s="11" t="s">
        <v>90</v>
      </c>
      <c r="E327" s="61">
        <v>4875</v>
      </c>
      <c r="F327" s="61"/>
      <c r="G327" s="70">
        <f t="shared" si="94"/>
        <v>4875</v>
      </c>
      <c r="H327" s="61"/>
      <c r="I327" s="70">
        <f t="shared" si="117"/>
        <v>4875</v>
      </c>
      <c r="J327" s="61">
        <v>126</v>
      </c>
      <c r="K327" s="70">
        <f t="shared" si="118"/>
        <v>5001</v>
      </c>
      <c r="L327" s="61"/>
      <c r="M327" s="70">
        <f t="shared" si="119"/>
        <v>5001</v>
      </c>
      <c r="N327" s="61"/>
      <c r="O327" s="70">
        <f t="shared" si="120"/>
        <v>5001</v>
      </c>
    </row>
    <row r="328" spans="1:15" s="24" customFormat="1" ht="21" customHeight="1">
      <c r="A328" s="84"/>
      <c r="B328" s="67"/>
      <c r="C328" s="41">
        <v>4580</v>
      </c>
      <c r="D328" s="11" t="s">
        <v>11</v>
      </c>
      <c r="E328" s="61"/>
      <c r="F328" s="61"/>
      <c r="G328" s="70"/>
      <c r="H328" s="61"/>
      <c r="I328" s="70">
        <v>0</v>
      </c>
      <c r="J328" s="61">
        <v>200</v>
      </c>
      <c r="K328" s="70">
        <f t="shared" si="118"/>
        <v>200</v>
      </c>
      <c r="L328" s="61"/>
      <c r="M328" s="70">
        <f t="shared" si="119"/>
        <v>200</v>
      </c>
      <c r="N328" s="61"/>
      <c r="O328" s="70">
        <f t="shared" si="120"/>
        <v>200</v>
      </c>
    </row>
    <row r="329" spans="1:15" s="24" customFormat="1" ht="24">
      <c r="A329" s="84"/>
      <c r="B329" s="67"/>
      <c r="C329" s="41">
        <v>4610</v>
      </c>
      <c r="D329" s="38" t="s">
        <v>186</v>
      </c>
      <c r="E329" s="61">
        <v>1000</v>
      </c>
      <c r="F329" s="61"/>
      <c r="G329" s="70">
        <f t="shared" si="94"/>
        <v>1000</v>
      </c>
      <c r="H329" s="61"/>
      <c r="I329" s="70">
        <f t="shared" si="117"/>
        <v>1000</v>
      </c>
      <c r="J329" s="61"/>
      <c r="K329" s="70">
        <f t="shared" si="118"/>
        <v>1000</v>
      </c>
      <c r="L329" s="61"/>
      <c r="M329" s="70">
        <f t="shared" si="119"/>
        <v>1000</v>
      </c>
      <c r="N329" s="61"/>
      <c r="O329" s="70">
        <f t="shared" si="120"/>
        <v>1000</v>
      </c>
    </row>
    <row r="330" spans="1:15" s="24" customFormat="1" ht="24">
      <c r="A330" s="84"/>
      <c r="B330" s="67"/>
      <c r="C330" s="41">
        <v>4700</v>
      </c>
      <c r="D330" s="38" t="s">
        <v>246</v>
      </c>
      <c r="E330" s="61">
        <v>3300</v>
      </c>
      <c r="F330" s="61"/>
      <c r="G330" s="70">
        <f aca="true" t="shared" si="121" ref="G330:G395">SUM(E330:F330)</f>
        <v>3300</v>
      </c>
      <c r="H330" s="61"/>
      <c r="I330" s="70">
        <f t="shared" si="117"/>
        <v>3300</v>
      </c>
      <c r="J330" s="61"/>
      <c r="K330" s="70">
        <f t="shared" si="118"/>
        <v>3300</v>
      </c>
      <c r="L330" s="61"/>
      <c r="M330" s="70">
        <f t="shared" si="119"/>
        <v>3300</v>
      </c>
      <c r="N330" s="61"/>
      <c r="O330" s="70">
        <f t="shared" si="120"/>
        <v>3300</v>
      </c>
    </row>
    <row r="331" spans="1:15" s="24" customFormat="1" ht="27.75" customHeight="1">
      <c r="A331" s="84"/>
      <c r="B331" s="67"/>
      <c r="C331" s="41">
        <v>4740</v>
      </c>
      <c r="D331" s="38" t="s">
        <v>232</v>
      </c>
      <c r="E331" s="61">
        <v>2000</v>
      </c>
      <c r="F331" s="61"/>
      <c r="G331" s="70">
        <f t="shared" si="121"/>
        <v>2000</v>
      </c>
      <c r="H331" s="61"/>
      <c r="I331" s="70">
        <f t="shared" si="117"/>
        <v>2000</v>
      </c>
      <c r="J331" s="61">
        <v>1000</v>
      </c>
      <c r="K331" s="70">
        <f t="shared" si="118"/>
        <v>3000</v>
      </c>
      <c r="L331" s="61"/>
      <c r="M331" s="70">
        <f t="shared" si="119"/>
        <v>3000</v>
      </c>
      <c r="N331" s="61"/>
      <c r="O331" s="70">
        <f t="shared" si="120"/>
        <v>3000</v>
      </c>
    </row>
    <row r="332" spans="1:15" s="24" customFormat="1" ht="24">
      <c r="A332" s="84"/>
      <c r="B332" s="67"/>
      <c r="C332" s="41">
        <v>4750</v>
      </c>
      <c r="D332" s="38" t="s">
        <v>253</v>
      </c>
      <c r="E332" s="61">
        <v>2000</v>
      </c>
      <c r="F332" s="61"/>
      <c r="G332" s="70">
        <f t="shared" si="121"/>
        <v>2000</v>
      </c>
      <c r="H332" s="61"/>
      <c r="I332" s="70">
        <f t="shared" si="117"/>
        <v>2000</v>
      </c>
      <c r="J332" s="61">
        <v>1000</v>
      </c>
      <c r="K332" s="70">
        <f t="shared" si="118"/>
        <v>3000</v>
      </c>
      <c r="L332" s="61">
        <v>6700</v>
      </c>
      <c r="M332" s="70">
        <f t="shared" si="119"/>
        <v>9700</v>
      </c>
      <c r="N332" s="61"/>
      <c r="O332" s="70">
        <f t="shared" si="120"/>
        <v>9700</v>
      </c>
    </row>
    <row r="333" spans="1:15" s="24" customFormat="1" ht="60">
      <c r="A333" s="57"/>
      <c r="B333" s="76">
        <v>85213</v>
      </c>
      <c r="C333" s="75"/>
      <c r="D333" s="66" t="s">
        <v>297</v>
      </c>
      <c r="E333" s="70">
        <f aca="true" t="shared" si="122" ref="E333:O333">SUM(E334)</f>
        <v>59100</v>
      </c>
      <c r="F333" s="70">
        <f t="shared" si="122"/>
        <v>0</v>
      </c>
      <c r="G333" s="70">
        <f t="shared" si="122"/>
        <v>59100</v>
      </c>
      <c r="H333" s="70">
        <f t="shared" si="122"/>
        <v>0</v>
      </c>
      <c r="I333" s="70">
        <f t="shared" si="122"/>
        <v>59100</v>
      </c>
      <c r="J333" s="70">
        <f t="shared" si="122"/>
        <v>-4100</v>
      </c>
      <c r="K333" s="70">
        <f t="shared" si="122"/>
        <v>55000</v>
      </c>
      <c r="L333" s="70">
        <f t="shared" si="122"/>
        <v>0</v>
      </c>
      <c r="M333" s="70">
        <f t="shared" si="122"/>
        <v>55000</v>
      </c>
      <c r="N333" s="70">
        <f t="shared" si="122"/>
        <v>0</v>
      </c>
      <c r="O333" s="70">
        <f t="shared" si="122"/>
        <v>55000</v>
      </c>
    </row>
    <row r="334" spans="1:15" s="24" customFormat="1" ht="21" customHeight="1">
      <c r="A334" s="57"/>
      <c r="B334" s="76"/>
      <c r="C334" s="75">
        <v>4130</v>
      </c>
      <c r="D334" s="38" t="s">
        <v>122</v>
      </c>
      <c r="E334" s="61">
        <v>59100</v>
      </c>
      <c r="F334" s="61"/>
      <c r="G334" s="70">
        <f t="shared" si="121"/>
        <v>59100</v>
      </c>
      <c r="H334" s="61"/>
      <c r="I334" s="70">
        <f>SUM(G334:H334)</f>
        <v>59100</v>
      </c>
      <c r="J334" s="61">
        <v>-4100</v>
      </c>
      <c r="K334" s="70">
        <f>SUM(I334:J334)</f>
        <v>55000</v>
      </c>
      <c r="L334" s="61"/>
      <c r="M334" s="70">
        <f>SUM(K334:L334)</f>
        <v>55000</v>
      </c>
      <c r="N334" s="61"/>
      <c r="O334" s="70">
        <f>SUM(M334:N334)</f>
        <v>55000</v>
      </c>
    </row>
    <row r="335" spans="1:15" s="24" customFormat="1" ht="24">
      <c r="A335" s="57"/>
      <c r="B335" s="71">
        <v>85214</v>
      </c>
      <c r="C335" s="75"/>
      <c r="D335" s="38" t="s">
        <v>211</v>
      </c>
      <c r="E335" s="70">
        <f aca="true" t="shared" si="123" ref="E335:K335">SUM(E336:E337)</f>
        <v>1686100</v>
      </c>
      <c r="F335" s="70">
        <f t="shared" si="123"/>
        <v>0</v>
      </c>
      <c r="G335" s="70">
        <f t="shared" si="123"/>
        <v>1686100</v>
      </c>
      <c r="H335" s="70">
        <f t="shared" si="123"/>
        <v>0</v>
      </c>
      <c r="I335" s="70">
        <f t="shared" si="123"/>
        <v>1686100</v>
      </c>
      <c r="J335" s="70">
        <f t="shared" si="123"/>
        <v>-17600</v>
      </c>
      <c r="K335" s="70">
        <f t="shared" si="123"/>
        <v>1668500</v>
      </c>
      <c r="L335" s="70">
        <f>SUM(L336:L337)</f>
        <v>0</v>
      </c>
      <c r="M335" s="70">
        <f>SUM(M336:M337)</f>
        <v>1668500</v>
      </c>
      <c r="N335" s="70">
        <f>SUM(N336:N337)</f>
        <v>0</v>
      </c>
      <c r="O335" s="70">
        <f>SUM(O336:O337)</f>
        <v>1668500</v>
      </c>
    </row>
    <row r="336" spans="1:15" s="24" customFormat="1" ht="21" customHeight="1">
      <c r="A336" s="57"/>
      <c r="B336" s="71"/>
      <c r="C336" s="75">
        <v>3110</v>
      </c>
      <c r="D336" s="38" t="s">
        <v>114</v>
      </c>
      <c r="E336" s="70">
        <f>466900+656100+562000</f>
        <v>1685000</v>
      </c>
      <c r="F336" s="70"/>
      <c r="G336" s="70">
        <f t="shared" si="121"/>
        <v>1685000</v>
      </c>
      <c r="H336" s="70"/>
      <c r="I336" s="70">
        <f>SUM(G336:H336)</f>
        <v>1685000</v>
      </c>
      <c r="J336" s="70">
        <f>-68300+50700</f>
        <v>-17600</v>
      </c>
      <c r="K336" s="70">
        <f>SUM(I336:J336)</f>
        <v>1667400</v>
      </c>
      <c r="L336" s="70"/>
      <c r="M336" s="70">
        <f>SUM(K336:L336)</f>
        <v>1667400</v>
      </c>
      <c r="N336" s="70"/>
      <c r="O336" s="70">
        <f>SUM(M336:N336)</f>
        <v>1667400</v>
      </c>
    </row>
    <row r="337" spans="1:17" s="24" customFormat="1" ht="21" customHeight="1">
      <c r="A337" s="57"/>
      <c r="B337" s="71"/>
      <c r="C337" s="41">
        <v>4110</v>
      </c>
      <c r="D337" s="11" t="s">
        <v>88</v>
      </c>
      <c r="E337" s="70">
        <v>1100</v>
      </c>
      <c r="F337" s="70"/>
      <c r="G337" s="70">
        <f t="shared" si="121"/>
        <v>1100</v>
      </c>
      <c r="H337" s="70"/>
      <c r="I337" s="70">
        <f>SUM(G337:H337)</f>
        <v>1100</v>
      </c>
      <c r="J337" s="70"/>
      <c r="K337" s="70">
        <f>SUM(I337:J337)</f>
        <v>1100</v>
      </c>
      <c r="L337" s="70"/>
      <c r="M337" s="70">
        <f>SUM(K337:L337)</f>
        <v>1100</v>
      </c>
      <c r="N337" s="70"/>
      <c r="O337" s="70">
        <f>SUM(M337:N337)</f>
        <v>1100</v>
      </c>
      <c r="P337" s="98"/>
      <c r="Q337" s="98"/>
    </row>
    <row r="338" spans="1:15" s="24" customFormat="1" ht="21" customHeight="1">
      <c r="A338" s="57"/>
      <c r="B338" s="71">
        <v>85215</v>
      </c>
      <c r="C338" s="75"/>
      <c r="D338" s="38" t="s">
        <v>58</v>
      </c>
      <c r="E338" s="70">
        <f aca="true" t="shared" si="124" ref="E338:O338">SUM(E339)</f>
        <v>900000</v>
      </c>
      <c r="F338" s="70">
        <f t="shared" si="124"/>
        <v>0</v>
      </c>
      <c r="G338" s="70">
        <f t="shared" si="124"/>
        <v>900000</v>
      </c>
      <c r="H338" s="70">
        <f t="shared" si="124"/>
        <v>0</v>
      </c>
      <c r="I338" s="70">
        <f t="shared" si="124"/>
        <v>900000</v>
      </c>
      <c r="J338" s="70">
        <f t="shared" si="124"/>
        <v>0</v>
      </c>
      <c r="K338" s="70">
        <f t="shared" si="124"/>
        <v>900000</v>
      </c>
      <c r="L338" s="70">
        <f t="shared" si="124"/>
        <v>0</v>
      </c>
      <c r="M338" s="70">
        <f t="shared" si="124"/>
        <v>900000</v>
      </c>
      <c r="N338" s="70">
        <f t="shared" si="124"/>
        <v>0</v>
      </c>
      <c r="O338" s="70">
        <f t="shared" si="124"/>
        <v>900000</v>
      </c>
    </row>
    <row r="339" spans="1:15" s="24" customFormat="1" ht="21" customHeight="1">
      <c r="A339" s="57"/>
      <c r="B339" s="71"/>
      <c r="C339" s="75">
        <v>3110</v>
      </c>
      <c r="D339" s="38" t="s">
        <v>114</v>
      </c>
      <c r="E339" s="70">
        <v>900000</v>
      </c>
      <c r="F339" s="70"/>
      <c r="G339" s="70">
        <f t="shared" si="121"/>
        <v>900000</v>
      </c>
      <c r="H339" s="70"/>
      <c r="I339" s="70">
        <f>SUM(G339:H339)</f>
        <v>900000</v>
      </c>
      <c r="J339" s="70"/>
      <c r="K339" s="70">
        <f>SUM(I339:J339)</f>
        <v>900000</v>
      </c>
      <c r="L339" s="70"/>
      <c r="M339" s="70">
        <f>SUM(K339:L339)</f>
        <v>900000</v>
      </c>
      <c r="N339" s="70"/>
      <c r="O339" s="70">
        <f>SUM(M339:N339)</f>
        <v>900000</v>
      </c>
    </row>
    <row r="340" spans="1:15" s="24" customFormat="1" ht="21" customHeight="1">
      <c r="A340" s="57"/>
      <c r="B340" s="71">
        <v>85219</v>
      </c>
      <c r="C340" s="75"/>
      <c r="D340" s="38" t="s">
        <v>59</v>
      </c>
      <c r="E340" s="70">
        <f aca="true" t="shared" si="125" ref="E340:K340">SUM(E341:E363)</f>
        <v>1337592</v>
      </c>
      <c r="F340" s="70">
        <f t="shared" si="125"/>
        <v>0</v>
      </c>
      <c r="G340" s="70">
        <f t="shared" si="125"/>
        <v>1337592</v>
      </c>
      <c r="H340" s="70">
        <f t="shared" si="125"/>
        <v>0</v>
      </c>
      <c r="I340" s="70">
        <f t="shared" si="125"/>
        <v>1337592</v>
      </c>
      <c r="J340" s="70">
        <f t="shared" si="125"/>
        <v>0</v>
      </c>
      <c r="K340" s="70">
        <f t="shared" si="125"/>
        <v>1337592</v>
      </c>
      <c r="L340" s="70">
        <f>SUM(L341:L363)</f>
        <v>36050</v>
      </c>
      <c r="M340" s="70">
        <f>SUM(M341:M363)</f>
        <v>1373642</v>
      </c>
      <c r="N340" s="70">
        <f>SUM(N341:N363)</f>
        <v>0</v>
      </c>
      <c r="O340" s="70">
        <f>SUM(O341:O363)</f>
        <v>1373642</v>
      </c>
    </row>
    <row r="341" spans="1:15" s="24" customFormat="1" ht="24">
      <c r="A341" s="57"/>
      <c r="B341" s="71"/>
      <c r="C341" s="75">
        <v>3020</v>
      </c>
      <c r="D341" s="38" t="s">
        <v>215</v>
      </c>
      <c r="E341" s="70">
        <v>3218</v>
      </c>
      <c r="F341" s="70"/>
      <c r="G341" s="70">
        <f t="shared" si="121"/>
        <v>3218</v>
      </c>
      <c r="H341" s="70"/>
      <c r="I341" s="70">
        <f aca="true" t="shared" si="126" ref="I341:I363">SUM(G341:H341)</f>
        <v>3218</v>
      </c>
      <c r="J341" s="70"/>
      <c r="K341" s="70">
        <f aca="true" t="shared" si="127" ref="K341:K363">SUM(I341:J341)</f>
        <v>3218</v>
      </c>
      <c r="L341" s="70"/>
      <c r="M341" s="70">
        <f aca="true" t="shared" si="128" ref="M341:M363">SUM(K341:L341)</f>
        <v>3218</v>
      </c>
      <c r="N341" s="70"/>
      <c r="O341" s="70">
        <f aca="true" t="shared" si="129" ref="O341:O363">SUM(M341:N341)</f>
        <v>3218</v>
      </c>
    </row>
    <row r="342" spans="1:17" s="24" customFormat="1" ht="21" customHeight="1">
      <c r="A342" s="57"/>
      <c r="B342" s="71"/>
      <c r="C342" s="75">
        <v>4010</v>
      </c>
      <c r="D342" s="38" t="s">
        <v>86</v>
      </c>
      <c r="E342" s="70">
        <f>28577+467500+141137+61197</f>
        <v>698411</v>
      </c>
      <c r="F342" s="70"/>
      <c r="G342" s="70">
        <f t="shared" si="121"/>
        <v>698411</v>
      </c>
      <c r="H342" s="70"/>
      <c r="I342" s="70">
        <f t="shared" si="126"/>
        <v>698411</v>
      </c>
      <c r="J342" s="70"/>
      <c r="K342" s="70">
        <f t="shared" si="127"/>
        <v>698411</v>
      </c>
      <c r="L342" s="70">
        <f>20500+13050</f>
        <v>33550</v>
      </c>
      <c r="M342" s="70">
        <f t="shared" si="128"/>
        <v>731961</v>
      </c>
      <c r="N342" s="70"/>
      <c r="O342" s="70">
        <f t="shared" si="129"/>
        <v>731961</v>
      </c>
      <c r="P342" s="98"/>
      <c r="Q342" s="98"/>
    </row>
    <row r="343" spans="1:17" s="24" customFormat="1" ht="21" customHeight="1">
      <c r="A343" s="57"/>
      <c r="B343" s="71"/>
      <c r="C343" s="75">
        <v>4040</v>
      </c>
      <c r="D343" s="38" t="s">
        <v>87</v>
      </c>
      <c r="E343" s="70">
        <f>2774+32000+12500+4300</f>
        <v>51574</v>
      </c>
      <c r="F343" s="70"/>
      <c r="G343" s="70">
        <f t="shared" si="121"/>
        <v>51574</v>
      </c>
      <c r="H343" s="70"/>
      <c r="I343" s="70">
        <f t="shared" si="126"/>
        <v>51574</v>
      </c>
      <c r="J343" s="70"/>
      <c r="K343" s="70">
        <f t="shared" si="127"/>
        <v>51574</v>
      </c>
      <c r="L343" s="70"/>
      <c r="M343" s="70">
        <f t="shared" si="128"/>
        <v>51574</v>
      </c>
      <c r="N343" s="70"/>
      <c r="O343" s="70">
        <f t="shared" si="129"/>
        <v>51574</v>
      </c>
      <c r="P343" s="98"/>
      <c r="Q343" s="98"/>
    </row>
    <row r="344" spans="1:17" s="24" customFormat="1" ht="21" customHeight="1">
      <c r="A344" s="57"/>
      <c r="B344" s="71"/>
      <c r="C344" s="75">
        <v>4110</v>
      </c>
      <c r="D344" s="38" t="s">
        <v>88</v>
      </c>
      <c r="E344" s="70">
        <f>5234+72050+29130+10129</f>
        <v>116543</v>
      </c>
      <c r="F344" s="70"/>
      <c r="G344" s="70">
        <f t="shared" si="121"/>
        <v>116543</v>
      </c>
      <c r="H344" s="70"/>
      <c r="I344" s="70">
        <f t="shared" si="126"/>
        <v>116543</v>
      </c>
      <c r="J344" s="70"/>
      <c r="K344" s="70">
        <f t="shared" si="127"/>
        <v>116543</v>
      </c>
      <c r="L344" s="70">
        <v>2180</v>
      </c>
      <c r="M344" s="70">
        <f t="shared" si="128"/>
        <v>118723</v>
      </c>
      <c r="N344" s="70"/>
      <c r="O344" s="70">
        <f t="shared" si="129"/>
        <v>118723</v>
      </c>
      <c r="P344" s="98"/>
      <c r="Q344" s="98"/>
    </row>
    <row r="345" spans="1:17" s="24" customFormat="1" ht="21" customHeight="1">
      <c r="A345" s="57"/>
      <c r="B345" s="71"/>
      <c r="C345" s="75">
        <v>4120</v>
      </c>
      <c r="D345" s="38" t="s">
        <v>89</v>
      </c>
      <c r="E345" s="70">
        <f>768+11250+4399+1578</f>
        <v>17995</v>
      </c>
      <c r="F345" s="70"/>
      <c r="G345" s="70">
        <f t="shared" si="121"/>
        <v>17995</v>
      </c>
      <c r="H345" s="70"/>
      <c r="I345" s="70">
        <f t="shared" si="126"/>
        <v>17995</v>
      </c>
      <c r="J345" s="70"/>
      <c r="K345" s="70">
        <f t="shared" si="127"/>
        <v>17995</v>
      </c>
      <c r="L345" s="70">
        <v>320</v>
      </c>
      <c r="M345" s="70">
        <f t="shared" si="128"/>
        <v>18315</v>
      </c>
      <c r="N345" s="70"/>
      <c r="O345" s="70">
        <f t="shared" si="129"/>
        <v>18315</v>
      </c>
      <c r="P345" s="98"/>
      <c r="Q345" s="98"/>
    </row>
    <row r="346" spans="1:17" s="24" customFormat="1" ht="21" customHeight="1">
      <c r="A346" s="57"/>
      <c r="B346" s="71"/>
      <c r="C346" s="75">
        <v>4170</v>
      </c>
      <c r="D346" s="38" t="s">
        <v>199</v>
      </c>
      <c r="E346" s="70">
        <f>13200+6240</f>
        <v>19440</v>
      </c>
      <c r="F346" s="70"/>
      <c r="G346" s="70">
        <f t="shared" si="121"/>
        <v>19440</v>
      </c>
      <c r="H346" s="70"/>
      <c r="I346" s="70">
        <f t="shared" si="126"/>
        <v>19440</v>
      </c>
      <c r="J346" s="70"/>
      <c r="K346" s="70">
        <f t="shared" si="127"/>
        <v>19440</v>
      </c>
      <c r="L346" s="70"/>
      <c r="M346" s="70">
        <f t="shared" si="128"/>
        <v>19440</v>
      </c>
      <c r="N346" s="70"/>
      <c r="O346" s="70">
        <f t="shared" si="129"/>
        <v>19440</v>
      </c>
      <c r="P346" s="98"/>
      <c r="Q346" s="98"/>
    </row>
    <row r="347" spans="1:15" s="24" customFormat="1" ht="21" customHeight="1">
      <c r="A347" s="57"/>
      <c r="B347" s="71"/>
      <c r="C347" s="75">
        <v>4210</v>
      </c>
      <c r="D347" s="38" t="s">
        <v>94</v>
      </c>
      <c r="E347" s="70">
        <f>2800+22500+11100</f>
        <v>36400</v>
      </c>
      <c r="F347" s="70"/>
      <c r="G347" s="70">
        <f t="shared" si="121"/>
        <v>36400</v>
      </c>
      <c r="H347" s="70"/>
      <c r="I347" s="70">
        <f t="shared" si="126"/>
        <v>36400</v>
      </c>
      <c r="J347" s="70"/>
      <c r="K347" s="70">
        <f t="shared" si="127"/>
        <v>36400</v>
      </c>
      <c r="L347" s="70"/>
      <c r="M347" s="70">
        <f t="shared" si="128"/>
        <v>36400</v>
      </c>
      <c r="N347" s="70"/>
      <c r="O347" s="70">
        <f t="shared" si="129"/>
        <v>36400</v>
      </c>
    </row>
    <row r="348" spans="1:15" s="24" customFormat="1" ht="21" customHeight="1">
      <c r="A348" s="57"/>
      <c r="B348" s="71"/>
      <c r="C348" s="75">
        <v>4220</v>
      </c>
      <c r="D348" s="38" t="s">
        <v>183</v>
      </c>
      <c r="E348" s="70">
        <v>150000</v>
      </c>
      <c r="F348" s="70"/>
      <c r="G348" s="70">
        <f t="shared" si="121"/>
        <v>150000</v>
      </c>
      <c r="H348" s="70"/>
      <c r="I348" s="70">
        <f t="shared" si="126"/>
        <v>150000</v>
      </c>
      <c r="J348" s="70"/>
      <c r="K348" s="70">
        <f t="shared" si="127"/>
        <v>150000</v>
      </c>
      <c r="L348" s="70"/>
      <c r="M348" s="70">
        <f t="shared" si="128"/>
        <v>150000</v>
      </c>
      <c r="N348" s="70"/>
      <c r="O348" s="70">
        <f t="shared" si="129"/>
        <v>150000</v>
      </c>
    </row>
    <row r="349" spans="1:15" s="24" customFormat="1" ht="21" customHeight="1">
      <c r="A349" s="57"/>
      <c r="B349" s="71"/>
      <c r="C349" s="75">
        <v>4260</v>
      </c>
      <c r="D349" s="38" t="s">
        <v>97</v>
      </c>
      <c r="E349" s="70">
        <f>4700+9855</f>
        <v>14555</v>
      </c>
      <c r="F349" s="70"/>
      <c r="G349" s="70">
        <f t="shared" si="121"/>
        <v>14555</v>
      </c>
      <c r="H349" s="70"/>
      <c r="I349" s="70">
        <f t="shared" si="126"/>
        <v>14555</v>
      </c>
      <c r="J349" s="70"/>
      <c r="K349" s="70">
        <f t="shared" si="127"/>
        <v>14555</v>
      </c>
      <c r="L349" s="70"/>
      <c r="M349" s="70">
        <f t="shared" si="128"/>
        <v>14555</v>
      </c>
      <c r="N349" s="70"/>
      <c r="O349" s="70">
        <f t="shared" si="129"/>
        <v>14555</v>
      </c>
    </row>
    <row r="350" spans="1:15" s="24" customFormat="1" ht="21" customHeight="1">
      <c r="A350" s="57"/>
      <c r="B350" s="71"/>
      <c r="C350" s="75">
        <v>4270</v>
      </c>
      <c r="D350" s="38" t="s">
        <v>80</v>
      </c>
      <c r="E350" s="70">
        <f>2000+2000</f>
        <v>4000</v>
      </c>
      <c r="F350" s="70"/>
      <c r="G350" s="70">
        <f t="shared" si="121"/>
        <v>4000</v>
      </c>
      <c r="H350" s="70"/>
      <c r="I350" s="70">
        <f t="shared" si="126"/>
        <v>4000</v>
      </c>
      <c r="J350" s="70"/>
      <c r="K350" s="70">
        <f t="shared" si="127"/>
        <v>4000</v>
      </c>
      <c r="L350" s="70"/>
      <c r="M350" s="70">
        <f t="shared" si="128"/>
        <v>4000</v>
      </c>
      <c r="N350" s="70"/>
      <c r="O350" s="70">
        <f t="shared" si="129"/>
        <v>4000</v>
      </c>
    </row>
    <row r="351" spans="1:15" s="24" customFormat="1" ht="21" customHeight="1">
      <c r="A351" s="57"/>
      <c r="B351" s="71"/>
      <c r="C351" s="75">
        <v>4280</v>
      </c>
      <c r="D351" s="38" t="s">
        <v>204</v>
      </c>
      <c r="E351" s="70">
        <f>1000+350</f>
        <v>1350</v>
      </c>
      <c r="F351" s="70"/>
      <c r="G351" s="70">
        <f t="shared" si="121"/>
        <v>1350</v>
      </c>
      <c r="H351" s="70"/>
      <c r="I351" s="70">
        <f t="shared" si="126"/>
        <v>1350</v>
      </c>
      <c r="J351" s="70"/>
      <c r="K351" s="70">
        <f t="shared" si="127"/>
        <v>1350</v>
      </c>
      <c r="L351" s="70"/>
      <c r="M351" s="70">
        <f t="shared" si="128"/>
        <v>1350</v>
      </c>
      <c r="N351" s="70"/>
      <c r="O351" s="70">
        <f t="shared" si="129"/>
        <v>1350</v>
      </c>
    </row>
    <row r="352" spans="1:15" s="24" customFormat="1" ht="21" customHeight="1">
      <c r="A352" s="57"/>
      <c r="B352" s="71"/>
      <c r="C352" s="75">
        <v>4300</v>
      </c>
      <c r="D352" s="38" t="s">
        <v>81</v>
      </c>
      <c r="E352" s="70">
        <f>42600+32639+10790</f>
        <v>86029</v>
      </c>
      <c r="F352" s="70"/>
      <c r="G352" s="70">
        <f t="shared" si="121"/>
        <v>86029</v>
      </c>
      <c r="H352" s="70"/>
      <c r="I352" s="70">
        <f t="shared" si="126"/>
        <v>86029</v>
      </c>
      <c r="J352" s="70"/>
      <c r="K352" s="70">
        <f t="shared" si="127"/>
        <v>86029</v>
      </c>
      <c r="L352" s="70"/>
      <c r="M352" s="70">
        <f t="shared" si="128"/>
        <v>86029</v>
      </c>
      <c r="N352" s="70"/>
      <c r="O352" s="70">
        <f t="shared" si="129"/>
        <v>86029</v>
      </c>
    </row>
    <row r="353" spans="1:15" s="24" customFormat="1" ht="21" customHeight="1">
      <c r="A353" s="57"/>
      <c r="B353" s="71"/>
      <c r="C353" s="75">
        <v>4350</v>
      </c>
      <c r="D353" s="38" t="s">
        <v>212</v>
      </c>
      <c r="E353" s="70">
        <f>550+627</f>
        <v>1177</v>
      </c>
      <c r="F353" s="70"/>
      <c r="G353" s="70">
        <f t="shared" si="121"/>
        <v>1177</v>
      </c>
      <c r="H353" s="70"/>
      <c r="I353" s="70">
        <f t="shared" si="126"/>
        <v>1177</v>
      </c>
      <c r="J353" s="70"/>
      <c r="K353" s="70">
        <f t="shared" si="127"/>
        <v>1177</v>
      </c>
      <c r="L353" s="70"/>
      <c r="M353" s="70">
        <f t="shared" si="128"/>
        <v>1177</v>
      </c>
      <c r="N353" s="70"/>
      <c r="O353" s="70">
        <f t="shared" si="129"/>
        <v>1177</v>
      </c>
    </row>
    <row r="354" spans="1:15" s="24" customFormat="1" ht="27" customHeight="1">
      <c r="A354" s="57"/>
      <c r="B354" s="71"/>
      <c r="C354" s="75">
        <v>4360</v>
      </c>
      <c r="D354" s="38" t="s">
        <v>234</v>
      </c>
      <c r="E354" s="70">
        <v>732</v>
      </c>
      <c r="F354" s="70"/>
      <c r="G354" s="70">
        <f t="shared" si="121"/>
        <v>732</v>
      </c>
      <c r="H354" s="70"/>
      <c r="I354" s="70">
        <f t="shared" si="126"/>
        <v>732</v>
      </c>
      <c r="J354" s="70"/>
      <c r="K354" s="70">
        <f t="shared" si="127"/>
        <v>732</v>
      </c>
      <c r="L354" s="70"/>
      <c r="M354" s="70">
        <f t="shared" si="128"/>
        <v>732</v>
      </c>
      <c r="N354" s="70"/>
      <c r="O354" s="70">
        <f t="shared" si="129"/>
        <v>732</v>
      </c>
    </row>
    <row r="355" spans="1:15" s="24" customFormat="1" ht="27" customHeight="1">
      <c r="A355" s="57"/>
      <c r="B355" s="71"/>
      <c r="C355" s="75">
        <v>4370</v>
      </c>
      <c r="D355" s="38" t="s">
        <v>231</v>
      </c>
      <c r="E355" s="70">
        <f>2500+7800+480</f>
        <v>10780</v>
      </c>
      <c r="F355" s="70"/>
      <c r="G355" s="70">
        <f t="shared" si="121"/>
        <v>10780</v>
      </c>
      <c r="H355" s="70"/>
      <c r="I355" s="70">
        <f t="shared" si="126"/>
        <v>10780</v>
      </c>
      <c r="J355" s="70"/>
      <c r="K355" s="70">
        <f t="shared" si="127"/>
        <v>10780</v>
      </c>
      <c r="L355" s="70"/>
      <c r="M355" s="70">
        <f t="shared" si="128"/>
        <v>10780</v>
      </c>
      <c r="N355" s="70"/>
      <c r="O355" s="70">
        <f t="shared" si="129"/>
        <v>10780</v>
      </c>
    </row>
    <row r="356" spans="1:15" s="24" customFormat="1" ht="27" customHeight="1">
      <c r="A356" s="57"/>
      <c r="B356" s="71"/>
      <c r="C356" s="75">
        <v>4400</v>
      </c>
      <c r="D356" s="38" t="s">
        <v>238</v>
      </c>
      <c r="E356" s="70">
        <f>2104+58671+12501</f>
        <v>73276</v>
      </c>
      <c r="F356" s="70"/>
      <c r="G356" s="70">
        <f t="shared" si="121"/>
        <v>73276</v>
      </c>
      <c r="H356" s="70"/>
      <c r="I356" s="70">
        <f t="shared" si="126"/>
        <v>73276</v>
      </c>
      <c r="J356" s="70"/>
      <c r="K356" s="70">
        <f t="shared" si="127"/>
        <v>73276</v>
      </c>
      <c r="L356" s="70"/>
      <c r="M356" s="70">
        <f t="shared" si="128"/>
        <v>73276</v>
      </c>
      <c r="N356" s="70"/>
      <c r="O356" s="70">
        <f t="shared" si="129"/>
        <v>73276</v>
      </c>
    </row>
    <row r="357" spans="1:15" s="24" customFormat="1" ht="21" customHeight="1">
      <c r="A357" s="57"/>
      <c r="B357" s="71"/>
      <c r="C357" s="75">
        <v>4410</v>
      </c>
      <c r="D357" s="38" t="s">
        <v>92</v>
      </c>
      <c r="E357" s="70">
        <f>447+11015</f>
        <v>11462</v>
      </c>
      <c r="F357" s="70"/>
      <c r="G357" s="70">
        <f t="shared" si="121"/>
        <v>11462</v>
      </c>
      <c r="H357" s="70"/>
      <c r="I357" s="70">
        <f t="shared" si="126"/>
        <v>11462</v>
      </c>
      <c r="J357" s="70"/>
      <c r="K357" s="70">
        <f t="shared" si="127"/>
        <v>11462</v>
      </c>
      <c r="L357" s="70"/>
      <c r="M357" s="70">
        <f t="shared" si="128"/>
        <v>11462</v>
      </c>
      <c r="N357" s="70"/>
      <c r="O357" s="70">
        <f t="shared" si="129"/>
        <v>11462</v>
      </c>
    </row>
    <row r="358" spans="1:15" s="24" customFormat="1" ht="21" customHeight="1">
      <c r="A358" s="57"/>
      <c r="B358" s="71"/>
      <c r="C358" s="75">
        <v>4430</v>
      </c>
      <c r="D358" s="38" t="s">
        <v>96</v>
      </c>
      <c r="E358" s="70">
        <f>2430</f>
        <v>2430</v>
      </c>
      <c r="F358" s="70"/>
      <c r="G358" s="70">
        <f t="shared" si="121"/>
        <v>2430</v>
      </c>
      <c r="H358" s="70"/>
      <c r="I358" s="70">
        <f t="shared" si="126"/>
        <v>2430</v>
      </c>
      <c r="J358" s="70"/>
      <c r="K358" s="70">
        <f t="shared" si="127"/>
        <v>2430</v>
      </c>
      <c r="L358" s="70"/>
      <c r="M358" s="70">
        <f t="shared" si="128"/>
        <v>2430</v>
      </c>
      <c r="N358" s="70"/>
      <c r="O358" s="70">
        <f t="shared" si="129"/>
        <v>2430</v>
      </c>
    </row>
    <row r="359" spans="1:15" s="24" customFormat="1" ht="21" customHeight="1">
      <c r="A359" s="57"/>
      <c r="B359" s="71"/>
      <c r="C359" s="75">
        <v>4440</v>
      </c>
      <c r="D359" s="38" t="s">
        <v>90</v>
      </c>
      <c r="E359" s="70">
        <f>1138+15000+5171+3007</f>
        <v>24316</v>
      </c>
      <c r="F359" s="70"/>
      <c r="G359" s="70">
        <f t="shared" si="121"/>
        <v>24316</v>
      </c>
      <c r="H359" s="70"/>
      <c r="I359" s="70">
        <f t="shared" si="126"/>
        <v>24316</v>
      </c>
      <c r="J359" s="70"/>
      <c r="K359" s="70">
        <f t="shared" si="127"/>
        <v>24316</v>
      </c>
      <c r="L359" s="70"/>
      <c r="M359" s="70">
        <f t="shared" si="128"/>
        <v>24316</v>
      </c>
      <c r="N359" s="70"/>
      <c r="O359" s="70">
        <f t="shared" si="129"/>
        <v>24316</v>
      </c>
    </row>
    <row r="360" spans="1:15" s="24" customFormat="1" ht="21" customHeight="1">
      <c r="A360" s="57"/>
      <c r="B360" s="71"/>
      <c r="C360" s="75">
        <v>4610</v>
      </c>
      <c r="D360" s="38" t="s">
        <v>186</v>
      </c>
      <c r="E360" s="70">
        <v>800</v>
      </c>
      <c r="F360" s="70"/>
      <c r="G360" s="70">
        <f t="shared" si="121"/>
        <v>800</v>
      </c>
      <c r="H360" s="70"/>
      <c r="I360" s="70">
        <f t="shared" si="126"/>
        <v>800</v>
      </c>
      <c r="J360" s="70"/>
      <c r="K360" s="70">
        <f t="shared" si="127"/>
        <v>800</v>
      </c>
      <c r="L360" s="70"/>
      <c r="M360" s="70">
        <f t="shared" si="128"/>
        <v>800</v>
      </c>
      <c r="N360" s="70"/>
      <c r="O360" s="70">
        <f t="shared" si="129"/>
        <v>800</v>
      </c>
    </row>
    <row r="361" spans="1:15" s="24" customFormat="1" ht="27" customHeight="1">
      <c r="A361" s="57"/>
      <c r="B361" s="71"/>
      <c r="C361" s="75">
        <v>4700</v>
      </c>
      <c r="D361" s="38" t="s">
        <v>246</v>
      </c>
      <c r="E361" s="70">
        <v>6000</v>
      </c>
      <c r="F361" s="70"/>
      <c r="G361" s="70">
        <f t="shared" si="121"/>
        <v>6000</v>
      </c>
      <c r="H361" s="70"/>
      <c r="I361" s="70">
        <f t="shared" si="126"/>
        <v>6000</v>
      </c>
      <c r="J361" s="70"/>
      <c r="K361" s="70">
        <f t="shared" si="127"/>
        <v>6000</v>
      </c>
      <c r="L361" s="70"/>
      <c r="M361" s="70">
        <f t="shared" si="128"/>
        <v>6000</v>
      </c>
      <c r="N361" s="70"/>
      <c r="O361" s="70">
        <f t="shared" si="129"/>
        <v>6000</v>
      </c>
    </row>
    <row r="362" spans="1:15" s="24" customFormat="1" ht="27" customHeight="1">
      <c r="A362" s="57"/>
      <c r="B362" s="71"/>
      <c r="C362" s="75">
        <v>4740</v>
      </c>
      <c r="D362" s="38" t="s">
        <v>232</v>
      </c>
      <c r="E362" s="70">
        <f>300+1804</f>
        <v>2104</v>
      </c>
      <c r="F362" s="70"/>
      <c r="G362" s="70">
        <f t="shared" si="121"/>
        <v>2104</v>
      </c>
      <c r="H362" s="70"/>
      <c r="I362" s="70">
        <f t="shared" si="126"/>
        <v>2104</v>
      </c>
      <c r="J362" s="70"/>
      <c r="K362" s="70">
        <f t="shared" si="127"/>
        <v>2104</v>
      </c>
      <c r="L362" s="70"/>
      <c r="M362" s="70">
        <f t="shared" si="128"/>
        <v>2104</v>
      </c>
      <c r="N362" s="70"/>
      <c r="O362" s="70">
        <f t="shared" si="129"/>
        <v>2104</v>
      </c>
    </row>
    <row r="363" spans="1:15" s="24" customFormat="1" ht="24">
      <c r="A363" s="57"/>
      <c r="B363" s="71"/>
      <c r="C363" s="75">
        <v>4750</v>
      </c>
      <c r="D363" s="38" t="s">
        <v>253</v>
      </c>
      <c r="E363" s="70">
        <v>5000</v>
      </c>
      <c r="F363" s="70"/>
      <c r="G363" s="70">
        <f t="shared" si="121"/>
        <v>5000</v>
      </c>
      <c r="H363" s="70"/>
      <c r="I363" s="70">
        <f t="shared" si="126"/>
        <v>5000</v>
      </c>
      <c r="J363" s="70"/>
      <c r="K363" s="70">
        <f t="shared" si="127"/>
        <v>5000</v>
      </c>
      <c r="L363" s="70"/>
      <c r="M363" s="70">
        <f t="shared" si="128"/>
        <v>5000</v>
      </c>
      <c r="N363" s="70"/>
      <c r="O363" s="70">
        <f t="shared" si="129"/>
        <v>5000</v>
      </c>
    </row>
    <row r="364" spans="1:15" s="24" customFormat="1" ht="24">
      <c r="A364" s="57"/>
      <c r="B364" s="71">
        <v>85228</v>
      </c>
      <c r="C364" s="75"/>
      <c r="D364" s="38" t="s">
        <v>123</v>
      </c>
      <c r="E364" s="70">
        <f aca="true" t="shared" si="130" ref="E364:O364">SUM(E365)</f>
        <v>150000</v>
      </c>
      <c r="F364" s="70">
        <f t="shared" si="130"/>
        <v>0</v>
      </c>
      <c r="G364" s="70">
        <f t="shared" si="130"/>
        <v>150000</v>
      </c>
      <c r="H364" s="70">
        <f t="shared" si="130"/>
        <v>0</v>
      </c>
      <c r="I364" s="70">
        <f t="shared" si="130"/>
        <v>150000</v>
      </c>
      <c r="J364" s="70">
        <f t="shared" si="130"/>
        <v>0</v>
      </c>
      <c r="K364" s="70">
        <f t="shared" si="130"/>
        <v>150000</v>
      </c>
      <c r="L364" s="70">
        <f t="shared" si="130"/>
        <v>0</v>
      </c>
      <c r="M364" s="70">
        <f t="shared" si="130"/>
        <v>150000</v>
      </c>
      <c r="N364" s="70">
        <f t="shared" si="130"/>
        <v>0</v>
      </c>
      <c r="O364" s="70">
        <f t="shared" si="130"/>
        <v>150000</v>
      </c>
    </row>
    <row r="365" spans="1:15" s="24" customFormat="1" ht="21" customHeight="1">
      <c r="A365" s="57"/>
      <c r="B365" s="71"/>
      <c r="C365" s="75">
        <v>4300</v>
      </c>
      <c r="D365" s="38" t="s">
        <v>81</v>
      </c>
      <c r="E365" s="70">
        <v>150000</v>
      </c>
      <c r="F365" s="70"/>
      <c r="G365" s="70">
        <f t="shared" si="121"/>
        <v>150000</v>
      </c>
      <c r="H365" s="70"/>
      <c r="I365" s="70">
        <f>SUM(G365:H365)</f>
        <v>150000</v>
      </c>
      <c r="J365" s="70"/>
      <c r="K365" s="70">
        <f>SUM(I365:J365)</f>
        <v>150000</v>
      </c>
      <c r="L365" s="70"/>
      <c r="M365" s="70">
        <f>SUM(K365:L365)</f>
        <v>150000</v>
      </c>
      <c r="N365" s="70"/>
      <c r="O365" s="70">
        <f>SUM(M365:N365)</f>
        <v>150000</v>
      </c>
    </row>
    <row r="366" spans="1:15" s="24" customFormat="1" ht="21" customHeight="1">
      <c r="A366" s="57"/>
      <c r="B366" s="71" t="s">
        <v>160</v>
      </c>
      <c r="C366" s="75"/>
      <c r="D366" s="38" t="s">
        <v>6</v>
      </c>
      <c r="E366" s="70">
        <f aca="true" t="shared" si="131" ref="E366:K366">SUM(E367:E368)</f>
        <v>763820</v>
      </c>
      <c r="F366" s="70">
        <f t="shared" si="131"/>
        <v>0</v>
      </c>
      <c r="G366" s="70">
        <f t="shared" si="131"/>
        <v>763820</v>
      </c>
      <c r="H366" s="70">
        <f t="shared" si="131"/>
        <v>0</v>
      </c>
      <c r="I366" s="70">
        <f t="shared" si="131"/>
        <v>763820</v>
      </c>
      <c r="J366" s="70">
        <f t="shared" si="131"/>
        <v>0</v>
      </c>
      <c r="K366" s="70">
        <f t="shared" si="131"/>
        <v>763820</v>
      </c>
      <c r="L366" s="70">
        <f>SUM(L367:L368)</f>
        <v>0</v>
      </c>
      <c r="M366" s="70">
        <f>SUM(M367:M368)</f>
        <v>763820</v>
      </c>
      <c r="N366" s="70">
        <f>SUM(N367:N368)</f>
        <v>75000</v>
      </c>
      <c r="O366" s="70">
        <f>SUM(O367:O368)</f>
        <v>838820</v>
      </c>
    </row>
    <row r="367" spans="1:15" s="24" customFormat="1" ht="21" customHeight="1">
      <c r="A367" s="57"/>
      <c r="B367" s="71"/>
      <c r="C367" s="75">
        <v>3110</v>
      </c>
      <c r="D367" s="38" t="s">
        <v>114</v>
      </c>
      <c r="E367" s="61">
        <f>541300+217000</f>
        <v>758300</v>
      </c>
      <c r="F367" s="61"/>
      <c r="G367" s="70">
        <f t="shared" si="121"/>
        <v>758300</v>
      </c>
      <c r="H367" s="61"/>
      <c r="I367" s="70">
        <f>SUM(G367:H367)</f>
        <v>758300</v>
      </c>
      <c r="J367" s="61"/>
      <c r="K367" s="70">
        <f>SUM(I367:J367)</f>
        <v>758300</v>
      </c>
      <c r="L367" s="61"/>
      <c r="M367" s="70">
        <f>SUM(K367:L367)</f>
        <v>758300</v>
      </c>
      <c r="N367" s="61">
        <v>75000</v>
      </c>
      <c r="O367" s="70">
        <f>SUM(M367:N367)</f>
        <v>833300</v>
      </c>
    </row>
    <row r="368" spans="1:15" s="24" customFormat="1" ht="21" customHeight="1">
      <c r="A368" s="57"/>
      <c r="B368" s="71"/>
      <c r="C368" s="75">
        <v>4430</v>
      </c>
      <c r="D368" s="38" t="s">
        <v>96</v>
      </c>
      <c r="E368" s="70">
        <v>5520</v>
      </c>
      <c r="F368" s="70"/>
      <c r="G368" s="70">
        <f t="shared" si="121"/>
        <v>5520</v>
      </c>
      <c r="H368" s="70"/>
      <c r="I368" s="70">
        <f>SUM(G368:H368)</f>
        <v>5520</v>
      </c>
      <c r="J368" s="70"/>
      <c r="K368" s="70">
        <f>SUM(I368:J368)</f>
        <v>5520</v>
      </c>
      <c r="L368" s="70"/>
      <c r="M368" s="70">
        <f>SUM(K368:L368)</f>
        <v>5520</v>
      </c>
      <c r="N368" s="70"/>
      <c r="O368" s="70">
        <f>SUM(M368:N368)</f>
        <v>5520</v>
      </c>
    </row>
    <row r="369" spans="1:15" s="164" customFormat="1" ht="24">
      <c r="A369" s="159">
        <v>853</v>
      </c>
      <c r="B369" s="160"/>
      <c r="C369" s="161"/>
      <c r="D369" s="162" t="s">
        <v>289</v>
      </c>
      <c r="E369" s="163">
        <f aca="true" t="shared" si="132" ref="E369:O370">E370</f>
        <v>10800</v>
      </c>
      <c r="F369" s="163">
        <f t="shared" si="132"/>
        <v>0</v>
      </c>
      <c r="G369" s="163">
        <f t="shared" si="132"/>
        <v>10800</v>
      </c>
      <c r="H369" s="163">
        <f t="shared" si="132"/>
        <v>0</v>
      </c>
      <c r="I369" s="163">
        <f t="shared" si="132"/>
        <v>10800</v>
      </c>
      <c r="J369" s="163">
        <f t="shared" si="132"/>
        <v>0</v>
      </c>
      <c r="K369" s="163">
        <f t="shared" si="132"/>
        <v>10800</v>
      </c>
      <c r="L369" s="163">
        <f t="shared" si="132"/>
        <v>0</v>
      </c>
      <c r="M369" s="163">
        <f t="shared" si="132"/>
        <v>10800</v>
      </c>
      <c r="N369" s="163">
        <f t="shared" si="132"/>
        <v>0</v>
      </c>
      <c r="O369" s="163">
        <f t="shared" si="132"/>
        <v>10800</v>
      </c>
    </row>
    <row r="370" spans="1:15" s="24" customFormat="1" ht="21" customHeight="1">
      <c r="A370" s="57"/>
      <c r="B370" s="71">
        <v>85311</v>
      </c>
      <c r="C370" s="75"/>
      <c r="D370" s="38" t="s">
        <v>290</v>
      </c>
      <c r="E370" s="70">
        <f t="shared" si="132"/>
        <v>10800</v>
      </c>
      <c r="F370" s="70">
        <f t="shared" si="132"/>
        <v>0</v>
      </c>
      <c r="G370" s="70">
        <f t="shared" si="132"/>
        <v>10800</v>
      </c>
      <c r="H370" s="70">
        <f t="shared" si="132"/>
        <v>0</v>
      </c>
      <c r="I370" s="70">
        <f t="shared" si="132"/>
        <v>10800</v>
      </c>
      <c r="J370" s="70">
        <f t="shared" si="132"/>
        <v>0</v>
      </c>
      <c r="K370" s="70">
        <f t="shared" si="132"/>
        <v>10800</v>
      </c>
      <c r="L370" s="70">
        <f t="shared" si="132"/>
        <v>0</v>
      </c>
      <c r="M370" s="70">
        <f t="shared" si="132"/>
        <v>10800</v>
      </c>
      <c r="N370" s="70">
        <f t="shared" si="132"/>
        <v>0</v>
      </c>
      <c r="O370" s="70">
        <f t="shared" si="132"/>
        <v>10800</v>
      </c>
    </row>
    <row r="371" spans="1:15" s="24" customFormat="1" ht="48">
      <c r="A371" s="57"/>
      <c r="B371" s="71"/>
      <c r="C371" s="75">
        <v>2710</v>
      </c>
      <c r="D371" s="38" t="s">
        <v>298</v>
      </c>
      <c r="E371" s="70">
        <v>10800</v>
      </c>
      <c r="F371" s="70"/>
      <c r="G371" s="70">
        <f t="shared" si="121"/>
        <v>10800</v>
      </c>
      <c r="H371" s="70"/>
      <c r="I371" s="70">
        <f>SUM(G371:H371)</f>
        <v>10800</v>
      </c>
      <c r="J371" s="70"/>
      <c r="K371" s="70">
        <f>SUM(I371:J371)</f>
        <v>10800</v>
      </c>
      <c r="L371" s="70"/>
      <c r="M371" s="70">
        <f>SUM(K371:L371)</f>
        <v>10800</v>
      </c>
      <c r="N371" s="70"/>
      <c r="O371" s="70">
        <f>SUM(M371:N371)</f>
        <v>10800</v>
      </c>
    </row>
    <row r="372" spans="1:15" s="7" customFormat="1" ht="21" customHeight="1">
      <c r="A372" s="33" t="s">
        <v>124</v>
      </c>
      <c r="B372" s="34"/>
      <c r="C372" s="35"/>
      <c r="D372" s="36" t="s">
        <v>60</v>
      </c>
      <c r="E372" s="37">
        <f aca="true" t="shared" si="133" ref="E372:K372">SUM(E373,E383,E394,E390,E388)</f>
        <v>995031</v>
      </c>
      <c r="F372" s="37">
        <f t="shared" si="133"/>
        <v>-35000</v>
      </c>
      <c r="G372" s="37">
        <f t="shared" si="133"/>
        <v>960031</v>
      </c>
      <c r="H372" s="37">
        <f t="shared" si="133"/>
        <v>252163</v>
      </c>
      <c r="I372" s="37">
        <f t="shared" si="133"/>
        <v>1212194</v>
      </c>
      <c r="J372" s="37">
        <f t="shared" si="133"/>
        <v>4462</v>
      </c>
      <c r="K372" s="37">
        <f t="shared" si="133"/>
        <v>1216656</v>
      </c>
      <c r="L372" s="37">
        <f>SUM(L373,L383,L394,L390,L388)</f>
        <v>0</v>
      </c>
      <c r="M372" s="37">
        <f>SUM(M373,M383,M394,M390,M388)</f>
        <v>1216656</v>
      </c>
      <c r="N372" s="37">
        <f>SUM(N373,N383,N394,N390,N388)</f>
        <v>0</v>
      </c>
      <c r="O372" s="37">
        <f>SUM(O373,O383,O394,O390,O388)</f>
        <v>1216656</v>
      </c>
    </row>
    <row r="373" spans="1:15" s="24" customFormat="1" ht="21" customHeight="1">
      <c r="A373" s="57"/>
      <c r="B373" s="71">
        <v>85401</v>
      </c>
      <c r="C373" s="75"/>
      <c r="D373" s="38" t="s">
        <v>61</v>
      </c>
      <c r="E373" s="70">
        <f aca="true" t="shared" si="134" ref="E373:K373">SUM(E374:E382)</f>
        <v>522477</v>
      </c>
      <c r="F373" s="70">
        <f t="shared" si="134"/>
        <v>0</v>
      </c>
      <c r="G373" s="70">
        <f t="shared" si="134"/>
        <v>522477</v>
      </c>
      <c r="H373" s="70">
        <f t="shared" si="134"/>
        <v>0</v>
      </c>
      <c r="I373" s="70">
        <f t="shared" si="134"/>
        <v>522477</v>
      </c>
      <c r="J373" s="70">
        <f t="shared" si="134"/>
        <v>4462</v>
      </c>
      <c r="K373" s="70">
        <f t="shared" si="134"/>
        <v>526939</v>
      </c>
      <c r="L373" s="70">
        <f>SUM(L374:L382)</f>
        <v>0</v>
      </c>
      <c r="M373" s="70">
        <f>SUM(M374:M382)</f>
        <v>526939</v>
      </c>
      <c r="N373" s="70">
        <f>SUM(N374:N382)</f>
        <v>0</v>
      </c>
      <c r="O373" s="70">
        <f>SUM(O374:O382)</f>
        <v>526939</v>
      </c>
    </row>
    <row r="374" spans="1:15" s="24" customFormat="1" ht="21" customHeight="1">
      <c r="A374" s="57"/>
      <c r="B374" s="71"/>
      <c r="C374" s="75">
        <v>3020</v>
      </c>
      <c r="D374" s="38" t="s">
        <v>215</v>
      </c>
      <c r="E374" s="70">
        <v>10339</v>
      </c>
      <c r="F374" s="70"/>
      <c r="G374" s="70">
        <f t="shared" si="121"/>
        <v>10339</v>
      </c>
      <c r="H374" s="70"/>
      <c r="I374" s="70">
        <f aca="true" t="shared" si="135" ref="I374:I382">SUM(G374:H374)</f>
        <v>10339</v>
      </c>
      <c r="J374" s="70"/>
      <c r="K374" s="70">
        <f aca="true" t="shared" si="136" ref="K374:K382">SUM(I374:J374)</f>
        <v>10339</v>
      </c>
      <c r="L374" s="70"/>
      <c r="M374" s="70">
        <f aca="true" t="shared" si="137" ref="M374:M382">SUM(K374:L374)</f>
        <v>10339</v>
      </c>
      <c r="N374" s="70"/>
      <c r="O374" s="70">
        <f aca="true" t="shared" si="138" ref="O374:O382">SUM(M374:N374)</f>
        <v>10339</v>
      </c>
    </row>
    <row r="375" spans="1:17" s="24" customFormat="1" ht="21" customHeight="1">
      <c r="A375" s="57"/>
      <c r="B375" s="71"/>
      <c r="C375" s="75">
        <v>4010</v>
      </c>
      <c r="D375" s="38" t="s">
        <v>86</v>
      </c>
      <c r="E375" s="70">
        <v>371545</v>
      </c>
      <c r="F375" s="70"/>
      <c r="G375" s="70">
        <f t="shared" si="121"/>
        <v>371545</v>
      </c>
      <c r="H375" s="70"/>
      <c r="I375" s="70">
        <f t="shared" si="135"/>
        <v>371545</v>
      </c>
      <c r="J375" s="70">
        <v>613</v>
      </c>
      <c r="K375" s="70">
        <f t="shared" si="136"/>
        <v>372158</v>
      </c>
      <c r="L375" s="70"/>
      <c r="M375" s="70">
        <f t="shared" si="137"/>
        <v>372158</v>
      </c>
      <c r="N375" s="70"/>
      <c r="O375" s="70">
        <f t="shared" si="138"/>
        <v>372158</v>
      </c>
      <c r="P375" s="98"/>
      <c r="Q375" s="98"/>
    </row>
    <row r="376" spans="1:17" s="24" customFormat="1" ht="21" customHeight="1">
      <c r="A376" s="57"/>
      <c r="B376" s="71"/>
      <c r="C376" s="75">
        <v>4040</v>
      </c>
      <c r="D376" s="38" t="s">
        <v>87</v>
      </c>
      <c r="E376" s="70">
        <v>23840</v>
      </c>
      <c r="F376" s="70"/>
      <c r="G376" s="70">
        <f t="shared" si="121"/>
        <v>23840</v>
      </c>
      <c r="H376" s="70"/>
      <c r="I376" s="70">
        <f t="shared" si="135"/>
        <v>23840</v>
      </c>
      <c r="J376" s="70">
        <v>3849</v>
      </c>
      <c r="K376" s="70">
        <f t="shared" si="136"/>
        <v>27689</v>
      </c>
      <c r="L376" s="70"/>
      <c r="M376" s="70">
        <f t="shared" si="137"/>
        <v>27689</v>
      </c>
      <c r="N376" s="70"/>
      <c r="O376" s="70">
        <f t="shared" si="138"/>
        <v>27689</v>
      </c>
      <c r="P376" s="98"/>
      <c r="Q376" s="98"/>
    </row>
    <row r="377" spans="1:17" s="24" customFormat="1" ht="21" customHeight="1">
      <c r="A377" s="57"/>
      <c r="B377" s="71"/>
      <c r="C377" s="75">
        <v>4110</v>
      </c>
      <c r="D377" s="38" t="s">
        <v>88</v>
      </c>
      <c r="E377" s="70">
        <v>58485</v>
      </c>
      <c r="F377" s="70"/>
      <c r="G377" s="70">
        <f t="shared" si="121"/>
        <v>58485</v>
      </c>
      <c r="H377" s="70"/>
      <c r="I377" s="70">
        <f t="shared" si="135"/>
        <v>58485</v>
      </c>
      <c r="J377" s="70"/>
      <c r="K377" s="70">
        <f t="shared" si="136"/>
        <v>58485</v>
      </c>
      <c r="L377" s="70"/>
      <c r="M377" s="70">
        <f t="shared" si="137"/>
        <v>58485</v>
      </c>
      <c r="N377" s="70"/>
      <c r="O377" s="70">
        <f t="shared" si="138"/>
        <v>58485</v>
      </c>
      <c r="P377" s="98"/>
      <c r="Q377" s="98"/>
    </row>
    <row r="378" spans="1:17" s="24" customFormat="1" ht="21" customHeight="1">
      <c r="A378" s="57"/>
      <c r="B378" s="71"/>
      <c r="C378" s="75">
        <v>4120</v>
      </c>
      <c r="D378" s="38" t="s">
        <v>89</v>
      </c>
      <c r="E378" s="70">
        <v>10075</v>
      </c>
      <c r="F378" s="70"/>
      <c r="G378" s="70">
        <f t="shared" si="121"/>
        <v>10075</v>
      </c>
      <c r="H378" s="70"/>
      <c r="I378" s="70">
        <f t="shared" si="135"/>
        <v>10075</v>
      </c>
      <c r="J378" s="70"/>
      <c r="K378" s="70">
        <f t="shared" si="136"/>
        <v>10075</v>
      </c>
      <c r="L378" s="70"/>
      <c r="M378" s="70">
        <f t="shared" si="137"/>
        <v>10075</v>
      </c>
      <c r="N378" s="70"/>
      <c r="O378" s="70">
        <f t="shared" si="138"/>
        <v>10075</v>
      </c>
      <c r="P378" s="98"/>
      <c r="Q378" s="98"/>
    </row>
    <row r="379" spans="1:15" s="24" customFormat="1" ht="21" customHeight="1">
      <c r="A379" s="57"/>
      <c r="B379" s="71"/>
      <c r="C379" s="75">
        <v>4210</v>
      </c>
      <c r="D379" s="38" t="s">
        <v>94</v>
      </c>
      <c r="E379" s="70">
        <v>9950</v>
      </c>
      <c r="F379" s="70"/>
      <c r="G379" s="70">
        <f t="shared" si="121"/>
        <v>9950</v>
      </c>
      <c r="H379" s="70"/>
      <c r="I379" s="70">
        <f t="shared" si="135"/>
        <v>9950</v>
      </c>
      <c r="J379" s="70"/>
      <c r="K379" s="70">
        <f t="shared" si="136"/>
        <v>9950</v>
      </c>
      <c r="L379" s="70"/>
      <c r="M379" s="70">
        <f t="shared" si="137"/>
        <v>9950</v>
      </c>
      <c r="N379" s="70"/>
      <c r="O379" s="70">
        <f t="shared" si="138"/>
        <v>9950</v>
      </c>
    </row>
    <row r="380" spans="1:15" s="24" customFormat="1" ht="24">
      <c r="A380" s="57"/>
      <c r="B380" s="71"/>
      <c r="C380" s="75">
        <v>4240</v>
      </c>
      <c r="D380" s="38" t="s">
        <v>125</v>
      </c>
      <c r="E380" s="70">
        <v>8000</v>
      </c>
      <c r="F380" s="70"/>
      <c r="G380" s="70">
        <f t="shared" si="121"/>
        <v>8000</v>
      </c>
      <c r="H380" s="70"/>
      <c r="I380" s="70">
        <f t="shared" si="135"/>
        <v>8000</v>
      </c>
      <c r="J380" s="70"/>
      <c r="K380" s="70">
        <f t="shared" si="136"/>
        <v>8000</v>
      </c>
      <c r="L380" s="70"/>
      <c r="M380" s="70">
        <f t="shared" si="137"/>
        <v>8000</v>
      </c>
      <c r="N380" s="70"/>
      <c r="O380" s="70">
        <f t="shared" si="138"/>
        <v>8000</v>
      </c>
    </row>
    <row r="381" spans="1:15" s="24" customFormat="1" ht="21" customHeight="1">
      <c r="A381" s="57"/>
      <c r="B381" s="71"/>
      <c r="C381" s="75">
        <v>4280</v>
      </c>
      <c r="D381" s="38" t="s">
        <v>204</v>
      </c>
      <c r="E381" s="70">
        <v>600</v>
      </c>
      <c r="F381" s="70"/>
      <c r="G381" s="70">
        <f t="shared" si="121"/>
        <v>600</v>
      </c>
      <c r="H381" s="70"/>
      <c r="I381" s="70">
        <f t="shared" si="135"/>
        <v>600</v>
      </c>
      <c r="J381" s="70"/>
      <c r="K381" s="70">
        <f t="shared" si="136"/>
        <v>600</v>
      </c>
      <c r="L381" s="70"/>
      <c r="M381" s="70">
        <f t="shared" si="137"/>
        <v>600</v>
      </c>
      <c r="N381" s="70"/>
      <c r="O381" s="70">
        <f t="shared" si="138"/>
        <v>600</v>
      </c>
    </row>
    <row r="382" spans="1:15" s="24" customFormat="1" ht="24">
      <c r="A382" s="57"/>
      <c r="B382" s="71"/>
      <c r="C382" s="75">
        <v>4440</v>
      </c>
      <c r="D382" s="38" t="s">
        <v>90</v>
      </c>
      <c r="E382" s="70">
        <v>29643</v>
      </c>
      <c r="F382" s="70"/>
      <c r="G382" s="70">
        <f t="shared" si="121"/>
        <v>29643</v>
      </c>
      <c r="H382" s="70"/>
      <c r="I382" s="70">
        <f t="shared" si="135"/>
        <v>29643</v>
      </c>
      <c r="J382" s="70"/>
      <c r="K382" s="70">
        <f t="shared" si="136"/>
        <v>29643</v>
      </c>
      <c r="L382" s="70"/>
      <c r="M382" s="70">
        <f t="shared" si="137"/>
        <v>29643</v>
      </c>
      <c r="N382" s="70"/>
      <c r="O382" s="70">
        <f t="shared" si="138"/>
        <v>29643</v>
      </c>
    </row>
    <row r="383" spans="1:15" s="24" customFormat="1" ht="36">
      <c r="A383" s="57"/>
      <c r="B383" s="71" t="s">
        <v>128</v>
      </c>
      <c r="C383" s="75"/>
      <c r="D383" s="38" t="s">
        <v>161</v>
      </c>
      <c r="E383" s="70">
        <f aca="true" t="shared" si="139" ref="E383:K383">SUM(E384:E387)</f>
        <v>140890</v>
      </c>
      <c r="F383" s="70">
        <f t="shared" si="139"/>
        <v>-35000</v>
      </c>
      <c r="G383" s="70">
        <f t="shared" si="139"/>
        <v>105890</v>
      </c>
      <c r="H383" s="70">
        <f t="shared" si="139"/>
        <v>0</v>
      </c>
      <c r="I383" s="70">
        <f t="shared" si="139"/>
        <v>105890</v>
      </c>
      <c r="J383" s="70">
        <f t="shared" si="139"/>
        <v>0</v>
      </c>
      <c r="K383" s="70">
        <f t="shared" si="139"/>
        <v>105890</v>
      </c>
      <c r="L383" s="70">
        <f>SUM(L384:L387)</f>
        <v>0</v>
      </c>
      <c r="M383" s="70">
        <f>SUM(M384:M387)</f>
        <v>105890</v>
      </c>
      <c r="N383" s="70">
        <f>SUM(N384:N387)</f>
        <v>0</v>
      </c>
      <c r="O383" s="70">
        <f>SUM(O384:O387)</f>
        <v>105890</v>
      </c>
    </row>
    <row r="384" spans="1:15" s="24" customFormat="1" ht="36">
      <c r="A384" s="57"/>
      <c r="B384" s="71"/>
      <c r="C384" s="75">
        <v>2630</v>
      </c>
      <c r="D384" s="38" t="s">
        <v>299</v>
      </c>
      <c r="E384" s="70">
        <v>65000</v>
      </c>
      <c r="F384" s="70">
        <v>-65000</v>
      </c>
      <c r="G384" s="70">
        <f t="shared" si="121"/>
        <v>0</v>
      </c>
      <c r="H384" s="70"/>
      <c r="I384" s="70">
        <f>SUM(G384:H384)</f>
        <v>0</v>
      </c>
      <c r="J384" s="70"/>
      <c r="K384" s="70">
        <f>SUM(I384:J384)</f>
        <v>0</v>
      </c>
      <c r="L384" s="70"/>
      <c r="M384" s="70">
        <f>SUM(K384:L384)</f>
        <v>0</v>
      </c>
      <c r="N384" s="70"/>
      <c r="O384" s="70">
        <f>SUM(M384:N384)</f>
        <v>0</v>
      </c>
    </row>
    <row r="385" spans="1:15" s="24" customFormat="1" ht="21" customHeight="1">
      <c r="A385" s="57"/>
      <c r="B385" s="71"/>
      <c r="C385" s="75">
        <v>4210</v>
      </c>
      <c r="D385" s="38" t="s">
        <v>94</v>
      </c>
      <c r="E385" s="70">
        <v>2390</v>
      </c>
      <c r="F385" s="70"/>
      <c r="G385" s="70">
        <f t="shared" si="121"/>
        <v>2390</v>
      </c>
      <c r="H385" s="70"/>
      <c r="I385" s="70">
        <f>SUM(G385:H385)</f>
        <v>2390</v>
      </c>
      <c r="J385" s="70"/>
      <c r="K385" s="70">
        <f>SUM(I385:J385)</f>
        <v>2390</v>
      </c>
      <c r="L385" s="70"/>
      <c r="M385" s="70">
        <f>SUM(K385:L385)</f>
        <v>2390</v>
      </c>
      <c r="N385" s="70"/>
      <c r="O385" s="70">
        <f>SUM(M385:N385)</f>
        <v>2390</v>
      </c>
    </row>
    <row r="386" spans="1:15" s="24" customFormat="1" ht="21" customHeight="1">
      <c r="A386" s="75"/>
      <c r="B386" s="76"/>
      <c r="C386" s="75">
        <v>4300</v>
      </c>
      <c r="D386" s="38" t="s">
        <v>81</v>
      </c>
      <c r="E386" s="70">
        <v>7500</v>
      </c>
      <c r="F386" s="70">
        <v>30000</v>
      </c>
      <c r="G386" s="70">
        <f t="shared" si="121"/>
        <v>37500</v>
      </c>
      <c r="H386" s="70"/>
      <c r="I386" s="70">
        <f>SUM(G386:H386)</f>
        <v>37500</v>
      </c>
      <c r="J386" s="70"/>
      <c r="K386" s="70">
        <f>SUM(I386:J386)</f>
        <v>37500</v>
      </c>
      <c r="L386" s="70"/>
      <c r="M386" s="70">
        <f>SUM(K386:L386)</f>
        <v>37500</v>
      </c>
      <c r="N386" s="70"/>
      <c r="O386" s="70">
        <f>SUM(M386:N386)</f>
        <v>37500</v>
      </c>
    </row>
    <row r="387" spans="1:15" s="24" customFormat="1" ht="21" customHeight="1">
      <c r="A387" s="75"/>
      <c r="B387" s="76"/>
      <c r="C387" s="75">
        <v>6050</v>
      </c>
      <c r="D387" s="38" t="s">
        <v>75</v>
      </c>
      <c r="E387" s="70">
        <f>50000+16000</f>
        <v>66000</v>
      </c>
      <c r="F387" s="70"/>
      <c r="G387" s="70">
        <f t="shared" si="121"/>
        <v>66000</v>
      </c>
      <c r="H387" s="70"/>
      <c r="I387" s="70">
        <f>SUM(G387:H387)</f>
        <v>66000</v>
      </c>
      <c r="J387" s="70"/>
      <c r="K387" s="70">
        <f>SUM(I387:J387)</f>
        <v>66000</v>
      </c>
      <c r="L387" s="70"/>
      <c r="M387" s="70">
        <f>SUM(K387:L387)</f>
        <v>66000</v>
      </c>
      <c r="N387" s="70"/>
      <c r="O387" s="70">
        <f>SUM(M387:N387)</f>
        <v>66000</v>
      </c>
    </row>
    <row r="388" spans="1:15" s="24" customFormat="1" ht="21" customHeight="1">
      <c r="A388" s="75"/>
      <c r="B388" s="76">
        <v>85415</v>
      </c>
      <c r="C388" s="75"/>
      <c r="D388" s="38" t="s">
        <v>235</v>
      </c>
      <c r="E388" s="70">
        <f aca="true" t="shared" si="140" ref="E388:O388">SUM(E389)</f>
        <v>100000</v>
      </c>
      <c r="F388" s="70">
        <f t="shared" si="140"/>
        <v>0</v>
      </c>
      <c r="G388" s="70">
        <f t="shared" si="140"/>
        <v>100000</v>
      </c>
      <c r="H388" s="70">
        <f t="shared" si="140"/>
        <v>252163</v>
      </c>
      <c r="I388" s="70">
        <f t="shared" si="140"/>
        <v>352163</v>
      </c>
      <c r="J388" s="70">
        <f t="shared" si="140"/>
        <v>0</v>
      </c>
      <c r="K388" s="70">
        <f t="shared" si="140"/>
        <v>352163</v>
      </c>
      <c r="L388" s="70">
        <f t="shared" si="140"/>
        <v>0</v>
      </c>
      <c r="M388" s="70">
        <f t="shared" si="140"/>
        <v>352163</v>
      </c>
      <c r="N388" s="70">
        <f t="shared" si="140"/>
        <v>0</v>
      </c>
      <c r="O388" s="70">
        <f t="shared" si="140"/>
        <v>352163</v>
      </c>
    </row>
    <row r="389" spans="1:15" s="24" customFormat="1" ht="21" customHeight="1">
      <c r="A389" s="75"/>
      <c r="B389" s="76"/>
      <c r="C389" s="75">
        <v>3240</v>
      </c>
      <c r="D389" s="38" t="s">
        <v>236</v>
      </c>
      <c r="E389" s="70">
        <v>100000</v>
      </c>
      <c r="F389" s="70"/>
      <c r="G389" s="70">
        <f t="shared" si="121"/>
        <v>100000</v>
      </c>
      <c r="H389" s="70">
        <v>252163</v>
      </c>
      <c r="I389" s="70">
        <f>SUM(G389:H389)</f>
        <v>352163</v>
      </c>
      <c r="J389" s="70"/>
      <c r="K389" s="70">
        <f>SUM(I389:J389)</f>
        <v>352163</v>
      </c>
      <c r="L389" s="70"/>
      <c r="M389" s="70">
        <f>SUM(K389:L389)</f>
        <v>352163</v>
      </c>
      <c r="N389" s="70"/>
      <c r="O389" s="70">
        <f>SUM(M389:N389)</f>
        <v>352163</v>
      </c>
    </row>
    <row r="390" spans="1:15" s="24" customFormat="1" ht="21" customHeight="1">
      <c r="A390" s="75"/>
      <c r="B390" s="76">
        <v>85446</v>
      </c>
      <c r="C390" s="75"/>
      <c r="D390" s="38" t="s">
        <v>150</v>
      </c>
      <c r="E390" s="70">
        <f>SUM(E391:E391)</f>
        <v>3813</v>
      </c>
      <c r="F390" s="70">
        <f>SUM(F391:F391)</f>
        <v>0</v>
      </c>
      <c r="G390" s="70">
        <f>SUM(G391:G391)</f>
        <v>3813</v>
      </c>
      <c r="H390" s="70">
        <f>SUM(H391:H391)</f>
        <v>0</v>
      </c>
      <c r="I390" s="70">
        <f aca="true" t="shared" si="141" ref="I390:O390">SUM(I391:I393)</f>
        <v>3813</v>
      </c>
      <c r="J390" s="70">
        <f t="shared" si="141"/>
        <v>0</v>
      </c>
      <c r="K390" s="70">
        <f t="shared" si="141"/>
        <v>3813</v>
      </c>
      <c r="L390" s="70">
        <f t="shared" si="141"/>
        <v>0</v>
      </c>
      <c r="M390" s="70">
        <f t="shared" si="141"/>
        <v>3813</v>
      </c>
      <c r="N390" s="70">
        <f t="shared" si="141"/>
        <v>0</v>
      </c>
      <c r="O390" s="70">
        <f t="shared" si="141"/>
        <v>3813</v>
      </c>
    </row>
    <row r="391" spans="1:15" s="24" customFormat="1" ht="21" customHeight="1">
      <c r="A391" s="75"/>
      <c r="B391" s="76"/>
      <c r="C391" s="75">
        <v>4300</v>
      </c>
      <c r="D391" s="38" t="s">
        <v>81</v>
      </c>
      <c r="E391" s="70">
        <v>3813</v>
      </c>
      <c r="F391" s="70"/>
      <c r="G391" s="70">
        <f t="shared" si="121"/>
        <v>3813</v>
      </c>
      <c r="H391" s="70"/>
      <c r="I391" s="70">
        <f>SUM(G391:H391)</f>
        <v>3813</v>
      </c>
      <c r="J391" s="70">
        <f>-1825-1158</f>
        <v>-2983</v>
      </c>
      <c r="K391" s="70">
        <f>SUM(I391:J391)</f>
        <v>830</v>
      </c>
      <c r="L391" s="70"/>
      <c r="M391" s="70">
        <f>SUM(K391:L391)</f>
        <v>830</v>
      </c>
      <c r="N391" s="70"/>
      <c r="O391" s="70">
        <f>SUM(M391:N391)</f>
        <v>830</v>
      </c>
    </row>
    <row r="392" spans="1:15" s="24" customFormat="1" ht="21" customHeight="1">
      <c r="A392" s="75"/>
      <c r="B392" s="76"/>
      <c r="C392" s="75">
        <v>4410</v>
      </c>
      <c r="D392" s="38" t="s">
        <v>92</v>
      </c>
      <c r="E392" s="70"/>
      <c r="F392" s="70"/>
      <c r="G392" s="70"/>
      <c r="H392" s="70"/>
      <c r="I392" s="70">
        <v>0</v>
      </c>
      <c r="J392" s="70">
        <v>1158</v>
      </c>
      <c r="K392" s="70">
        <f>SUM(I392:J392)</f>
        <v>1158</v>
      </c>
      <c r="L392" s="70"/>
      <c r="M392" s="70">
        <f>SUM(K392:L392)</f>
        <v>1158</v>
      </c>
      <c r="N392" s="70"/>
      <c r="O392" s="70">
        <f>SUM(M392:N392)</f>
        <v>1158</v>
      </c>
    </row>
    <row r="393" spans="1:15" s="24" customFormat="1" ht="24">
      <c r="A393" s="75"/>
      <c r="B393" s="76"/>
      <c r="C393" s="75">
        <v>4700</v>
      </c>
      <c r="D393" s="38" t="s">
        <v>246</v>
      </c>
      <c r="E393" s="70"/>
      <c r="F393" s="70"/>
      <c r="G393" s="70"/>
      <c r="H393" s="70"/>
      <c r="I393" s="70">
        <v>0</v>
      </c>
      <c r="J393" s="70">
        <v>1825</v>
      </c>
      <c r="K393" s="70">
        <f>SUM(I393:J393)</f>
        <v>1825</v>
      </c>
      <c r="L393" s="70"/>
      <c r="M393" s="70">
        <f>SUM(K393:L393)</f>
        <v>1825</v>
      </c>
      <c r="N393" s="70"/>
      <c r="O393" s="70">
        <f>SUM(M393:N393)</f>
        <v>1825</v>
      </c>
    </row>
    <row r="394" spans="1:15" s="24" customFormat="1" ht="21" customHeight="1">
      <c r="A394" s="75"/>
      <c r="B394" s="76">
        <v>85495</v>
      </c>
      <c r="C394" s="75"/>
      <c r="D394" s="38" t="s">
        <v>6</v>
      </c>
      <c r="E394" s="70">
        <f aca="true" t="shared" si="142" ref="E394:O394">SUM(E395:E395)</f>
        <v>227851</v>
      </c>
      <c r="F394" s="70">
        <f t="shared" si="142"/>
        <v>0</v>
      </c>
      <c r="G394" s="70">
        <f t="shared" si="142"/>
        <v>227851</v>
      </c>
      <c r="H394" s="70">
        <f t="shared" si="142"/>
        <v>0</v>
      </c>
      <c r="I394" s="70">
        <f t="shared" si="142"/>
        <v>227851</v>
      </c>
      <c r="J394" s="70">
        <f t="shared" si="142"/>
        <v>0</v>
      </c>
      <c r="K394" s="70">
        <f t="shared" si="142"/>
        <v>227851</v>
      </c>
      <c r="L394" s="70">
        <f t="shared" si="142"/>
        <v>0</v>
      </c>
      <c r="M394" s="70">
        <f t="shared" si="142"/>
        <v>227851</v>
      </c>
      <c r="N394" s="70">
        <f t="shared" si="142"/>
        <v>0</v>
      </c>
      <c r="O394" s="70">
        <f t="shared" si="142"/>
        <v>227851</v>
      </c>
    </row>
    <row r="395" spans="1:15" s="24" customFormat="1" ht="48">
      <c r="A395" s="75"/>
      <c r="B395" s="76"/>
      <c r="C395" s="75">
        <v>2320</v>
      </c>
      <c r="D395" s="38" t="s">
        <v>153</v>
      </c>
      <c r="E395" s="70">
        <v>227851</v>
      </c>
      <c r="F395" s="70"/>
      <c r="G395" s="70">
        <f t="shared" si="121"/>
        <v>227851</v>
      </c>
      <c r="H395" s="70"/>
      <c r="I395" s="70">
        <f>SUM(G395:H395)</f>
        <v>227851</v>
      </c>
      <c r="J395" s="70"/>
      <c r="K395" s="70">
        <f>SUM(I395:J395)</f>
        <v>227851</v>
      </c>
      <c r="L395" s="70"/>
      <c r="M395" s="70">
        <f>SUM(K395:L395)</f>
        <v>227851</v>
      </c>
      <c r="N395" s="70"/>
      <c r="O395" s="70">
        <f>SUM(M395:N395)</f>
        <v>227851</v>
      </c>
    </row>
    <row r="396" spans="1:15" s="7" customFormat="1" ht="24">
      <c r="A396" s="33" t="s">
        <v>129</v>
      </c>
      <c r="B396" s="34"/>
      <c r="C396" s="35"/>
      <c r="D396" s="36" t="s">
        <v>62</v>
      </c>
      <c r="E396" s="37">
        <f aca="true" t="shared" si="143" ref="E396:K396">SUM(E397,E404,E406,E410,E412,E418,E402)</f>
        <v>5872910</v>
      </c>
      <c r="F396" s="37">
        <f t="shared" si="143"/>
        <v>-2310000</v>
      </c>
      <c r="G396" s="37">
        <f t="shared" si="143"/>
        <v>3562910</v>
      </c>
      <c r="H396" s="37">
        <f t="shared" si="143"/>
        <v>0</v>
      </c>
      <c r="I396" s="37">
        <f t="shared" si="143"/>
        <v>3562910</v>
      </c>
      <c r="J396" s="37">
        <f t="shared" si="143"/>
        <v>-44881</v>
      </c>
      <c r="K396" s="37">
        <f t="shared" si="143"/>
        <v>3518029</v>
      </c>
      <c r="L396" s="37">
        <f>SUM(L397,L404,L406,L410,L412,L418,L402)</f>
        <v>-50500</v>
      </c>
      <c r="M396" s="37">
        <f>SUM(M397,M404,M406,M410,M412,M418,M402)</f>
        <v>3467529</v>
      </c>
      <c r="N396" s="37">
        <f>SUM(N397,N404,N406,N410,N412,N418,N402)</f>
        <v>0</v>
      </c>
      <c r="O396" s="37">
        <f>SUM(O397,O404,O406,O410,O412,O418,O402)</f>
        <v>3467529</v>
      </c>
    </row>
    <row r="397" spans="1:15" s="24" customFormat="1" ht="21" customHeight="1">
      <c r="A397" s="57"/>
      <c r="B397" s="71" t="s">
        <v>130</v>
      </c>
      <c r="C397" s="75"/>
      <c r="D397" s="38" t="s">
        <v>63</v>
      </c>
      <c r="E397" s="70">
        <f aca="true" t="shared" si="144" ref="E397:K397">SUM(E398:E401)</f>
        <v>2615000</v>
      </c>
      <c r="F397" s="70">
        <f t="shared" si="144"/>
        <v>-1320000</v>
      </c>
      <c r="G397" s="70">
        <f t="shared" si="144"/>
        <v>1295000</v>
      </c>
      <c r="H397" s="70">
        <f t="shared" si="144"/>
        <v>0</v>
      </c>
      <c r="I397" s="70">
        <f t="shared" si="144"/>
        <v>1295000</v>
      </c>
      <c r="J397" s="70">
        <f t="shared" si="144"/>
        <v>119</v>
      </c>
      <c r="K397" s="70">
        <f t="shared" si="144"/>
        <v>1295119</v>
      </c>
      <c r="L397" s="70">
        <f>SUM(L398:L401)</f>
        <v>-71500</v>
      </c>
      <c r="M397" s="70">
        <f>SUM(M398:M401)</f>
        <v>1223619</v>
      </c>
      <c r="N397" s="70">
        <f>SUM(N398:N401)</f>
        <v>0</v>
      </c>
      <c r="O397" s="70">
        <f>SUM(O398:O401)</f>
        <v>1223619</v>
      </c>
    </row>
    <row r="398" spans="1:15" s="24" customFormat="1" ht="21" customHeight="1">
      <c r="A398" s="57"/>
      <c r="B398" s="71"/>
      <c r="C398" s="57">
        <v>4300</v>
      </c>
      <c r="D398" s="38" t="s">
        <v>81</v>
      </c>
      <c r="E398" s="70">
        <v>145000</v>
      </c>
      <c r="F398" s="70"/>
      <c r="G398" s="70">
        <f aca="true" t="shared" si="145" ref="G398:G455">SUM(E398:F398)</f>
        <v>145000</v>
      </c>
      <c r="H398" s="70">
        <v>-150</v>
      </c>
      <c r="I398" s="70">
        <f>SUM(G398:H398)</f>
        <v>144850</v>
      </c>
      <c r="J398" s="70"/>
      <c r="K398" s="70">
        <f>SUM(I398:J398)</f>
        <v>144850</v>
      </c>
      <c r="L398" s="70"/>
      <c r="M398" s="70">
        <f>SUM(K398:L398)</f>
        <v>144850</v>
      </c>
      <c r="N398" s="70"/>
      <c r="O398" s="70">
        <f>SUM(M398:N398)</f>
        <v>144850</v>
      </c>
    </row>
    <row r="399" spans="1:15" s="24" customFormat="1" ht="21" customHeight="1">
      <c r="A399" s="57"/>
      <c r="B399" s="71"/>
      <c r="C399" s="57">
        <v>4430</v>
      </c>
      <c r="D399" s="38" t="s">
        <v>319</v>
      </c>
      <c r="E399" s="70"/>
      <c r="F399" s="70"/>
      <c r="G399" s="70">
        <v>0</v>
      </c>
      <c r="H399" s="70">
        <v>150</v>
      </c>
      <c r="I399" s="70">
        <f>SUM(G399:H399)</f>
        <v>150</v>
      </c>
      <c r="J399" s="70"/>
      <c r="K399" s="70">
        <f>SUM(I399:J399)</f>
        <v>150</v>
      </c>
      <c r="L399" s="70"/>
      <c r="M399" s="70">
        <f>SUM(K399:L399)</f>
        <v>150</v>
      </c>
      <c r="N399" s="70"/>
      <c r="O399" s="70">
        <f>SUM(M399:N399)</f>
        <v>150</v>
      </c>
    </row>
    <row r="400" spans="1:15" s="24" customFormat="1" ht="57" customHeight="1">
      <c r="A400" s="57"/>
      <c r="B400" s="71"/>
      <c r="C400" s="57">
        <v>6010</v>
      </c>
      <c r="D400" s="38" t="s">
        <v>293</v>
      </c>
      <c r="E400" s="70"/>
      <c r="F400" s="70"/>
      <c r="G400" s="70"/>
      <c r="H400" s="70"/>
      <c r="I400" s="70">
        <v>0</v>
      </c>
      <c r="J400" s="70">
        <v>119</v>
      </c>
      <c r="K400" s="70">
        <f>SUM(I400:J400)</f>
        <v>119</v>
      </c>
      <c r="L400" s="70"/>
      <c r="M400" s="70">
        <f>SUM(K400:L400)</f>
        <v>119</v>
      </c>
      <c r="N400" s="70"/>
      <c r="O400" s="70">
        <f>SUM(M400:N400)</f>
        <v>119</v>
      </c>
    </row>
    <row r="401" spans="1:15" s="24" customFormat="1" ht="21" customHeight="1">
      <c r="A401" s="57"/>
      <c r="B401" s="71"/>
      <c r="C401" s="57">
        <v>6050</v>
      </c>
      <c r="D401" s="38" t="s">
        <v>75</v>
      </c>
      <c r="E401" s="70">
        <v>2470000</v>
      </c>
      <c r="F401" s="70">
        <f>-760000-290000-280000+10000</f>
        <v>-1320000</v>
      </c>
      <c r="G401" s="70">
        <f t="shared" si="145"/>
        <v>1150000</v>
      </c>
      <c r="H401" s="70"/>
      <c r="I401" s="70">
        <f>SUM(G401:H401)</f>
        <v>1150000</v>
      </c>
      <c r="J401" s="70"/>
      <c r="K401" s="70">
        <f>SUM(I401:J401)</f>
        <v>1150000</v>
      </c>
      <c r="L401" s="70">
        <f>-87000+15500</f>
        <v>-71500</v>
      </c>
      <c r="M401" s="70">
        <f>SUM(K401:L401)</f>
        <v>1078500</v>
      </c>
      <c r="N401" s="70"/>
      <c r="O401" s="70">
        <f>SUM(M401:N401)</f>
        <v>1078500</v>
      </c>
    </row>
    <row r="402" spans="1:15" s="24" customFormat="1" ht="21" customHeight="1">
      <c r="A402" s="57"/>
      <c r="B402" s="71">
        <v>90002</v>
      </c>
      <c r="C402" s="57"/>
      <c r="D402" s="38" t="s">
        <v>288</v>
      </c>
      <c r="E402" s="70">
        <f aca="true" t="shared" si="146" ref="E402:O402">SUM(E403)</f>
        <v>90000</v>
      </c>
      <c r="F402" s="70">
        <f t="shared" si="146"/>
        <v>0</v>
      </c>
      <c r="G402" s="70">
        <f t="shared" si="146"/>
        <v>90000</v>
      </c>
      <c r="H402" s="70">
        <f t="shared" si="146"/>
        <v>0</v>
      </c>
      <c r="I402" s="70">
        <f t="shared" si="146"/>
        <v>90000</v>
      </c>
      <c r="J402" s="70">
        <f t="shared" si="146"/>
        <v>0</v>
      </c>
      <c r="K402" s="70">
        <f t="shared" si="146"/>
        <v>90000</v>
      </c>
      <c r="L402" s="70">
        <f t="shared" si="146"/>
        <v>0</v>
      </c>
      <c r="M402" s="70">
        <f t="shared" si="146"/>
        <v>90000</v>
      </c>
      <c r="N402" s="70">
        <f t="shared" si="146"/>
        <v>0</v>
      </c>
      <c r="O402" s="70">
        <f t="shared" si="146"/>
        <v>90000</v>
      </c>
    </row>
    <row r="403" spans="1:15" s="24" customFormat="1" ht="21" customHeight="1">
      <c r="A403" s="57"/>
      <c r="B403" s="71"/>
      <c r="C403" s="57">
        <v>6050</v>
      </c>
      <c r="D403" s="38" t="s">
        <v>75</v>
      </c>
      <c r="E403" s="70">
        <v>90000</v>
      </c>
      <c r="F403" s="70"/>
      <c r="G403" s="70">
        <f t="shared" si="145"/>
        <v>90000</v>
      </c>
      <c r="H403" s="70"/>
      <c r="I403" s="70">
        <f>SUM(G403:H403)</f>
        <v>90000</v>
      </c>
      <c r="J403" s="70"/>
      <c r="K403" s="70">
        <f>SUM(I403:J403)</f>
        <v>90000</v>
      </c>
      <c r="L403" s="70"/>
      <c r="M403" s="70">
        <f>SUM(K403:L403)</f>
        <v>90000</v>
      </c>
      <c r="N403" s="70"/>
      <c r="O403" s="70">
        <f>SUM(M403:N403)</f>
        <v>90000</v>
      </c>
    </row>
    <row r="404" spans="1:15" s="24" customFormat="1" ht="21" customHeight="1">
      <c r="A404" s="57"/>
      <c r="B404" s="71" t="s">
        <v>131</v>
      </c>
      <c r="C404" s="75"/>
      <c r="D404" s="38" t="s">
        <v>132</v>
      </c>
      <c r="E404" s="70">
        <f aca="true" t="shared" si="147" ref="E404:O404">SUM(E405:E405)</f>
        <v>744670</v>
      </c>
      <c r="F404" s="70">
        <f t="shared" si="147"/>
        <v>0</v>
      </c>
      <c r="G404" s="70">
        <f t="shared" si="147"/>
        <v>744670</v>
      </c>
      <c r="H404" s="70">
        <f t="shared" si="147"/>
        <v>0</v>
      </c>
      <c r="I404" s="70">
        <f t="shared" si="147"/>
        <v>744670</v>
      </c>
      <c r="J404" s="70">
        <f t="shared" si="147"/>
        <v>0</v>
      </c>
      <c r="K404" s="70">
        <f t="shared" si="147"/>
        <v>744670</v>
      </c>
      <c r="L404" s="70">
        <f t="shared" si="147"/>
        <v>0</v>
      </c>
      <c r="M404" s="70">
        <f t="shared" si="147"/>
        <v>744670</v>
      </c>
      <c r="N404" s="70">
        <f t="shared" si="147"/>
        <v>250</v>
      </c>
      <c r="O404" s="70">
        <f t="shared" si="147"/>
        <v>744920</v>
      </c>
    </row>
    <row r="405" spans="1:15" s="24" customFormat="1" ht="21" customHeight="1">
      <c r="A405" s="57"/>
      <c r="B405" s="71"/>
      <c r="C405" s="75">
        <v>4300</v>
      </c>
      <c r="D405" s="79" t="s">
        <v>81</v>
      </c>
      <c r="E405" s="70">
        <f>2240+742430</f>
        <v>744670</v>
      </c>
      <c r="F405" s="70"/>
      <c r="G405" s="70">
        <f t="shared" si="145"/>
        <v>744670</v>
      </c>
      <c r="H405" s="70"/>
      <c r="I405" s="70">
        <f>SUM(G405:H405)</f>
        <v>744670</v>
      </c>
      <c r="J405" s="70"/>
      <c r="K405" s="70">
        <f>SUM(I405:J405)</f>
        <v>744670</v>
      </c>
      <c r="L405" s="70"/>
      <c r="M405" s="70">
        <f>SUM(K405:L405)</f>
        <v>744670</v>
      </c>
      <c r="N405" s="70">
        <v>250</v>
      </c>
      <c r="O405" s="70">
        <f>SUM(M405:N405)</f>
        <v>744920</v>
      </c>
    </row>
    <row r="406" spans="1:15" s="24" customFormat="1" ht="21" customHeight="1">
      <c r="A406" s="57"/>
      <c r="B406" s="71" t="s">
        <v>133</v>
      </c>
      <c r="C406" s="75"/>
      <c r="D406" s="38" t="s">
        <v>155</v>
      </c>
      <c r="E406" s="70">
        <f aca="true" t="shared" si="148" ref="E406:K406">SUM(E407:E409)</f>
        <v>249240</v>
      </c>
      <c r="F406" s="70">
        <f t="shared" si="148"/>
        <v>0</v>
      </c>
      <c r="G406" s="70">
        <f t="shared" si="148"/>
        <v>249240</v>
      </c>
      <c r="H406" s="70">
        <f t="shared" si="148"/>
        <v>0</v>
      </c>
      <c r="I406" s="70">
        <f t="shared" si="148"/>
        <v>249240</v>
      </c>
      <c r="J406" s="70">
        <f t="shared" si="148"/>
        <v>0</v>
      </c>
      <c r="K406" s="70">
        <f t="shared" si="148"/>
        <v>249240</v>
      </c>
      <c r="L406" s="70">
        <f>SUM(L407:L409)</f>
        <v>0</v>
      </c>
      <c r="M406" s="70">
        <f>SUM(M407:M409)</f>
        <v>249240</v>
      </c>
      <c r="N406" s="70">
        <f>SUM(N407:N409)</f>
        <v>-250</v>
      </c>
      <c r="O406" s="70">
        <f>SUM(O407:O409)</f>
        <v>248990</v>
      </c>
    </row>
    <row r="407" spans="1:15" s="24" customFormat="1" ht="21" customHeight="1">
      <c r="A407" s="57"/>
      <c r="B407" s="71"/>
      <c r="C407" s="57">
        <v>4210</v>
      </c>
      <c r="D407" s="38" t="s">
        <v>94</v>
      </c>
      <c r="E407" s="70">
        <f>26220+18000+6000+12000</f>
        <v>62220</v>
      </c>
      <c r="F407" s="70"/>
      <c r="G407" s="70">
        <f t="shared" si="145"/>
        <v>62220</v>
      </c>
      <c r="H407" s="70"/>
      <c r="I407" s="70">
        <f>SUM(G407:H407)</f>
        <v>62220</v>
      </c>
      <c r="J407" s="70"/>
      <c r="K407" s="70">
        <f>SUM(I407:J407)</f>
        <v>62220</v>
      </c>
      <c r="L407" s="70"/>
      <c r="M407" s="70">
        <f>SUM(K407:L407)</f>
        <v>62220</v>
      </c>
      <c r="N407" s="70">
        <v>-250</v>
      </c>
      <c r="O407" s="70">
        <f>SUM(M407:N407)</f>
        <v>61970</v>
      </c>
    </row>
    <row r="408" spans="1:15" s="24" customFormat="1" ht="21" customHeight="1">
      <c r="A408" s="57"/>
      <c r="B408" s="71"/>
      <c r="C408" s="57">
        <v>4270</v>
      </c>
      <c r="D408" s="38" t="s">
        <v>80</v>
      </c>
      <c r="E408" s="70">
        <v>5000</v>
      </c>
      <c r="F408" s="70"/>
      <c r="G408" s="70">
        <f t="shared" si="145"/>
        <v>5000</v>
      </c>
      <c r="H408" s="70"/>
      <c r="I408" s="70">
        <f>SUM(G408:H408)</f>
        <v>5000</v>
      </c>
      <c r="J408" s="70"/>
      <c r="K408" s="70">
        <f>SUM(I408:J408)</f>
        <v>5000</v>
      </c>
      <c r="L408" s="70"/>
      <c r="M408" s="70">
        <f>SUM(K408:L408)</f>
        <v>5000</v>
      </c>
      <c r="N408" s="70"/>
      <c r="O408" s="70">
        <f>SUM(M408:N408)</f>
        <v>5000</v>
      </c>
    </row>
    <row r="409" spans="1:15" s="24" customFormat="1" ht="21" customHeight="1">
      <c r="A409" s="57"/>
      <c r="B409" s="71"/>
      <c r="C409" s="57">
        <v>4300</v>
      </c>
      <c r="D409" s="38" t="s">
        <v>81</v>
      </c>
      <c r="E409" s="70">
        <f>6200+92820+32000+11000+20000+20000</f>
        <v>182020</v>
      </c>
      <c r="F409" s="70"/>
      <c r="G409" s="70">
        <f t="shared" si="145"/>
        <v>182020</v>
      </c>
      <c r="H409" s="70"/>
      <c r="I409" s="70">
        <f>SUM(G409:H409)</f>
        <v>182020</v>
      </c>
      <c r="J409" s="70"/>
      <c r="K409" s="70">
        <f>SUM(I409:J409)</f>
        <v>182020</v>
      </c>
      <c r="L409" s="70"/>
      <c r="M409" s="70">
        <f>SUM(K409:L409)</f>
        <v>182020</v>
      </c>
      <c r="N409" s="70"/>
      <c r="O409" s="70">
        <f>SUM(M409:N409)</f>
        <v>182020</v>
      </c>
    </row>
    <row r="410" spans="1:15" s="24" customFormat="1" ht="21" customHeight="1">
      <c r="A410" s="57"/>
      <c r="B410" s="71" t="s">
        <v>134</v>
      </c>
      <c r="C410" s="75"/>
      <c r="D410" s="38" t="s">
        <v>135</v>
      </c>
      <c r="E410" s="70">
        <f aca="true" t="shared" si="149" ref="E410:O410">SUM(E411)</f>
        <v>100000</v>
      </c>
      <c r="F410" s="70">
        <f t="shared" si="149"/>
        <v>10000</v>
      </c>
      <c r="G410" s="70">
        <f t="shared" si="149"/>
        <v>110000</v>
      </c>
      <c r="H410" s="70">
        <f t="shared" si="149"/>
        <v>0</v>
      </c>
      <c r="I410" s="70">
        <f t="shared" si="149"/>
        <v>110000</v>
      </c>
      <c r="J410" s="70">
        <f t="shared" si="149"/>
        <v>0</v>
      </c>
      <c r="K410" s="70">
        <f t="shared" si="149"/>
        <v>110000</v>
      </c>
      <c r="L410" s="70">
        <f t="shared" si="149"/>
        <v>21000</v>
      </c>
      <c r="M410" s="70">
        <f t="shared" si="149"/>
        <v>131000</v>
      </c>
      <c r="N410" s="70">
        <f t="shared" si="149"/>
        <v>0</v>
      </c>
      <c r="O410" s="70">
        <f t="shared" si="149"/>
        <v>131000</v>
      </c>
    </row>
    <row r="411" spans="1:15" s="24" customFormat="1" ht="21" customHeight="1">
      <c r="A411" s="57"/>
      <c r="B411" s="71"/>
      <c r="C411" s="75">
        <v>4300</v>
      </c>
      <c r="D411" s="79" t="s">
        <v>81</v>
      </c>
      <c r="E411" s="70">
        <v>100000</v>
      </c>
      <c r="F411" s="70">
        <v>10000</v>
      </c>
      <c r="G411" s="70">
        <f t="shared" si="145"/>
        <v>110000</v>
      </c>
      <c r="H411" s="70"/>
      <c r="I411" s="70">
        <f>SUM(G411:H411)</f>
        <v>110000</v>
      </c>
      <c r="J411" s="70"/>
      <c r="K411" s="70">
        <f>SUM(I411:J411)</f>
        <v>110000</v>
      </c>
      <c r="L411" s="70">
        <v>21000</v>
      </c>
      <c r="M411" s="70">
        <f>SUM(K411:L411)</f>
        <v>131000</v>
      </c>
      <c r="N411" s="70"/>
      <c r="O411" s="70">
        <f>SUM(M411:N411)</f>
        <v>131000</v>
      </c>
    </row>
    <row r="412" spans="1:15" s="24" customFormat="1" ht="21" customHeight="1">
      <c r="A412" s="57"/>
      <c r="B412" s="71" t="s">
        <v>136</v>
      </c>
      <c r="C412" s="75"/>
      <c r="D412" s="38" t="s">
        <v>137</v>
      </c>
      <c r="E412" s="70">
        <f aca="true" t="shared" si="150" ref="E412:J412">SUM(E414:E417)</f>
        <v>1986000</v>
      </c>
      <c r="F412" s="70">
        <f t="shared" si="150"/>
        <v>-1000000</v>
      </c>
      <c r="G412" s="70">
        <f t="shared" si="150"/>
        <v>986000</v>
      </c>
      <c r="H412" s="70">
        <f t="shared" si="150"/>
        <v>0</v>
      </c>
      <c r="I412" s="70">
        <f t="shared" si="150"/>
        <v>986000</v>
      </c>
      <c r="J412" s="70">
        <f t="shared" si="150"/>
        <v>0</v>
      </c>
      <c r="K412" s="70">
        <f>SUM(K413:K417)</f>
        <v>986000</v>
      </c>
      <c r="L412" s="70">
        <f>SUM(L413:L417)</f>
        <v>0</v>
      </c>
      <c r="M412" s="70">
        <f>SUM(M413:M417)</f>
        <v>986000</v>
      </c>
      <c r="N412" s="70">
        <f>SUM(N413:N417)</f>
        <v>0</v>
      </c>
      <c r="O412" s="70">
        <f>SUM(O413:O417)</f>
        <v>986000</v>
      </c>
    </row>
    <row r="413" spans="1:17" s="24" customFormat="1" ht="21" customHeight="1">
      <c r="A413" s="57"/>
      <c r="B413" s="71"/>
      <c r="C413" s="75">
        <v>4170</v>
      </c>
      <c r="D413" s="38" t="s">
        <v>199</v>
      </c>
      <c r="E413" s="70"/>
      <c r="F413" s="70"/>
      <c r="G413" s="70"/>
      <c r="H413" s="70"/>
      <c r="I413" s="70"/>
      <c r="J413" s="70"/>
      <c r="K413" s="70">
        <v>0</v>
      </c>
      <c r="L413" s="70">
        <v>1500</v>
      </c>
      <c r="M413" s="70">
        <f>SUM(K413:L413)</f>
        <v>1500</v>
      </c>
      <c r="N413" s="70"/>
      <c r="O413" s="70">
        <f>SUM(M413:N413)</f>
        <v>1500</v>
      </c>
      <c r="P413" s="98"/>
      <c r="Q413" s="98"/>
    </row>
    <row r="414" spans="1:15" s="24" customFormat="1" ht="21" customHeight="1">
      <c r="A414" s="57"/>
      <c r="B414" s="76"/>
      <c r="C414" s="57">
        <v>4260</v>
      </c>
      <c r="D414" s="38" t="s">
        <v>97</v>
      </c>
      <c r="E414" s="70">
        <v>750000</v>
      </c>
      <c r="F414" s="70">
        <v>-200000</v>
      </c>
      <c r="G414" s="70">
        <f t="shared" si="145"/>
        <v>550000</v>
      </c>
      <c r="H414" s="70"/>
      <c r="I414" s="70">
        <f>SUM(G414:H414)</f>
        <v>550000</v>
      </c>
      <c r="J414" s="70"/>
      <c r="K414" s="70">
        <f>SUM(I414:J414)</f>
        <v>550000</v>
      </c>
      <c r="L414" s="70">
        <v>-110</v>
      </c>
      <c r="M414" s="70">
        <f>SUM(K414:L414)</f>
        <v>549890</v>
      </c>
      <c r="N414" s="70"/>
      <c r="O414" s="70">
        <f>SUM(M414:N414)</f>
        <v>549890</v>
      </c>
    </row>
    <row r="415" spans="1:15" s="24" customFormat="1" ht="21" customHeight="1">
      <c r="A415" s="57"/>
      <c r="B415" s="76"/>
      <c r="C415" s="57">
        <v>4270</v>
      </c>
      <c r="D415" s="38" t="s">
        <v>80</v>
      </c>
      <c r="E415" s="70">
        <v>210000</v>
      </c>
      <c r="F415" s="70">
        <v>-20000</v>
      </c>
      <c r="G415" s="70">
        <f t="shared" si="145"/>
        <v>190000</v>
      </c>
      <c r="H415" s="70"/>
      <c r="I415" s="70">
        <f>SUM(G415:H415)</f>
        <v>190000</v>
      </c>
      <c r="J415" s="70"/>
      <c r="K415" s="70">
        <f>SUM(I415:J415)</f>
        <v>190000</v>
      </c>
      <c r="L415" s="70">
        <v>-1500</v>
      </c>
      <c r="M415" s="70">
        <f>SUM(K415:L415)</f>
        <v>188500</v>
      </c>
      <c r="N415" s="70"/>
      <c r="O415" s="70">
        <f>SUM(M415:N415)</f>
        <v>188500</v>
      </c>
    </row>
    <row r="416" spans="1:15" s="24" customFormat="1" ht="21" customHeight="1">
      <c r="A416" s="57"/>
      <c r="B416" s="76"/>
      <c r="C416" s="57">
        <v>4300</v>
      </c>
      <c r="D416" s="38" t="s">
        <v>81</v>
      </c>
      <c r="E416" s="70">
        <f>3000+50000</f>
        <v>53000</v>
      </c>
      <c r="F416" s="70">
        <v>-20000</v>
      </c>
      <c r="G416" s="70">
        <f t="shared" si="145"/>
        <v>33000</v>
      </c>
      <c r="H416" s="70"/>
      <c r="I416" s="70">
        <f>SUM(G416:H416)</f>
        <v>33000</v>
      </c>
      <c r="J416" s="70"/>
      <c r="K416" s="70">
        <f>SUM(I416:J416)</f>
        <v>33000</v>
      </c>
      <c r="L416" s="70"/>
      <c r="M416" s="70">
        <f>SUM(K416:L416)</f>
        <v>33000</v>
      </c>
      <c r="N416" s="70"/>
      <c r="O416" s="70">
        <f>SUM(M416:N416)</f>
        <v>33000</v>
      </c>
    </row>
    <row r="417" spans="1:15" s="24" customFormat="1" ht="21" customHeight="1">
      <c r="A417" s="57"/>
      <c r="B417" s="76"/>
      <c r="C417" s="57">
        <v>6050</v>
      </c>
      <c r="D417" s="38" t="s">
        <v>75</v>
      </c>
      <c r="E417" s="70">
        <v>973000</v>
      </c>
      <c r="F417" s="70">
        <f>-115000-520000-65000-50000-50000+20000+20000</f>
        <v>-760000</v>
      </c>
      <c r="G417" s="70">
        <f t="shared" si="145"/>
        <v>213000</v>
      </c>
      <c r="H417" s="70"/>
      <c r="I417" s="70">
        <f>SUM(G417:H417)</f>
        <v>213000</v>
      </c>
      <c r="J417" s="70"/>
      <c r="K417" s="70">
        <f>SUM(I417:J417)</f>
        <v>213000</v>
      </c>
      <c r="L417" s="70">
        <f>110-7900+7900</f>
        <v>110</v>
      </c>
      <c r="M417" s="70">
        <f>SUM(K417:L417)</f>
        <v>213110</v>
      </c>
      <c r="N417" s="70"/>
      <c r="O417" s="70">
        <f>SUM(M417:N417)</f>
        <v>213110</v>
      </c>
    </row>
    <row r="418" spans="1:15" s="24" customFormat="1" ht="21" customHeight="1">
      <c r="A418" s="57"/>
      <c r="B418" s="71" t="s">
        <v>138</v>
      </c>
      <c r="C418" s="75"/>
      <c r="D418" s="38" t="s">
        <v>6</v>
      </c>
      <c r="E418" s="70">
        <f aca="true" t="shared" si="151" ref="E418:K418">SUM(E419:E421)</f>
        <v>88000</v>
      </c>
      <c r="F418" s="70">
        <f t="shared" si="151"/>
        <v>0</v>
      </c>
      <c r="G418" s="70">
        <f t="shared" si="151"/>
        <v>88000</v>
      </c>
      <c r="H418" s="70">
        <f t="shared" si="151"/>
        <v>0</v>
      </c>
      <c r="I418" s="70">
        <f t="shared" si="151"/>
        <v>88000</v>
      </c>
      <c r="J418" s="70">
        <f t="shared" si="151"/>
        <v>-45000</v>
      </c>
      <c r="K418" s="70">
        <f t="shared" si="151"/>
        <v>43000</v>
      </c>
      <c r="L418" s="70">
        <f>SUM(L419:L421)</f>
        <v>0</v>
      </c>
      <c r="M418" s="70">
        <f>SUM(M419:M421)</f>
        <v>43000</v>
      </c>
      <c r="N418" s="70">
        <f>SUM(N419:N421)</f>
        <v>0</v>
      </c>
      <c r="O418" s="70">
        <f>SUM(O419:O421)</f>
        <v>43000</v>
      </c>
    </row>
    <row r="419" spans="1:15" s="24" customFormat="1" ht="21" customHeight="1">
      <c r="A419" s="57"/>
      <c r="B419" s="76"/>
      <c r="C419" s="57">
        <v>4260</v>
      </c>
      <c r="D419" s="38" t="s">
        <v>97</v>
      </c>
      <c r="E419" s="70">
        <v>7000</v>
      </c>
      <c r="F419" s="70"/>
      <c r="G419" s="70">
        <f t="shared" si="145"/>
        <v>7000</v>
      </c>
      <c r="H419" s="70"/>
      <c r="I419" s="70">
        <f>SUM(G419:H419)</f>
        <v>7000</v>
      </c>
      <c r="J419" s="70"/>
      <c r="K419" s="70">
        <f>SUM(I419:J419)</f>
        <v>7000</v>
      </c>
      <c r="L419" s="70"/>
      <c r="M419" s="70">
        <f>SUM(K419:L419)</f>
        <v>7000</v>
      </c>
      <c r="N419" s="70"/>
      <c r="O419" s="70">
        <f>SUM(M419:N419)</f>
        <v>7000</v>
      </c>
    </row>
    <row r="420" spans="1:15" s="24" customFormat="1" ht="21" customHeight="1">
      <c r="A420" s="57"/>
      <c r="B420" s="76"/>
      <c r="C420" s="75">
        <v>4300</v>
      </c>
      <c r="D420" s="79" t="s">
        <v>81</v>
      </c>
      <c r="E420" s="70">
        <f>45000+8000+26000</f>
        <v>79000</v>
      </c>
      <c r="F420" s="70"/>
      <c r="G420" s="70">
        <f t="shared" si="145"/>
        <v>79000</v>
      </c>
      <c r="H420" s="70"/>
      <c r="I420" s="70">
        <f>SUM(G420:H420)</f>
        <v>79000</v>
      </c>
      <c r="J420" s="70">
        <v>-45000</v>
      </c>
      <c r="K420" s="70">
        <f>SUM(I420:J420)</f>
        <v>34000</v>
      </c>
      <c r="L420" s="70"/>
      <c r="M420" s="70">
        <f>SUM(K420:L420)</f>
        <v>34000</v>
      </c>
      <c r="N420" s="70"/>
      <c r="O420" s="70">
        <f>SUM(M420:N420)</f>
        <v>34000</v>
      </c>
    </row>
    <row r="421" spans="1:15" s="24" customFormat="1" ht="24">
      <c r="A421" s="57"/>
      <c r="B421" s="76"/>
      <c r="C421" s="75">
        <v>4390</v>
      </c>
      <c r="D421" s="38" t="s">
        <v>257</v>
      </c>
      <c r="E421" s="70">
        <v>2000</v>
      </c>
      <c r="F421" s="70"/>
      <c r="G421" s="70">
        <f t="shared" si="145"/>
        <v>2000</v>
      </c>
      <c r="H421" s="70"/>
      <c r="I421" s="70">
        <f>SUM(G421:H421)</f>
        <v>2000</v>
      </c>
      <c r="J421" s="70"/>
      <c r="K421" s="70">
        <f>SUM(I421:J421)</f>
        <v>2000</v>
      </c>
      <c r="L421" s="70"/>
      <c r="M421" s="70">
        <f>SUM(K421:L421)</f>
        <v>2000</v>
      </c>
      <c r="N421" s="70"/>
      <c r="O421" s="70">
        <f>SUM(M421:N421)</f>
        <v>2000</v>
      </c>
    </row>
    <row r="422" spans="1:15" s="6" customFormat="1" ht="25.5" customHeight="1">
      <c r="A422" s="33" t="s">
        <v>64</v>
      </c>
      <c r="B422" s="34"/>
      <c r="C422" s="35"/>
      <c r="D422" s="36" t="s">
        <v>139</v>
      </c>
      <c r="E422" s="37">
        <f aca="true" t="shared" si="152" ref="E422:K422">SUM(E423,E430,E432,E434,E436)</f>
        <v>2653147</v>
      </c>
      <c r="F422" s="37">
        <f t="shared" si="152"/>
        <v>128000</v>
      </c>
      <c r="G422" s="37">
        <f t="shared" si="152"/>
        <v>2781147</v>
      </c>
      <c r="H422" s="37">
        <f t="shared" si="152"/>
        <v>0</v>
      </c>
      <c r="I422" s="37">
        <f t="shared" si="152"/>
        <v>2781147</v>
      </c>
      <c r="J422" s="37">
        <f t="shared" si="152"/>
        <v>7400</v>
      </c>
      <c r="K422" s="37">
        <f t="shared" si="152"/>
        <v>2788547</v>
      </c>
      <c r="L422" s="37">
        <f>SUM(L423,L430,L432,L434,L436)</f>
        <v>2500</v>
      </c>
      <c r="M422" s="37">
        <f>SUM(M423,M430,M432,M434,M436)</f>
        <v>2791047</v>
      </c>
      <c r="N422" s="37">
        <f>SUM(N423,N430,N432,N434,N436)</f>
        <v>0</v>
      </c>
      <c r="O422" s="37">
        <f>SUM(O423,O430,O432,O434,O436)</f>
        <v>2791047</v>
      </c>
    </row>
    <row r="423" spans="1:15" s="24" customFormat="1" ht="21.75" customHeight="1">
      <c r="A423" s="57"/>
      <c r="B423" s="71" t="s">
        <v>140</v>
      </c>
      <c r="C423" s="75"/>
      <c r="D423" s="38" t="s">
        <v>154</v>
      </c>
      <c r="E423" s="70">
        <f aca="true" t="shared" si="153" ref="E423:K423">SUM(E424:E429)</f>
        <v>838410</v>
      </c>
      <c r="F423" s="70">
        <f t="shared" si="153"/>
        <v>128000</v>
      </c>
      <c r="G423" s="70">
        <f t="shared" si="153"/>
        <v>966410</v>
      </c>
      <c r="H423" s="70">
        <f t="shared" si="153"/>
        <v>0</v>
      </c>
      <c r="I423" s="70">
        <f t="shared" si="153"/>
        <v>966410</v>
      </c>
      <c r="J423" s="70">
        <f t="shared" si="153"/>
        <v>4000</v>
      </c>
      <c r="K423" s="70">
        <f t="shared" si="153"/>
        <v>970410</v>
      </c>
      <c r="L423" s="70">
        <f>SUM(L424:L429)</f>
        <v>2500</v>
      </c>
      <c r="M423" s="70">
        <f>SUM(M424:M429)</f>
        <v>972910</v>
      </c>
      <c r="N423" s="70">
        <f>SUM(N424:N429)</f>
        <v>0</v>
      </c>
      <c r="O423" s="70">
        <f>SUM(O424:O429)</f>
        <v>972910</v>
      </c>
    </row>
    <row r="424" spans="1:15" s="24" customFormat="1" ht="24">
      <c r="A424" s="57"/>
      <c r="B424" s="71"/>
      <c r="C424" s="75">
        <v>2480</v>
      </c>
      <c r="D424" s="38" t="s">
        <v>196</v>
      </c>
      <c r="E424" s="70">
        <v>725435</v>
      </c>
      <c r="F424" s="70">
        <f>-10000-5000-10000-10000-15000+83000-5000</f>
        <v>28000</v>
      </c>
      <c r="G424" s="70">
        <f t="shared" si="145"/>
        <v>753435</v>
      </c>
      <c r="H424" s="70"/>
      <c r="I424" s="70">
        <f aca="true" t="shared" si="154" ref="I424:I429">SUM(G424:H424)</f>
        <v>753435</v>
      </c>
      <c r="J424" s="70">
        <v>4000</v>
      </c>
      <c r="K424" s="70">
        <f aca="true" t="shared" si="155" ref="K424:K429">SUM(I424:J424)</f>
        <v>757435</v>
      </c>
      <c r="L424" s="70"/>
      <c r="M424" s="70">
        <f aca="true" t="shared" si="156" ref="M424:M429">SUM(K424:L424)</f>
        <v>757435</v>
      </c>
      <c r="N424" s="70"/>
      <c r="O424" s="70">
        <f aca="true" t="shared" si="157" ref="O424:O429">SUM(M424:N424)</f>
        <v>757435</v>
      </c>
    </row>
    <row r="425" spans="1:15" s="24" customFormat="1" ht="21" customHeight="1">
      <c r="A425" s="57"/>
      <c r="B425" s="71"/>
      <c r="C425" s="57">
        <v>4210</v>
      </c>
      <c r="D425" s="38" t="s">
        <v>94</v>
      </c>
      <c r="E425" s="70">
        <v>33580</v>
      </c>
      <c r="F425" s="70"/>
      <c r="G425" s="70">
        <f t="shared" si="145"/>
        <v>33580</v>
      </c>
      <c r="H425" s="70"/>
      <c r="I425" s="70">
        <f t="shared" si="154"/>
        <v>33580</v>
      </c>
      <c r="J425" s="70"/>
      <c r="K425" s="70">
        <f t="shared" si="155"/>
        <v>33580</v>
      </c>
      <c r="L425" s="70"/>
      <c r="M425" s="70">
        <f t="shared" si="156"/>
        <v>33580</v>
      </c>
      <c r="N425" s="70">
        <v>50</v>
      </c>
      <c r="O425" s="70">
        <f t="shared" si="157"/>
        <v>33630</v>
      </c>
    </row>
    <row r="426" spans="1:15" s="24" customFormat="1" ht="21" customHeight="1">
      <c r="A426" s="57"/>
      <c r="B426" s="71"/>
      <c r="C426" s="57">
        <v>4260</v>
      </c>
      <c r="D426" s="38" t="s">
        <v>97</v>
      </c>
      <c r="E426" s="70">
        <v>12650</v>
      </c>
      <c r="F426" s="70"/>
      <c r="G426" s="70">
        <f t="shared" si="145"/>
        <v>12650</v>
      </c>
      <c r="H426" s="70"/>
      <c r="I426" s="70">
        <f t="shared" si="154"/>
        <v>12650</v>
      </c>
      <c r="J426" s="70"/>
      <c r="K426" s="70">
        <f t="shared" si="155"/>
        <v>12650</v>
      </c>
      <c r="L426" s="70"/>
      <c r="M426" s="70">
        <f t="shared" si="156"/>
        <v>12650</v>
      </c>
      <c r="N426" s="70">
        <f>-50+1990</f>
        <v>1940</v>
      </c>
      <c r="O426" s="70">
        <f t="shared" si="157"/>
        <v>14590</v>
      </c>
    </row>
    <row r="427" spans="1:15" s="24" customFormat="1" ht="21" customHeight="1">
      <c r="A427" s="57"/>
      <c r="B427" s="71"/>
      <c r="C427" s="57">
        <v>4270</v>
      </c>
      <c r="D427" s="38" t="s">
        <v>80</v>
      </c>
      <c r="E427" s="70">
        <v>56770</v>
      </c>
      <c r="F427" s="70">
        <v>100000</v>
      </c>
      <c r="G427" s="70">
        <f t="shared" si="145"/>
        <v>156770</v>
      </c>
      <c r="H427" s="70"/>
      <c r="I427" s="70">
        <f t="shared" si="154"/>
        <v>156770</v>
      </c>
      <c r="J427" s="70"/>
      <c r="K427" s="70">
        <f t="shared" si="155"/>
        <v>156770</v>
      </c>
      <c r="L427" s="70">
        <v>2500</v>
      </c>
      <c r="M427" s="70">
        <f t="shared" si="156"/>
        <v>159270</v>
      </c>
      <c r="N427" s="70">
        <v>-1990</v>
      </c>
      <c r="O427" s="70">
        <f t="shared" si="157"/>
        <v>157280</v>
      </c>
    </row>
    <row r="428" spans="1:15" s="24" customFormat="1" ht="21" customHeight="1">
      <c r="A428" s="57"/>
      <c r="B428" s="71"/>
      <c r="C428" s="75">
        <v>4300</v>
      </c>
      <c r="D428" s="79" t="s">
        <v>81</v>
      </c>
      <c r="E428" s="70">
        <v>8340</v>
      </c>
      <c r="F428" s="70"/>
      <c r="G428" s="70">
        <f t="shared" si="145"/>
        <v>8340</v>
      </c>
      <c r="H428" s="70"/>
      <c r="I428" s="70">
        <f t="shared" si="154"/>
        <v>8340</v>
      </c>
      <c r="J428" s="70"/>
      <c r="K428" s="70">
        <f t="shared" si="155"/>
        <v>8340</v>
      </c>
      <c r="L428" s="70"/>
      <c r="M428" s="70">
        <f t="shared" si="156"/>
        <v>8340</v>
      </c>
      <c r="N428" s="70"/>
      <c r="O428" s="70">
        <f t="shared" si="157"/>
        <v>8340</v>
      </c>
    </row>
    <row r="429" spans="1:15" s="24" customFormat="1" ht="21" customHeight="1">
      <c r="A429" s="57"/>
      <c r="B429" s="71"/>
      <c r="C429" s="75">
        <v>4430</v>
      </c>
      <c r="D429" s="79" t="s">
        <v>96</v>
      </c>
      <c r="E429" s="70">
        <v>1635</v>
      </c>
      <c r="F429" s="70"/>
      <c r="G429" s="70">
        <f t="shared" si="145"/>
        <v>1635</v>
      </c>
      <c r="H429" s="70"/>
      <c r="I429" s="70">
        <f t="shared" si="154"/>
        <v>1635</v>
      </c>
      <c r="J429" s="70"/>
      <c r="K429" s="70">
        <f t="shared" si="155"/>
        <v>1635</v>
      </c>
      <c r="L429" s="70"/>
      <c r="M429" s="70">
        <f t="shared" si="156"/>
        <v>1635</v>
      </c>
      <c r="N429" s="70"/>
      <c r="O429" s="70">
        <f t="shared" si="157"/>
        <v>1635</v>
      </c>
    </row>
    <row r="430" spans="1:15" s="24" customFormat="1" ht="21" customHeight="1">
      <c r="A430" s="57"/>
      <c r="B430" s="71" t="s">
        <v>65</v>
      </c>
      <c r="C430" s="75"/>
      <c r="D430" s="38" t="s">
        <v>66</v>
      </c>
      <c r="E430" s="70">
        <f aca="true" t="shared" si="158" ref="E430:O430">E431</f>
        <v>1091087</v>
      </c>
      <c r="F430" s="70">
        <f t="shared" si="158"/>
        <v>0</v>
      </c>
      <c r="G430" s="70">
        <f t="shared" si="158"/>
        <v>1091087</v>
      </c>
      <c r="H430" s="70">
        <f t="shared" si="158"/>
        <v>0</v>
      </c>
      <c r="I430" s="70">
        <f t="shared" si="158"/>
        <v>1091087</v>
      </c>
      <c r="J430" s="70">
        <f t="shared" si="158"/>
        <v>0</v>
      </c>
      <c r="K430" s="70">
        <f t="shared" si="158"/>
        <v>1091087</v>
      </c>
      <c r="L430" s="70">
        <f t="shared" si="158"/>
        <v>0</v>
      </c>
      <c r="M430" s="70">
        <f t="shared" si="158"/>
        <v>1091087</v>
      </c>
      <c r="N430" s="70">
        <f t="shared" si="158"/>
        <v>0</v>
      </c>
      <c r="O430" s="70">
        <f t="shared" si="158"/>
        <v>1091087</v>
      </c>
    </row>
    <row r="431" spans="1:15" s="24" customFormat="1" ht="24">
      <c r="A431" s="57"/>
      <c r="B431" s="71"/>
      <c r="C431" s="75">
        <v>2480</v>
      </c>
      <c r="D431" s="38" t="s">
        <v>196</v>
      </c>
      <c r="E431" s="70">
        <f>60000+1031087</f>
        <v>1091087</v>
      </c>
      <c r="F431" s="70"/>
      <c r="G431" s="70">
        <f t="shared" si="145"/>
        <v>1091087</v>
      </c>
      <c r="H431" s="70"/>
      <c r="I431" s="70">
        <f>SUM(G431:H431)</f>
        <v>1091087</v>
      </c>
      <c r="J431" s="70"/>
      <c r="K431" s="70">
        <f>SUM(I431:J431)</f>
        <v>1091087</v>
      </c>
      <c r="L431" s="70"/>
      <c r="M431" s="70">
        <f>SUM(K431:L431)</f>
        <v>1091087</v>
      </c>
      <c r="N431" s="70"/>
      <c r="O431" s="70">
        <f>SUM(M431:N431)</f>
        <v>1091087</v>
      </c>
    </row>
    <row r="432" spans="1:15" s="24" customFormat="1" ht="21" customHeight="1">
      <c r="A432" s="57"/>
      <c r="B432" s="71" t="s">
        <v>142</v>
      </c>
      <c r="C432" s="75"/>
      <c r="D432" s="38" t="s">
        <v>143</v>
      </c>
      <c r="E432" s="70">
        <f aca="true" t="shared" si="159" ref="E432:O432">E433</f>
        <v>686000</v>
      </c>
      <c r="F432" s="70">
        <f t="shared" si="159"/>
        <v>0</v>
      </c>
      <c r="G432" s="70">
        <f t="shared" si="159"/>
        <v>686000</v>
      </c>
      <c r="H432" s="70">
        <f t="shared" si="159"/>
        <v>0</v>
      </c>
      <c r="I432" s="70">
        <f t="shared" si="159"/>
        <v>686000</v>
      </c>
      <c r="J432" s="70">
        <f t="shared" si="159"/>
        <v>3400</v>
      </c>
      <c r="K432" s="70">
        <f t="shared" si="159"/>
        <v>689400</v>
      </c>
      <c r="L432" s="70">
        <f t="shared" si="159"/>
        <v>0</v>
      </c>
      <c r="M432" s="70">
        <f t="shared" si="159"/>
        <v>689400</v>
      </c>
      <c r="N432" s="70">
        <f t="shared" si="159"/>
        <v>0</v>
      </c>
      <c r="O432" s="70">
        <f t="shared" si="159"/>
        <v>689400</v>
      </c>
    </row>
    <row r="433" spans="1:15" s="24" customFormat="1" ht="24">
      <c r="A433" s="57"/>
      <c r="B433" s="71"/>
      <c r="C433" s="75">
        <v>2480</v>
      </c>
      <c r="D433" s="38" t="s">
        <v>196</v>
      </c>
      <c r="E433" s="70">
        <v>686000</v>
      </c>
      <c r="F433" s="70"/>
      <c r="G433" s="70">
        <f t="shared" si="145"/>
        <v>686000</v>
      </c>
      <c r="H433" s="70"/>
      <c r="I433" s="70">
        <f>SUM(G433:H433)</f>
        <v>686000</v>
      </c>
      <c r="J433" s="70">
        <v>3400</v>
      </c>
      <c r="K433" s="70">
        <f>SUM(I433:J433)</f>
        <v>689400</v>
      </c>
      <c r="L433" s="70"/>
      <c r="M433" s="70">
        <f>SUM(K433:L433)</f>
        <v>689400</v>
      </c>
      <c r="N433" s="70"/>
      <c r="O433" s="70">
        <f>SUM(M433:N433)</f>
        <v>689400</v>
      </c>
    </row>
    <row r="434" spans="1:15" s="24" customFormat="1" ht="21" customHeight="1">
      <c r="A434" s="57"/>
      <c r="B434" s="71">
        <v>92120</v>
      </c>
      <c r="C434" s="75"/>
      <c r="D434" s="38" t="s">
        <v>291</v>
      </c>
      <c r="E434" s="70">
        <f aca="true" t="shared" si="160" ref="E434:O434">SUM(E435)</f>
        <v>22650</v>
      </c>
      <c r="F434" s="70">
        <f t="shared" si="160"/>
        <v>0</v>
      </c>
      <c r="G434" s="70">
        <f t="shared" si="160"/>
        <v>22650</v>
      </c>
      <c r="H434" s="70">
        <f t="shared" si="160"/>
        <v>0</v>
      </c>
      <c r="I434" s="70">
        <f t="shared" si="160"/>
        <v>22650</v>
      </c>
      <c r="J434" s="70">
        <f t="shared" si="160"/>
        <v>0</v>
      </c>
      <c r="K434" s="70">
        <f t="shared" si="160"/>
        <v>22650</v>
      </c>
      <c r="L434" s="70">
        <f t="shared" si="160"/>
        <v>0</v>
      </c>
      <c r="M434" s="70">
        <f t="shared" si="160"/>
        <v>22650</v>
      </c>
      <c r="N434" s="70">
        <f t="shared" si="160"/>
        <v>0</v>
      </c>
      <c r="O434" s="70">
        <f t="shared" si="160"/>
        <v>22650</v>
      </c>
    </row>
    <row r="435" spans="1:15" s="24" customFormat="1" ht="59.25" customHeight="1">
      <c r="A435" s="57"/>
      <c r="B435" s="71"/>
      <c r="C435" s="75">
        <v>2720</v>
      </c>
      <c r="D435" s="38" t="s">
        <v>292</v>
      </c>
      <c r="E435" s="70">
        <v>22650</v>
      </c>
      <c r="F435" s="70"/>
      <c r="G435" s="70">
        <f t="shared" si="145"/>
        <v>22650</v>
      </c>
      <c r="H435" s="70"/>
      <c r="I435" s="70">
        <f>SUM(G435:H435)</f>
        <v>22650</v>
      </c>
      <c r="J435" s="70"/>
      <c r="K435" s="70">
        <f>SUM(I435:J435)</f>
        <v>22650</v>
      </c>
      <c r="L435" s="70"/>
      <c r="M435" s="70">
        <f>SUM(K435:L435)</f>
        <v>22650</v>
      </c>
      <c r="N435" s="70"/>
      <c r="O435" s="70">
        <f>SUM(M435:N435)</f>
        <v>22650</v>
      </c>
    </row>
    <row r="436" spans="1:15" s="24" customFormat="1" ht="21" customHeight="1">
      <c r="A436" s="57"/>
      <c r="B436" s="71">
        <v>92195</v>
      </c>
      <c r="C436" s="75"/>
      <c r="D436" s="38" t="s">
        <v>6</v>
      </c>
      <c r="E436" s="70">
        <f aca="true" t="shared" si="161" ref="E436:O436">SUM(E437)</f>
        <v>15000</v>
      </c>
      <c r="F436" s="70">
        <f t="shared" si="161"/>
        <v>0</v>
      </c>
      <c r="G436" s="70">
        <f t="shared" si="161"/>
        <v>15000</v>
      </c>
      <c r="H436" s="70">
        <f t="shared" si="161"/>
        <v>0</v>
      </c>
      <c r="I436" s="70">
        <f t="shared" si="161"/>
        <v>15000</v>
      </c>
      <c r="J436" s="70">
        <f t="shared" si="161"/>
        <v>0</v>
      </c>
      <c r="K436" s="70">
        <f t="shared" si="161"/>
        <v>15000</v>
      </c>
      <c r="L436" s="70">
        <f t="shared" si="161"/>
        <v>0</v>
      </c>
      <c r="M436" s="70">
        <f t="shared" si="161"/>
        <v>15000</v>
      </c>
      <c r="N436" s="70">
        <f t="shared" si="161"/>
        <v>0</v>
      </c>
      <c r="O436" s="70">
        <f t="shared" si="161"/>
        <v>15000</v>
      </c>
    </row>
    <row r="437" spans="1:15" s="24" customFormat="1" ht="21" customHeight="1">
      <c r="A437" s="57"/>
      <c r="B437" s="71"/>
      <c r="C437" s="75">
        <v>4300</v>
      </c>
      <c r="D437" s="79" t="s">
        <v>81</v>
      </c>
      <c r="E437" s="70">
        <v>15000</v>
      </c>
      <c r="F437" s="70"/>
      <c r="G437" s="70">
        <f t="shared" si="145"/>
        <v>15000</v>
      </c>
      <c r="H437" s="70"/>
      <c r="I437" s="70">
        <f>SUM(G437:H437)</f>
        <v>15000</v>
      </c>
      <c r="J437" s="70"/>
      <c r="K437" s="70">
        <f>SUM(I437:J437)</f>
        <v>15000</v>
      </c>
      <c r="L437" s="70"/>
      <c r="M437" s="70">
        <f>SUM(K437:L437)</f>
        <v>15000</v>
      </c>
      <c r="N437" s="70"/>
      <c r="O437" s="70">
        <f>SUM(M437:N437)</f>
        <v>15000</v>
      </c>
    </row>
    <row r="438" spans="1:15" s="6" customFormat="1" ht="21" customHeight="1">
      <c r="A438" s="33" t="s">
        <v>144</v>
      </c>
      <c r="B438" s="34"/>
      <c r="C438" s="35"/>
      <c r="D438" s="36" t="s">
        <v>67</v>
      </c>
      <c r="E438" s="37">
        <f aca="true" t="shared" si="162" ref="E438:K438">SUM(E446,E442,E439)</f>
        <v>1388290</v>
      </c>
      <c r="F438" s="37">
        <f t="shared" si="162"/>
        <v>170000</v>
      </c>
      <c r="G438" s="37">
        <f t="shared" si="162"/>
        <v>1558290</v>
      </c>
      <c r="H438" s="37">
        <f t="shared" si="162"/>
        <v>447000</v>
      </c>
      <c r="I438" s="37">
        <f t="shared" si="162"/>
        <v>2005290</v>
      </c>
      <c r="J438" s="37">
        <f t="shared" si="162"/>
        <v>302800</v>
      </c>
      <c r="K438" s="37">
        <f t="shared" si="162"/>
        <v>2308090</v>
      </c>
      <c r="L438" s="37">
        <f>SUM(L446,L442,L439)</f>
        <v>0</v>
      </c>
      <c r="M438" s="37">
        <f>SUM(M446,M442,M439)</f>
        <v>2308090</v>
      </c>
      <c r="N438" s="37">
        <f>SUM(N446,N442,N439)</f>
        <v>0</v>
      </c>
      <c r="O438" s="37">
        <f>SUM(O446,O442,O439)</f>
        <v>2308090</v>
      </c>
    </row>
    <row r="439" spans="1:15" s="24" customFormat="1" ht="21" customHeight="1">
      <c r="A439" s="57"/>
      <c r="B439" s="76">
        <v>92601</v>
      </c>
      <c r="C439" s="75"/>
      <c r="D439" s="38" t="s">
        <v>245</v>
      </c>
      <c r="E439" s="70">
        <f aca="true" t="shared" si="163" ref="E439:K439">SUM(E440,E441)</f>
        <v>50000</v>
      </c>
      <c r="F439" s="70">
        <f t="shared" si="163"/>
        <v>820000</v>
      </c>
      <c r="G439" s="70">
        <f t="shared" si="163"/>
        <v>870000</v>
      </c>
      <c r="H439" s="70">
        <f t="shared" si="163"/>
        <v>0</v>
      </c>
      <c r="I439" s="70">
        <f t="shared" si="163"/>
        <v>870000</v>
      </c>
      <c r="J439" s="70">
        <f t="shared" si="163"/>
        <v>0</v>
      </c>
      <c r="K439" s="70">
        <f t="shared" si="163"/>
        <v>870000</v>
      </c>
      <c r="L439" s="70">
        <f>SUM(L440,L441)</f>
        <v>0</v>
      </c>
      <c r="M439" s="70">
        <f>SUM(M440,M441)</f>
        <v>870000</v>
      </c>
      <c r="N439" s="70">
        <f>SUM(N440,N441)</f>
        <v>0</v>
      </c>
      <c r="O439" s="70">
        <f>SUM(O440,O441)</f>
        <v>870000</v>
      </c>
    </row>
    <row r="440" spans="1:15" s="24" customFormat="1" ht="21" customHeight="1">
      <c r="A440" s="57"/>
      <c r="B440" s="76"/>
      <c r="C440" s="75">
        <v>4270</v>
      </c>
      <c r="D440" s="38" t="s">
        <v>80</v>
      </c>
      <c r="E440" s="70">
        <v>50000</v>
      </c>
      <c r="F440" s="70">
        <v>20000</v>
      </c>
      <c r="G440" s="70">
        <f t="shared" si="145"/>
        <v>70000</v>
      </c>
      <c r="H440" s="70"/>
      <c r="I440" s="70">
        <f>SUM(G440:H440)</f>
        <v>70000</v>
      </c>
      <c r="J440" s="70"/>
      <c r="K440" s="70">
        <f>SUM(I440:J440)</f>
        <v>70000</v>
      </c>
      <c r="L440" s="70"/>
      <c r="M440" s="70">
        <f>SUM(K440:L440)</f>
        <v>70000</v>
      </c>
      <c r="N440" s="70"/>
      <c r="O440" s="70">
        <f>SUM(M440:N440)</f>
        <v>70000</v>
      </c>
    </row>
    <row r="441" spans="1:15" s="24" customFormat="1" ht="24">
      <c r="A441" s="57"/>
      <c r="B441" s="76"/>
      <c r="C441" s="75">
        <v>6050</v>
      </c>
      <c r="D441" s="38" t="s">
        <v>75</v>
      </c>
      <c r="E441" s="70">
        <v>0</v>
      </c>
      <c r="F441" s="70">
        <f>450000+350000</f>
        <v>800000</v>
      </c>
      <c r="G441" s="70">
        <f>SUM(E441:F441)</f>
        <v>800000</v>
      </c>
      <c r="H441" s="70"/>
      <c r="I441" s="70">
        <f>SUM(G441:H441)</f>
        <v>800000</v>
      </c>
      <c r="J441" s="70"/>
      <c r="K441" s="70">
        <f>SUM(I441:J441)</f>
        <v>800000</v>
      </c>
      <c r="L441" s="70"/>
      <c r="M441" s="70">
        <f>SUM(K441:L441)</f>
        <v>800000</v>
      </c>
      <c r="N441" s="70"/>
      <c r="O441" s="70">
        <f>SUM(M441:N441)</f>
        <v>800000</v>
      </c>
    </row>
    <row r="442" spans="1:15" s="24" customFormat="1" ht="21.75" customHeight="1">
      <c r="A442" s="57"/>
      <c r="B442" s="76">
        <v>92604</v>
      </c>
      <c r="C442" s="75"/>
      <c r="D442" s="38" t="s">
        <v>203</v>
      </c>
      <c r="E442" s="70">
        <f aca="true" t="shared" si="164" ref="E442:K442">SUM(E443:E445)</f>
        <v>910000</v>
      </c>
      <c r="F442" s="70">
        <f t="shared" si="164"/>
        <v>-350000</v>
      </c>
      <c r="G442" s="70">
        <f t="shared" si="164"/>
        <v>560000</v>
      </c>
      <c r="H442" s="70">
        <f t="shared" si="164"/>
        <v>0</v>
      </c>
      <c r="I442" s="70">
        <f t="shared" si="164"/>
        <v>560000</v>
      </c>
      <c r="J442" s="70">
        <f t="shared" si="164"/>
        <v>300000</v>
      </c>
      <c r="K442" s="70">
        <f t="shared" si="164"/>
        <v>860000</v>
      </c>
      <c r="L442" s="70">
        <f>SUM(L443:L445)</f>
        <v>0</v>
      </c>
      <c r="M442" s="70">
        <f>SUM(M443:M445)</f>
        <v>860000</v>
      </c>
      <c r="N442" s="70">
        <f>SUM(N443:N445)</f>
        <v>0</v>
      </c>
      <c r="O442" s="70">
        <f>SUM(O443:O445)</f>
        <v>860000</v>
      </c>
    </row>
    <row r="443" spans="1:15" s="24" customFormat="1" ht="21" customHeight="1">
      <c r="A443" s="57"/>
      <c r="B443" s="76"/>
      <c r="C443" s="75">
        <v>4270</v>
      </c>
      <c r="D443" s="38" t="s">
        <v>80</v>
      </c>
      <c r="E443" s="70">
        <v>10000</v>
      </c>
      <c r="F443" s="70"/>
      <c r="G443" s="70">
        <f t="shared" si="145"/>
        <v>10000</v>
      </c>
      <c r="H443" s="70"/>
      <c r="I443" s="70">
        <f>SUM(G443:H443)</f>
        <v>10000</v>
      </c>
      <c r="J443" s="70"/>
      <c r="K443" s="70">
        <f>SUM(I443:J443)</f>
        <v>10000</v>
      </c>
      <c r="L443" s="70"/>
      <c r="M443" s="70">
        <f>SUM(K443:L443)</f>
        <v>10000</v>
      </c>
      <c r="N443" s="70"/>
      <c r="O443" s="70">
        <f>SUM(M443:N443)</f>
        <v>10000</v>
      </c>
    </row>
    <row r="444" spans="1:15" s="24" customFormat="1" ht="21" customHeight="1">
      <c r="A444" s="57"/>
      <c r="B444" s="76"/>
      <c r="C444" s="75">
        <v>4300</v>
      </c>
      <c r="D444" s="79" t="s">
        <v>81</v>
      </c>
      <c r="E444" s="70">
        <f>20000+80000</f>
        <v>100000</v>
      </c>
      <c r="F444" s="70"/>
      <c r="G444" s="70">
        <f t="shared" si="145"/>
        <v>100000</v>
      </c>
      <c r="H444" s="70"/>
      <c r="I444" s="70">
        <f>SUM(G444:H444)</f>
        <v>100000</v>
      </c>
      <c r="J444" s="70"/>
      <c r="K444" s="70">
        <f>SUM(I444:J444)</f>
        <v>100000</v>
      </c>
      <c r="L444" s="70"/>
      <c r="M444" s="70">
        <f>SUM(K444:L444)</f>
        <v>100000</v>
      </c>
      <c r="N444" s="70"/>
      <c r="O444" s="70">
        <f>SUM(M444:N444)</f>
        <v>100000</v>
      </c>
    </row>
    <row r="445" spans="1:15" s="24" customFormat="1" ht="57.75" customHeight="1">
      <c r="A445" s="57"/>
      <c r="B445" s="76"/>
      <c r="C445" s="75">
        <v>6010</v>
      </c>
      <c r="D445" s="38" t="s">
        <v>293</v>
      </c>
      <c r="E445" s="70">
        <v>800000</v>
      </c>
      <c r="F445" s="70">
        <v>-350000</v>
      </c>
      <c r="G445" s="70">
        <f t="shared" si="145"/>
        <v>450000</v>
      </c>
      <c r="H445" s="70"/>
      <c r="I445" s="70">
        <f>SUM(G445:H445)</f>
        <v>450000</v>
      </c>
      <c r="J445" s="70">
        <v>300000</v>
      </c>
      <c r="K445" s="70">
        <f>SUM(I445:J445)</f>
        <v>750000</v>
      </c>
      <c r="L445" s="70"/>
      <c r="M445" s="70">
        <f>SUM(K445:L445)</f>
        <v>750000</v>
      </c>
      <c r="N445" s="70"/>
      <c r="O445" s="70">
        <f>SUM(M445:N445)</f>
        <v>750000</v>
      </c>
    </row>
    <row r="446" spans="1:15" s="24" customFormat="1" ht="12">
      <c r="A446" s="75"/>
      <c r="B446" s="78">
        <v>92605</v>
      </c>
      <c r="C446" s="75"/>
      <c r="D446" s="38" t="s">
        <v>68</v>
      </c>
      <c r="E446" s="70">
        <f aca="true" t="shared" si="165" ref="E446:K446">SUM(E447:E455)</f>
        <v>428290</v>
      </c>
      <c r="F446" s="70">
        <f t="shared" si="165"/>
        <v>-300000</v>
      </c>
      <c r="G446" s="70">
        <f t="shared" si="165"/>
        <v>128290</v>
      </c>
      <c r="H446" s="70">
        <f t="shared" si="165"/>
        <v>447000</v>
      </c>
      <c r="I446" s="70">
        <f t="shared" si="165"/>
        <v>575290</v>
      </c>
      <c r="J446" s="70">
        <f t="shared" si="165"/>
        <v>2800</v>
      </c>
      <c r="K446" s="70">
        <f t="shared" si="165"/>
        <v>578090</v>
      </c>
      <c r="L446" s="70">
        <f>SUM(L447:L455)</f>
        <v>0</v>
      </c>
      <c r="M446" s="70">
        <f>SUM(M447:M455)</f>
        <v>578090</v>
      </c>
      <c r="N446" s="70">
        <f>SUM(N447:N455)</f>
        <v>0</v>
      </c>
      <c r="O446" s="70">
        <f>SUM(O447:O455)</f>
        <v>578090</v>
      </c>
    </row>
    <row r="447" spans="1:15" s="24" customFormat="1" ht="36">
      <c r="A447" s="75"/>
      <c r="B447" s="78"/>
      <c r="C447" s="75">
        <v>2820</v>
      </c>
      <c r="D447" s="38" t="s">
        <v>254</v>
      </c>
      <c r="E447" s="70">
        <v>300000</v>
      </c>
      <c r="F447" s="70">
        <v>-300000</v>
      </c>
      <c r="G447" s="70">
        <f t="shared" si="145"/>
        <v>0</v>
      </c>
      <c r="H447" s="70">
        <v>447000</v>
      </c>
      <c r="I447" s="70">
        <f aca="true" t="shared" si="166" ref="I447:I455">SUM(G447:H447)</f>
        <v>447000</v>
      </c>
      <c r="J447" s="70"/>
      <c r="K447" s="70">
        <f aca="true" t="shared" si="167" ref="K447:K455">SUM(I447:J447)</f>
        <v>447000</v>
      </c>
      <c r="L447" s="70"/>
      <c r="M447" s="70">
        <f aca="true" t="shared" si="168" ref="M447:M455">SUM(K447:L447)</f>
        <v>447000</v>
      </c>
      <c r="N447" s="70"/>
      <c r="O447" s="70">
        <f aca="true" t="shared" si="169" ref="O447:O455">SUM(M447:N447)</f>
        <v>447000</v>
      </c>
    </row>
    <row r="448" spans="1:15" s="24" customFormat="1" ht="24">
      <c r="A448" s="75"/>
      <c r="B448" s="78"/>
      <c r="C448" s="75">
        <v>3020</v>
      </c>
      <c r="D448" s="38" t="s">
        <v>215</v>
      </c>
      <c r="E448" s="70"/>
      <c r="F448" s="70"/>
      <c r="G448" s="70"/>
      <c r="H448" s="70"/>
      <c r="I448" s="70"/>
      <c r="J448" s="70"/>
      <c r="K448" s="70"/>
      <c r="L448" s="70"/>
      <c r="M448" s="70">
        <v>0</v>
      </c>
      <c r="N448" s="70">
        <v>1500</v>
      </c>
      <c r="O448" s="70">
        <f t="shared" si="169"/>
        <v>1500</v>
      </c>
    </row>
    <row r="449" spans="1:15" s="24" customFormat="1" ht="24.75" customHeight="1">
      <c r="A449" s="75"/>
      <c r="B449" s="78"/>
      <c r="C449" s="75">
        <v>3250</v>
      </c>
      <c r="D449" s="38" t="s">
        <v>294</v>
      </c>
      <c r="E449" s="70">
        <v>50000</v>
      </c>
      <c r="F449" s="70"/>
      <c r="G449" s="70">
        <f t="shared" si="145"/>
        <v>50000</v>
      </c>
      <c r="H449" s="70"/>
      <c r="I449" s="70">
        <f t="shared" si="166"/>
        <v>50000</v>
      </c>
      <c r="J449" s="70"/>
      <c r="K449" s="70">
        <f t="shared" si="167"/>
        <v>50000</v>
      </c>
      <c r="L449" s="70"/>
      <c r="M449" s="70">
        <f t="shared" si="168"/>
        <v>50000</v>
      </c>
      <c r="N449" s="70"/>
      <c r="O449" s="70">
        <f t="shared" si="169"/>
        <v>50000</v>
      </c>
    </row>
    <row r="450" spans="1:17" s="24" customFormat="1" ht="21" customHeight="1">
      <c r="A450" s="75"/>
      <c r="B450" s="78"/>
      <c r="C450" s="75">
        <v>4110</v>
      </c>
      <c r="D450" s="38" t="s">
        <v>88</v>
      </c>
      <c r="E450" s="70">
        <v>1000</v>
      </c>
      <c r="F450" s="70"/>
      <c r="G450" s="70">
        <f t="shared" si="145"/>
        <v>1000</v>
      </c>
      <c r="H450" s="70"/>
      <c r="I450" s="70">
        <f t="shared" si="166"/>
        <v>1000</v>
      </c>
      <c r="J450" s="70"/>
      <c r="K450" s="70">
        <f t="shared" si="167"/>
        <v>1000</v>
      </c>
      <c r="L450" s="70"/>
      <c r="M450" s="70">
        <f t="shared" si="168"/>
        <v>1000</v>
      </c>
      <c r="N450" s="70"/>
      <c r="O450" s="70">
        <f t="shared" si="169"/>
        <v>1000</v>
      </c>
      <c r="P450" s="98"/>
      <c r="Q450" s="98"/>
    </row>
    <row r="451" spans="1:17" s="24" customFormat="1" ht="21" customHeight="1">
      <c r="A451" s="75"/>
      <c r="B451" s="78"/>
      <c r="C451" s="75">
        <v>4120</v>
      </c>
      <c r="D451" s="38" t="s">
        <v>89</v>
      </c>
      <c r="E451" s="70">
        <v>100</v>
      </c>
      <c r="F451" s="70"/>
      <c r="G451" s="70">
        <f t="shared" si="145"/>
        <v>100</v>
      </c>
      <c r="H451" s="70"/>
      <c r="I451" s="70">
        <f t="shared" si="166"/>
        <v>100</v>
      </c>
      <c r="J451" s="70"/>
      <c r="K451" s="70">
        <f t="shared" si="167"/>
        <v>100</v>
      </c>
      <c r="L451" s="70"/>
      <c r="M451" s="70">
        <f t="shared" si="168"/>
        <v>100</v>
      </c>
      <c r="N451" s="70"/>
      <c r="O451" s="70">
        <f t="shared" si="169"/>
        <v>100</v>
      </c>
      <c r="P451" s="98"/>
      <c r="Q451" s="98"/>
    </row>
    <row r="452" spans="1:17" s="24" customFormat="1" ht="21" customHeight="1">
      <c r="A452" s="75"/>
      <c r="B452" s="78"/>
      <c r="C452" s="75">
        <v>4170</v>
      </c>
      <c r="D452" s="38" t="s">
        <v>202</v>
      </c>
      <c r="E452" s="70">
        <f>35000+5000-1000-100</f>
        <v>38900</v>
      </c>
      <c r="F452" s="70"/>
      <c r="G452" s="70">
        <f t="shared" si="145"/>
        <v>38900</v>
      </c>
      <c r="H452" s="70"/>
      <c r="I452" s="70">
        <f t="shared" si="166"/>
        <v>38900</v>
      </c>
      <c r="J452" s="70"/>
      <c r="K452" s="70">
        <f t="shared" si="167"/>
        <v>38900</v>
      </c>
      <c r="L452" s="70"/>
      <c r="M452" s="70">
        <f t="shared" si="168"/>
        <v>38900</v>
      </c>
      <c r="N452" s="70"/>
      <c r="O452" s="70">
        <f t="shared" si="169"/>
        <v>38900</v>
      </c>
      <c r="P452" s="98"/>
      <c r="Q452" s="98"/>
    </row>
    <row r="453" spans="1:15" s="24" customFormat="1" ht="21" customHeight="1">
      <c r="A453" s="75"/>
      <c r="B453" s="71"/>
      <c r="C453" s="57">
        <v>4210</v>
      </c>
      <c r="D453" s="38" t="s">
        <v>94</v>
      </c>
      <c r="E453" s="70">
        <f>9590+11500</f>
        <v>21090</v>
      </c>
      <c r="F453" s="70"/>
      <c r="G453" s="70">
        <f t="shared" si="145"/>
        <v>21090</v>
      </c>
      <c r="H453" s="70"/>
      <c r="I453" s="70">
        <f t="shared" si="166"/>
        <v>21090</v>
      </c>
      <c r="J453" s="70">
        <v>2800</v>
      </c>
      <c r="K453" s="70">
        <f t="shared" si="167"/>
        <v>23890</v>
      </c>
      <c r="L453" s="70"/>
      <c r="M453" s="70">
        <f t="shared" si="168"/>
        <v>23890</v>
      </c>
      <c r="N453" s="70">
        <v>-1500</v>
      </c>
      <c r="O453" s="70">
        <f t="shared" si="169"/>
        <v>22390</v>
      </c>
    </row>
    <row r="454" spans="1:15" s="24" customFormat="1" ht="21" customHeight="1">
      <c r="A454" s="75"/>
      <c r="B454" s="71"/>
      <c r="C454" s="57">
        <v>4260</v>
      </c>
      <c r="D454" s="38" t="s">
        <v>97</v>
      </c>
      <c r="E454" s="70">
        <v>1100</v>
      </c>
      <c r="F454" s="70"/>
      <c r="G454" s="70">
        <f t="shared" si="145"/>
        <v>1100</v>
      </c>
      <c r="H454" s="70"/>
      <c r="I454" s="70">
        <f t="shared" si="166"/>
        <v>1100</v>
      </c>
      <c r="J454" s="70"/>
      <c r="K454" s="70">
        <f t="shared" si="167"/>
        <v>1100</v>
      </c>
      <c r="L454" s="70"/>
      <c r="M454" s="70">
        <f t="shared" si="168"/>
        <v>1100</v>
      </c>
      <c r="N454" s="70"/>
      <c r="O454" s="70">
        <f t="shared" si="169"/>
        <v>1100</v>
      </c>
    </row>
    <row r="455" spans="1:15" s="24" customFormat="1" ht="21" customHeight="1">
      <c r="A455" s="75"/>
      <c r="B455" s="71"/>
      <c r="C455" s="75">
        <v>4300</v>
      </c>
      <c r="D455" s="79" t="s">
        <v>81</v>
      </c>
      <c r="E455" s="70">
        <f>4600+11500</f>
        <v>16100</v>
      </c>
      <c r="F455" s="70"/>
      <c r="G455" s="70">
        <f t="shared" si="145"/>
        <v>16100</v>
      </c>
      <c r="H455" s="70"/>
      <c r="I455" s="70">
        <f t="shared" si="166"/>
        <v>16100</v>
      </c>
      <c r="J455" s="70"/>
      <c r="K455" s="70">
        <f t="shared" si="167"/>
        <v>16100</v>
      </c>
      <c r="L455" s="70"/>
      <c r="M455" s="70">
        <f t="shared" si="168"/>
        <v>16100</v>
      </c>
      <c r="N455" s="70"/>
      <c r="O455" s="70">
        <f t="shared" si="169"/>
        <v>16100</v>
      </c>
    </row>
    <row r="456" spans="1:15" s="7" customFormat="1" ht="24.75" customHeight="1">
      <c r="A456" s="9"/>
      <c r="B456" s="9"/>
      <c r="C456" s="9"/>
      <c r="D456" s="35" t="s">
        <v>69</v>
      </c>
      <c r="E456" s="37">
        <f aca="true" t="shared" si="170" ref="E456:K456">SUM(E438,E422,E396,E372,E308,E293,E193,E189,E186,E176,E139,E124,E49,E41,E21,E14,E7,E369)</f>
        <v>67967776</v>
      </c>
      <c r="F456" s="37">
        <f t="shared" si="170"/>
        <v>-888500</v>
      </c>
      <c r="G456" s="37">
        <f t="shared" si="170"/>
        <v>67149276</v>
      </c>
      <c r="H456" s="37">
        <f t="shared" si="170"/>
        <v>252163</v>
      </c>
      <c r="I456" s="37">
        <f t="shared" si="170"/>
        <v>67401439</v>
      </c>
      <c r="J456" s="37">
        <f t="shared" si="170"/>
        <v>173624</v>
      </c>
      <c r="K456" s="37">
        <f t="shared" si="170"/>
        <v>67575063</v>
      </c>
      <c r="L456" s="37">
        <f>SUM(L438,L422,L396,L372,L308,L293,L193,L189,L186,L176,L139,L124,L49,L41,L21,L14,L7,L369)</f>
        <v>46982</v>
      </c>
      <c r="M456" s="37">
        <f>SUM(M438,M422,M396,M372,M308,M293,M193,M189,M186,M176,M139,M124,M49,M41,M21,M14,M7,M369)</f>
        <v>67622045</v>
      </c>
      <c r="N456" s="37">
        <f>SUM(N438,N422,N396,N372,N308,N293,N193,N189,N186,N176,N139,N124,N49,N41,N21,N14,N7,N369)</f>
        <v>75000</v>
      </c>
      <c r="O456" s="37">
        <f>SUM(O438,O422,O396,O372,O308,O293,O193,O189,O186,O176,O139,O124,O49,O41,O21,O14,O7,O369)</f>
        <v>67697045</v>
      </c>
    </row>
    <row r="457" spans="1:15" ht="12.75">
      <c r="A457" s="46"/>
      <c r="B457" s="46"/>
      <c r="C457" s="46"/>
      <c r="D457" s="46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</row>
    <row r="458" spans="4:15" ht="12">
      <c r="D458" s="46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</row>
    <row r="459" spans="4:15" ht="12">
      <c r="D459" s="46"/>
      <c r="E459" s="97"/>
      <c r="F459" s="97"/>
      <c r="G459" s="97"/>
      <c r="H459" s="97"/>
      <c r="I459" s="97"/>
      <c r="J459" s="97"/>
      <c r="K459" s="97"/>
      <c r="L459" s="114"/>
      <c r="M459" s="114"/>
      <c r="N459" s="114"/>
      <c r="O459" s="114"/>
    </row>
    <row r="460" spans="4:15" ht="12">
      <c r="D460" s="46"/>
      <c r="E460" s="97"/>
      <c r="F460" s="97"/>
      <c r="G460" s="97"/>
      <c r="H460" s="97"/>
      <c r="I460" s="97"/>
      <c r="J460" s="97"/>
      <c r="K460" s="97"/>
      <c r="L460" s="114"/>
      <c r="M460" s="114"/>
      <c r="N460" s="114"/>
      <c r="O460" s="114"/>
    </row>
    <row r="461" spans="4:17" ht="12.75">
      <c r="D461" s="46"/>
      <c r="E461" s="114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21"/>
      <c r="Q461" s="21"/>
    </row>
    <row r="462" spans="4:17" ht="12.75">
      <c r="D462" s="46"/>
      <c r="E462" s="114"/>
      <c r="F462" s="168"/>
      <c r="G462" s="168"/>
      <c r="H462" s="168"/>
      <c r="I462" s="168"/>
      <c r="J462" s="168"/>
      <c r="K462" s="168"/>
      <c r="L462" s="199"/>
      <c r="M462" s="168"/>
      <c r="N462" s="199"/>
      <c r="O462" s="168"/>
      <c r="P462" s="107"/>
      <c r="Q462" s="107"/>
    </row>
    <row r="463" spans="4:17" ht="12.75">
      <c r="D463" s="46"/>
      <c r="E463" s="14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21"/>
      <c r="Q463" s="21"/>
    </row>
    <row r="464" spans="4:17" ht="12.75">
      <c r="D464" s="46"/>
      <c r="E464" s="114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21"/>
      <c r="Q464" s="21"/>
    </row>
    <row r="465" spans="4:17" ht="12.75">
      <c r="D465" s="46"/>
      <c r="E465" s="114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21"/>
      <c r="Q465" s="21"/>
    </row>
    <row r="466" spans="4:17" ht="12.75">
      <c r="D466" s="46"/>
      <c r="E466" s="114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21"/>
      <c r="Q466" s="21"/>
    </row>
    <row r="467" spans="4:17" ht="12.75">
      <c r="D467" s="46"/>
      <c r="E467" s="114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21"/>
      <c r="Q467" s="21"/>
    </row>
    <row r="468" spans="4:17" ht="12.75">
      <c r="D468" s="46"/>
      <c r="E468" s="114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70"/>
      <c r="Q468" s="170"/>
    </row>
    <row r="469" spans="4:17" ht="12.75">
      <c r="D469" s="46"/>
      <c r="E469" s="114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21"/>
      <c r="Q469" s="21"/>
    </row>
    <row r="470" spans="4:17" ht="12.75">
      <c r="D470" s="46"/>
      <c r="E470" s="14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21"/>
      <c r="Q470" s="21"/>
    </row>
    <row r="471" spans="4:17" ht="12.75">
      <c r="D471" s="46"/>
      <c r="E471" s="14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21"/>
      <c r="Q471" s="107"/>
    </row>
    <row r="472" spans="4:17" ht="12.75">
      <c r="D472" s="46"/>
      <c r="E472" s="14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21"/>
      <c r="Q472" s="21"/>
    </row>
    <row r="473" spans="4:17" ht="12.75">
      <c r="D473" s="46"/>
      <c r="E473" s="114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21"/>
      <c r="Q473" s="21"/>
    </row>
    <row r="474" spans="4:17" ht="12.75">
      <c r="D474" s="46"/>
      <c r="E474" s="14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21"/>
      <c r="Q474" s="21"/>
    </row>
    <row r="475" spans="4:17" ht="12.75">
      <c r="D475" s="46"/>
      <c r="E475" s="14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21"/>
      <c r="Q475" s="21"/>
    </row>
    <row r="476" spans="4:17" ht="12.75">
      <c r="D476" s="46"/>
      <c r="E476" s="14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21"/>
      <c r="Q476" s="21"/>
    </row>
    <row r="477" spans="4:17" ht="12.75">
      <c r="D477" s="46"/>
      <c r="E477" s="114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21"/>
      <c r="Q477" s="21"/>
    </row>
    <row r="478" spans="4:17" ht="12.75">
      <c r="D478" s="46"/>
      <c r="E478" s="114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21"/>
      <c r="Q478" s="21"/>
    </row>
    <row r="479" spans="4:17" ht="12.75">
      <c r="D479" s="46"/>
      <c r="E479" s="114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21"/>
      <c r="Q479" s="21"/>
    </row>
    <row r="480" spans="4:17" ht="12.75">
      <c r="D480" s="46"/>
      <c r="E480" s="114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21"/>
      <c r="Q480" s="21"/>
    </row>
    <row r="481" spans="4:17" ht="12.75">
      <c r="D481" s="46"/>
      <c r="E481" s="114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21"/>
      <c r="Q481" s="21"/>
    </row>
    <row r="482" spans="4:17" ht="12.75">
      <c r="D482" s="46"/>
      <c r="E482" s="114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21"/>
      <c r="Q482" s="21"/>
    </row>
    <row r="483" spans="4:17" ht="12.75">
      <c r="D483" s="46"/>
      <c r="E483" s="97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21"/>
      <c r="Q483" s="21"/>
    </row>
    <row r="484" spans="4:17" ht="12.75">
      <c r="D484" s="46"/>
      <c r="E484" s="97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21"/>
      <c r="Q484" s="21"/>
    </row>
    <row r="485" spans="1:15" s="21" customFormat="1" ht="12.75">
      <c r="A485" s="23"/>
      <c r="B485" s="23"/>
      <c r="C485" s="23"/>
      <c r="D485" s="23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1:15" s="21" customFormat="1" ht="12.75">
      <c r="A486" s="23"/>
      <c r="B486" s="23"/>
      <c r="C486" s="23"/>
      <c r="D486" s="23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1:15" s="21" customFormat="1" ht="12.75">
      <c r="A487" s="23"/>
      <c r="B487" s="23"/>
      <c r="C487" s="23"/>
      <c r="D487" s="23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1:15" s="21" customFormat="1" ht="12.75">
      <c r="A488" s="23"/>
      <c r="B488" s="23"/>
      <c r="C488" s="23"/>
      <c r="D488" s="23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1:15" s="21" customFormat="1" ht="12.75">
      <c r="A489" s="23"/>
      <c r="B489" s="23"/>
      <c r="C489" s="23"/>
      <c r="D489" s="23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1:15" s="21" customFormat="1" ht="12.75">
      <c r="A490" s="23"/>
      <c r="B490" s="23"/>
      <c r="C490" s="23"/>
      <c r="D490" s="23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1:15" s="21" customFormat="1" ht="12.75">
      <c r="A491" s="23"/>
      <c r="B491" s="23"/>
      <c r="C491" s="23"/>
      <c r="D491" s="23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1:15" s="21" customFormat="1" ht="12.75">
      <c r="A492" s="23"/>
      <c r="B492" s="23"/>
      <c r="C492" s="23"/>
      <c r="D492" s="23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1:15" s="21" customFormat="1" ht="12.75">
      <c r="A493" s="23"/>
      <c r="B493" s="23"/>
      <c r="C493" s="23"/>
      <c r="D493" s="23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1:15" s="21" customFormat="1" ht="12.75">
      <c r="A494" s="23"/>
      <c r="B494" s="23"/>
      <c r="C494" s="23"/>
      <c r="D494" s="23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s="21" customFormat="1" ht="12.75">
      <c r="A495" s="23"/>
      <c r="B495" s="23"/>
      <c r="C495" s="23"/>
      <c r="D495" s="23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1:15" s="21" customFormat="1" ht="12.75">
      <c r="A496" s="23"/>
      <c r="B496" s="23"/>
      <c r="C496" s="23"/>
      <c r="D496" s="23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1:15" s="21" customFormat="1" ht="12.75">
      <c r="A497" s="23"/>
      <c r="B497" s="23"/>
      <c r="C497" s="23"/>
      <c r="D497" s="23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1:15" s="21" customFormat="1" ht="12.75">
      <c r="A498" s="23"/>
      <c r="B498" s="23"/>
      <c r="C498" s="23"/>
      <c r="D498" s="23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1:15" s="21" customFormat="1" ht="12.75">
      <c r="A499" s="23"/>
      <c r="B499" s="23"/>
      <c r="C499" s="23"/>
      <c r="D499" s="23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1:15" s="21" customFormat="1" ht="12.75">
      <c r="A500" s="23"/>
      <c r="B500" s="23"/>
      <c r="C500" s="23"/>
      <c r="D500" s="23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1:15" s="21" customFormat="1" ht="12.75">
      <c r="A501" s="23"/>
      <c r="B501" s="23"/>
      <c r="C501" s="23"/>
      <c r="D501" s="23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1:15" s="21" customFormat="1" ht="12.75">
      <c r="A502" s="23"/>
      <c r="B502" s="23"/>
      <c r="C502" s="23"/>
      <c r="D502" s="23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1:15" s="21" customFormat="1" ht="12.75">
      <c r="A503" s="23"/>
      <c r="B503" s="23"/>
      <c r="C503" s="23"/>
      <c r="D503" s="23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1:15" s="21" customFormat="1" ht="12.75">
      <c r="A504" s="23"/>
      <c r="B504" s="23"/>
      <c r="C504" s="23"/>
      <c r="D504" s="23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1:15" s="21" customFormat="1" ht="12.75">
      <c r="A505" s="23"/>
      <c r="B505" s="23"/>
      <c r="C505" s="23"/>
      <c r="D505" s="23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1:15" s="21" customFormat="1" ht="12.75">
      <c r="A506" s="23"/>
      <c r="B506" s="23"/>
      <c r="C506" s="23"/>
      <c r="D506" s="23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1:15" s="21" customFormat="1" ht="12.75">
      <c r="A507" s="23"/>
      <c r="B507" s="23"/>
      <c r="C507" s="23"/>
      <c r="D507" s="23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1:15" s="21" customFormat="1" ht="12.75">
      <c r="A508" s="23"/>
      <c r="B508" s="23"/>
      <c r="C508" s="23"/>
      <c r="D508" s="23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1:15" s="21" customFormat="1" ht="12.75">
      <c r="A509" s="23"/>
      <c r="B509" s="23"/>
      <c r="C509" s="23"/>
      <c r="D509" s="23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1:15" s="21" customFormat="1" ht="12.75">
      <c r="A510" s="23"/>
      <c r="B510" s="23"/>
      <c r="C510" s="23"/>
      <c r="D510" s="23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1:15" s="21" customFormat="1" ht="12.75">
      <c r="A511" s="23"/>
      <c r="B511" s="23"/>
      <c r="C511" s="23"/>
      <c r="D511" s="23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1:15" s="21" customFormat="1" ht="12.75">
      <c r="A512" s="23"/>
      <c r="B512" s="23"/>
      <c r="C512" s="23"/>
      <c r="D512" s="23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1:15" s="21" customFormat="1" ht="12.75">
      <c r="A513" s="23"/>
      <c r="B513" s="23"/>
      <c r="C513" s="23"/>
      <c r="D513" s="23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1:15" s="21" customFormat="1" ht="12.75">
      <c r="A514" s="23"/>
      <c r="B514" s="23"/>
      <c r="C514" s="23"/>
      <c r="D514" s="23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1:15" s="21" customFormat="1" ht="12.75">
      <c r="A515" s="23"/>
      <c r="B515" s="23"/>
      <c r="C515" s="23"/>
      <c r="D515" s="23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1:15" s="21" customFormat="1" ht="12.75">
      <c r="A516" s="23"/>
      <c r="B516" s="23"/>
      <c r="C516" s="23"/>
      <c r="D516" s="23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1:15" s="21" customFormat="1" ht="12.75">
      <c r="A517" s="23"/>
      <c r="B517" s="23"/>
      <c r="C517" s="23"/>
      <c r="D517" s="23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</sheetData>
  <sheetProtection/>
  <mergeCells count="1">
    <mergeCell ref="A5:O5"/>
  </mergeCells>
  <printOptions horizontalCentered="1"/>
  <pageMargins left="0.3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1">
      <selection activeCell="Q5" sqref="Q5"/>
    </sheetView>
  </sheetViews>
  <sheetFormatPr defaultColWidth="9.00390625" defaultRowHeight="12.75"/>
  <cols>
    <col min="1" max="1" width="5.625" style="7" customWidth="1"/>
    <col min="2" max="2" width="7.25390625" style="7" bestFit="1" customWidth="1"/>
    <col min="3" max="3" width="5.75390625" style="7" customWidth="1"/>
    <col min="4" max="4" width="32.75390625" style="7" customWidth="1"/>
    <col min="5" max="5" width="13.75390625" style="7" hidden="1" customWidth="1"/>
    <col min="6" max="6" width="14.875" style="7" hidden="1" customWidth="1"/>
    <col min="7" max="7" width="13.75390625" style="7" hidden="1" customWidth="1"/>
    <col min="8" max="8" width="13.00390625" style="7" hidden="1" customWidth="1"/>
    <col min="9" max="9" width="13.75390625" style="7" hidden="1" customWidth="1"/>
    <col min="10" max="10" width="13.00390625" style="7" hidden="1" customWidth="1"/>
    <col min="11" max="11" width="13.75390625" style="7" customWidth="1"/>
    <col min="12" max="12" width="13.00390625" style="7" customWidth="1"/>
    <col min="13" max="13" width="13.75390625" style="7" customWidth="1"/>
  </cols>
  <sheetData>
    <row r="1" spans="1:13" ht="12.75">
      <c r="A1" s="46"/>
      <c r="B1" s="46"/>
      <c r="C1" s="46"/>
      <c r="D1" s="46"/>
      <c r="E1" s="47" t="s">
        <v>313</v>
      </c>
      <c r="F1" s="47"/>
      <c r="G1" s="47" t="s">
        <v>342</v>
      </c>
      <c r="H1" s="47"/>
      <c r="I1" s="47" t="s">
        <v>349</v>
      </c>
      <c r="J1" s="47"/>
      <c r="K1" s="47" t="s">
        <v>353</v>
      </c>
      <c r="L1" s="47"/>
      <c r="M1" s="47"/>
    </row>
    <row r="2" spans="1:13" ht="12.75">
      <c r="A2" s="46"/>
      <c r="B2" s="46"/>
      <c r="C2" s="46"/>
      <c r="D2" s="46"/>
      <c r="E2" s="47" t="s">
        <v>310</v>
      </c>
      <c r="F2" s="47"/>
      <c r="G2" s="47" t="s">
        <v>340</v>
      </c>
      <c r="H2" s="47"/>
      <c r="I2" s="47" t="s">
        <v>348</v>
      </c>
      <c r="J2" s="47"/>
      <c r="K2" s="47" t="s">
        <v>359</v>
      </c>
      <c r="L2" s="47"/>
      <c r="M2" s="47"/>
    </row>
    <row r="3" spans="1:13" ht="12.75">
      <c r="A3" s="46"/>
      <c r="B3" s="46"/>
      <c r="C3" s="46"/>
      <c r="D3" s="46"/>
      <c r="E3" s="47" t="s">
        <v>314</v>
      </c>
      <c r="F3" s="47"/>
      <c r="G3" s="47" t="s">
        <v>313</v>
      </c>
      <c r="H3" s="47"/>
      <c r="I3" s="47" t="s">
        <v>342</v>
      </c>
      <c r="J3" s="47"/>
      <c r="K3" s="47" t="s">
        <v>349</v>
      </c>
      <c r="L3" s="47"/>
      <c r="M3" s="47"/>
    </row>
    <row r="4" spans="1:13" ht="12.75">
      <c r="A4" s="46"/>
      <c r="B4" s="46"/>
      <c r="C4" s="46"/>
      <c r="D4" s="46"/>
      <c r="E4" s="47" t="s">
        <v>308</v>
      </c>
      <c r="F4" s="47"/>
      <c r="G4" s="47" t="s">
        <v>321</v>
      </c>
      <c r="H4" s="47"/>
      <c r="I4" s="47" t="s">
        <v>345</v>
      </c>
      <c r="J4" s="47"/>
      <c r="K4" s="47" t="s">
        <v>352</v>
      </c>
      <c r="L4" s="47"/>
      <c r="M4" s="47"/>
    </row>
    <row r="5" spans="1:13" ht="27.75" customHeight="1">
      <c r="A5" s="201" t="s">
        <v>315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s="7" customFormat="1" ht="28.5" customHeight="1">
      <c r="A6" s="51" t="s">
        <v>0</v>
      </c>
      <c r="B6" s="51" t="s">
        <v>1</v>
      </c>
      <c r="C6" s="83" t="s">
        <v>2</v>
      </c>
      <c r="D6" s="51" t="s">
        <v>3</v>
      </c>
      <c r="E6" s="91" t="s">
        <v>145</v>
      </c>
      <c r="F6" s="91" t="s">
        <v>302</v>
      </c>
      <c r="G6" s="91" t="s">
        <v>146</v>
      </c>
      <c r="H6" s="91" t="s">
        <v>300</v>
      </c>
      <c r="I6" s="91" t="s">
        <v>146</v>
      </c>
      <c r="J6" s="91" t="s">
        <v>300</v>
      </c>
      <c r="K6" s="91" t="s">
        <v>146</v>
      </c>
      <c r="L6" s="91" t="s">
        <v>300</v>
      </c>
      <c r="M6" s="91" t="s">
        <v>301</v>
      </c>
    </row>
    <row r="7" spans="1:13" s="7" customFormat="1" ht="24" customHeight="1">
      <c r="A7" s="33" t="s">
        <v>15</v>
      </c>
      <c r="B7" s="27"/>
      <c r="C7" s="45"/>
      <c r="D7" s="36" t="s">
        <v>16</v>
      </c>
      <c r="E7" s="53">
        <f aca="true" t="shared" si="0" ref="E7:M7">SUM(E8)</f>
        <v>156600</v>
      </c>
      <c r="F7" s="53">
        <f t="shared" si="0"/>
        <v>0</v>
      </c>
      <c r="G7" s="53">
        <f t="shared" si="0"/>
        <v>156600</v>
      </c>
      <c r="H7" s="53">
        <f t="shared" si="0"/>
        <v>0</v>
      </c>
      <c r="I7" s="53">
        <f t="shared" si="0"/>
        <v>156600</v>
      </c>
      <c r="J7" s="53">
        <f t="shared" si="0"/>
        <v>0</v>
      </c>
      <c r="K7" s="53">
        <f t="shared" si="0"/>
        <v>156600</v>
      </c>
      <c r="L7" s="53">
        <f t="shared" si="0"/>
        <v>0</v>
      </c>
      <c r="M7" s="53">
        <f t="shared" si="0"/>
        <v>156600</v>
      </c>
    </row>
    <row r="8" spans="1:13" s="24" customFormat="1" ht="21.75" customHeight="1">
      <c r="A8" s="57"/>
      <c r="B8" s="57">
        <v>75011</v>
      </c>
      <c r="C8" s="58"/>
      <c r="D8" s="38" t="s">
        <v>17</v>
      </c>
      <c r="E8" s="81">
        <f aca="true" t="shared" si="1" ref="E8:M8">E9</f>
        <v>156600</v>
      </c>
      <c r="F8" s="81">
        <f t="shared" si="1"/>
        <v>0</v>
      </c>
      <c r="G8" s="81">
        <f t="shared" si="1"/>
        <v>156600</v>
      </c>
      <c r="H8" s="81">
        <f t="shared" si="1"/>
        <v>0</v>
      </c>
      <c r="I8" s="81">
        <f t="shared" si="1"/>
        <v>156600</v>
      </c>
      <c r="J8" s="81">
        <f t="shared" si="1"/>
        <v>0</v>
      </c>
      <c r="K8" s="81">
        <f t="shared" si="1"/>
        <v>156600</v>
      </c>
      <c r="L8" s="81">
        <f t="shared" si="1"/>
        <v>0</v>
      </c>
      <c r="M8" s="81">
        <f t="shared" si="1"/>
        <v>156600</v>
      </c>
    </row>
    <row r="9" spans="1:13" s="24" customFormat="1" ht="56.25">
      <c r="A9" s="57"/>
      <c r="B9" s="75"/>
      <c r="C9" s="59" t="s">
        <v>182</v>
      </c>
      <c r="D9" s="38" t="s">
        <v>304</v>
      </c>
      <c r="E9" s="81">
        <v>156600</v>
      </c>
      <c r="F9" s="81"/>
      <c r="G9" s="81">
        <f>SUM(E9:F9)</f>
        <v>156600</v>
      </c>
      <c r="H9" s="81"/>
      <c r="I9" s="81">
        <f>SUM(G9:H9)</f>
        <v>156600</v>
      </c>
      <c r="J9" s="81"/>
      <c r="K9" s="81">
        <f>SUM(I9:J9)</f>
        <v>156600</v>
      </c>
      <c r="L9" s="81"/>
      <c r="M9" s="81">
        <f>SUM(K9:L9)</f>
        <v>156600</v>
      </c>
    </row>
    <row r="10" spans="1:13" s="7" customFormat="1" ht="40.5" customHeight="1">
      <c r="A10" s="33">
        <v>751</v>
      </c>
      <c r="B10" s="35"/>
      <c r="C10" s="54"/>
      <c r="D10" s="36" t="s">
        <v>20</v>
      </c>
      <c r="E10" s="55">
        <f>SUM(E11)</f>
        <v>3910</v>
      </c>
      <c r="F10" s="55">
        <f>SUM(F11)</f>
        <v>0</v>
      </c>
      <c r="G10" s="55">
        <f>SUM(G11)</f>
        <v>3910</v>
      </c>
      <c r="H10" s="55">
        <f>SUM(H11)</f>
        <v>0</v>
      </c>
      <c r="I10" s="55">
        <f>SUM(I11,I13)</f>
        <v>3910</v>
      </c>
      <c r="J10" s="55">
        <f>SUM(J11,J13)</f>
        <v>19932</v>
      </c>
      <c r="K10" s="55">
        <f>SUM(K11,K13)</f>
        <v>23842</v>
      </c>
      <c r="L10" s="55">
        <f>SUM(L11,L13)</f>
        <v>0</v>
      </c>
      <c r="M10" s="55">
        <f>SUM(M11,M13)</f>
        <v>23842</v>
      </c>
    </row>
    <row r="11" spans="1:13" s="24" customFormat="1" ht="22.5">
      <c r="A11" s="75"/>
      <c r="B11" s="57">
        <v>75101</v>
      </c>
      <c r="C11" s="58"/>
      <c r="D11" s="38" t="s">
        <v>21</v>
      </c>
      <c r="E11" s="82">
        <f aca="true" t="shared" si="2" ref="E11:M11">E12</f>
        <v>3910</v>
      </c>
      <c r="F11" s="82">
        <f t="shared" si="2"/>
        <v>0</v>
      </c>
      <c r="G11" s="82">
        <f t="shared" si="2"/>
        <v>3910</v>
      </c>
      <c r="H11" s="82">
        <f t="shared" si="2"/>
        <v>0</v>
      </c>
      <c r="I11" s="82">
        <f t="shared" si="2"/>
        <v>3910</v>
      </c>
      <c r="J11" s="82">
        <f t="shared" si="2"/>
        <v>0</v>
      </c>
      <c r="K11" s="82">
        <f t="shared" si="2"/>
        <v>3910</v>
      </c>
      <c r="L11" s="82">
        <f t="shared" si="2"/>
        <v>0</v>
      </c>
      <c r="M11" s="82">
        <f t="shared" si="2"/>
        <v>3910</v>
      </c>
    </row>
    <row r="12" spans="1:13" s="24" customFormat="1" ht="56.25">
      <c r="A12" s="75"/>
      <c r="B12" s="57"/>
      <c r="C12" s="59" t="s">
        <v>182</v>
      </c>
      <c r="D12" s="38" t="s">
        <v>305</v>
      </c>
      <c r="E12" s="82">
        <v>3910</v>
      </c>
      <c r="F12" s="82"/>
      <c r="G12" s="82">
        <f>SUM(E12:F12)</f>
        <v>3910</v>
      </c>
      <c r="H12" s="82"/>
      <c r="I12" s="82">
        <f>SUM(G12:H12)</f>
        <v>3910</v>
      </c>
      <c r="J12" s="82"/>
      <c r="K12" s="82">
        <f>SUM(I12:J12)</f>
        <v>3910</v>
      </c>
      <c r="L12" s="82"/>
      <c r="M12" s="82">
        <f>SUM(K12:L12)</f>
        <v>3910</v>
      </c>
    </row>
    <row r="13" spans="1:13" s="24" customFormat="1" ht="24" customHeight="1">
      <c r="A13" s="75"/>
      <c r="B13" s="57">
        <v>75113</v>
      </c>
      <c r="C13" s="57"/>
      <c r="D13" s="38" t="s">
        <v>346</v>
      </c>
      <c r="E13" s="82"/>
      <c r="F13" s="82"/>
      <c r="G13" s="82"/>
      <c r="H13" s="82"/>
      <c r="I13" s="82">
        <f>SUM(I14)</f>
        <v>0</v>
      </c>
      <c r="J13" s="82">
        <f>SUM(J14)</f>
        <v>19932</v>
      </c>
      <c r="K13" s="82">
        <f>SUM(K14)</f>
        <v>19932</v>
      </c>
      <c r="L13" s="82">
        <f>SUM(L14)</f>
        <v>0</v>
      </c>
      <c r="M13" s="82">
        <f>SUM(M14)</f>
        <v>19932</v>
      </c>
    </row>
    <row r="14" spans="1:13" s="24" customFormat="1" ht="56.25">
      <c r="A14" s="75"/>
      <c r="B14" s="57"/>
      <c r="C14" s="57">
        <v>2010</v>
      </c>
      <c r="D14" s="38" t="s">
        <v>305</v>
      </c>
      <c r="E14" s="82"/>
      <c r="F14" s="82"/>
      <c r="G14" s="82"/>
      <c r="H14" s="82"/>
      <c r="I14" s="82">
        <v>0</v>
      </c>
      <c r="J14" s="82">
        <v>19932</v>
      </c>
      <c r="K14" s="82">
        <f>SUM(I14:J14)</f>
        <v>19932</v>
      </c>
      <c r="L14" s="82"/>
      <c r="M14" s="82">
        <f>SUM(K14:L14)</f>
        <v>19932</v>
      </c>
    </row>
    <row r="15" spans="1:13" s="10" customFormat="1" ht="24.75" customHeight="1">
      <c r="A15" s="102" t="s">
        <v>111</v>
      </c>
      <c r="B15" s="103"/>
      <c r="C15" s="104"/>
      <c r="D15" s="105" t="s">
        <v>112</v>
      </c>
      <c r="E15" s="106">
        <f aca="true" t="shared" si="3" ref="E15:K15">SUM(E16,E18)</f>
        <v>55768</v>
      </c>
      <c r="F15" s="106">
        <f t="shared" si="3"/>
        <v>0</v>
      </c>
      <c r="G15" s="106">
        <f t="shared" si="3"/>
        <v>55768</v>
      </c>
      <c r="H15" s="106">
        <f t="shared" si="3"/>
        <v>0</v>
      </c>
      <c r="I15" s="106">
        <f t="shared" si="3"/>
        <v>55768</v>
      </c>
      <c r="J15" s="106">
        <f t="shared" si="3"/>
        <v>0</v>
      </c>
      <c r="K15" s="106">
        <f t="shared" si="3"/>
        <v>55768</v>
      </c>
      <c r="L15" s="106">
        <f>SUM(L16,L18)</f>
        <v>0</v>
      </c>
      <c r="M15" s="106">
        <f>SUM(M16,M18)</f>
        <v>55768</v>
      </c>
    </row>
    <row r="16" spans="1:13" s="24" customFormat="1" ht="24.75" customHeight="1">
      <c r="A16" s="57"/>
      <c r="B16" s="71" t="s">
        <v>113</v>
      </c>
      <c r="C16" s="75"/>
      <c r="D16" s="38" t="s">
        <v>52</v>
      </c>
      <c r="E16" s="81">
        <f aca="true" t="shared" si="4" ref="E16:M16">SUM(E17)</f>
        <v>4782</v>
      </c>
      <c r="F16" s="81">
        <f t="shared" si="4"/>
        <v>0</v>
      </c>
      <c r="G16" s="81">
        <f t="shared" si="4"/>
        <v>4782</v>
      </c>
      <c r="H16" s="81">
        <f t="shared" si="4"/>
        <v>0</v>
      </c>
      <c r="I16" s="81">
        <f t="shared" si="4"/>
        <v>4782</v>
      </c>
      <c r="J16" s="81">
        <f t="shared" si="4"/>
        <v>0</v>
      </c>
      <c r="K16" s="81">
        <f t="shared" si="4"/>
        <v>4782</v>
      </c>
      <c r="L16" s="81">
        <f t="shared" si="4"/>
        <v>0</v>
      </c>
      <c r="M16" s="81">
        <f t="shared" si="4"/>
        <v>4782</v>
      </c>
    </row>
    <row r="17" spans="1:13" s="24" customFormat="1" ht="45">
      <c r="A17" s="75"/>
      <c r="B17" s="57"/>
      <c r="C17" s="101">
        <v>2310</v>
      </c>
      <c r="D17" s="38" t="s">
        <v>237</v>
      </c>
      <c r="E17" s="61">
        <v>4782</v>
      </c>
      <c r="F17" s="61"/>
      <c r="G17" s="61">
        <f>SUM(E17:F17)</f>
        <v>4782</v>
      </c>
      <c r="H17" s="61"/>
      <c r="I17" s="61">
        <f>SUM(G17:H17)</f>
        <v>4782</v>
      </c>
      <c r="J17" s="61"/>
      <c r="K17" s="61">
        <f>SUM(I17:J17)</f>
        <v>4782</v>
      </c>
      <c r="L17" s="61"/>
      <c r="M17" s="61">
        <f>SUM(K17:L17)</f>
        <v>4782</v>
      </c>
    </row>
    <row r="18" spans="1:13" s="24" customFormat="1" ht="24" customHeight="1">
      <c r="A18" s="75"/>
      <c r="B18" s="57">
        <v>80195</v>
      </c>
      <c r="C18" s="101"/>
      <c r="D18" s="38" t="s">
        <v>6</v>
      </c>
      <c r="E18" s="61">
        <f aca="true" t="shared" si="5" ref="E18:M18">SUM(E19)</f>
        <v>50986</v>
      </c>
      <c r="F18" s="61">
        <f t="shared" si="5"/>
        <v>0</v>
      </c>
      <c r="G18" s="61">
        <f t="shared" si="5"/>
        <v>50986</v>
      </c>
      <c r="H18" s="61">
        <f t="shared" si="5"/>
        <v>0</v>
      </c>
      <c r="I18" s="61">
        <f t="shared" si="5"/>
        <v>50986</v>
      </c>
      <c r="J18" s="61">
        <f t="shared" si="5"/>
        <v>0</v>
      </c>
      <c r="K18" s="61">
        <f t="shared" si="5"/>
        <v>50986</v>
      </c>
      <c r="L18" s="61">
        <f t="shared" si="5"/>
        <v>0</v>
      </c>
      <c r="M18" s="61">
        <f t="shared" si="5"/>
        <v>50986</v>
      </c>
    </row>
    <row r="19" spans="1:13" s="24" customFormat="1" ht="45">
      <c r="A19" s="75"/>
      <c r="B19" s="57"/>
      <c r="C19" s="101">
        <v>2030</v>
      </c>
      <c r="D19" s="66" t="s">
        <v>207</v>
      </c>
      <c r="E19" s="61">
        <v>50986</v>
      </c>
      <c r="F19" s="61"/>
      <c r="G19" s="61">
        <f>SUM(E19:F19)</f>
        <v>50986</v>
      </c>
      <c r="H19" s="61"/>
      <c r="I19" s="61">
        <f>SUM(G19:H19)</f>
        <v>50986</v>
      </c>
      <c r="J19" s="61"/>
      <c r="K19" s="61">
        <f>SUM(I19:J19)</f>
        <v>50986</v>
      </c>
      <c r="L19" s="61"/>
      <c r="M19" s="61">
        <f>SUM(K19:L19)</f>
        <v>50986</v>
      </c>
    </row>
    <row r="20" spans="1:13" s="40" customFormat="1" ht="27" customHeight="1">
      <c r="A20" s="33" t="s">
        <v>157</v>
      </c>
      <c r="B20" s="35"/>
      <c r="C20" s="54"/>
      <c r="D20" s="36" t="s">
        <v>192</v>
      </c>
      <c r="E20" s="53">
        <f aca="true" t="shared" si="6" ref="E20:K20">SUM(E21,E23,E25,E28,E30,)</f>
        <v>8801400</v>
      </c>
      <c r="F20" s="53">
        <f t="shared" si="6"/>
        <v>0</v>
      </c>
      <c r="G20" s="53">
        <f t="shared" si="6"/>
        <v>8801400</v>
      </c>
      <c r="H20" s="53">
        <f t="shared" si="6"/>
        <v>312600</v>
      </c>
      <c r="I20" s="53">
        <f t="shared" si="6"/>
        <v>9114000</v>
      </c>
      <c r="J20" s="53">
        <f t="shared" si="6"/>
        <v>13050</v>
      </c>
      <c r="K20" s="53">
        <f t="shared" si="6"/>
        <v>9127050</v>
      </c>
      <c r="L20" s="53">
        <f>SUM(L21,L23,L25,L28,L30,)</f>
        <v>75000</v>
      </c>
      <c r="M20" s="53">
        <f>SUM(M21,M23,M25,M28,M30,)</f>
        <v>9202050</v>
      </c>
    </row>
    <row r="21" spans="1:13" s="24" customFormat="1" ht="45">
      <c r="A21" s="57"/>
      <c r="B21" s="41">
        <v>85212</v>
      </c>
      <c r="C21" s="68"/>
      <c r="D21" s="66" t="s">
        <v>323</v>
      </c>
      <c r="E21" s="80">
        <f aca="true" t="shared" si="7" ref="E21:M21">SUM(E22)</f>
        <v>6479100</v>
      </c>
      <c r="F21" s="80">
        <f t="shared" si="7"/>
        <v>0</v>
      </c>
      <c r="G21" s="80">
        <f t="shared" si="7"/>
        <v>6479100</v>
      </c>
      <c r="H21" s="80">
        <f t="shared" si="7"/>
        <v>334300</v>
      </c>
      <c r="I21" s="80">
        <f t="shared" si="7"/>
        <v>6813400</v>
      </c>
      <c r="J21" s="80">
        <f t="shared" si="7"/>
        <v>0</v>
      </c>
      <c r="K21" s="80">
        <f t="shared" si="7"/>
        <v>6813400</v>
      </c>
      <c r="L21" s="80">
        <f t="shared" si="7"/>
        <v>0</v>
      </c>
      <c r="M21" s="80">
        <f t="shared" si="7"/>
        <v>6813400</v>
      </c>
    </row>
    <row r="22" spans="1:13" s="24" customFormat="1" ht="56.25">
      <c r="A22" s="57"/>
      <c r="B22" s="41"/>
      <c r="C22" s="68">
        <v>2010</v>
      </c>
      <c r="D22" s="38" t="s">
        <v>304</v>
      </c>
      <c r="E22" s="80">
        <v>6479100</v>
      </c>
      <c r="F22" s="80"/>
      <c r="G22" s="80">
        <f>SUM(E22:F22)</f>
        <v>6479100</v>
      </c>
      <c r="H22" s="80">
        <v>334300</v>
      </c>
      <c r="I22" s="80">
        <f>SUM(G22:H22)</f>
        <v>6813400</v>
      </c>
      <c r="J22" s="80"/>
      <c r="K22" s="80">
        <f>SUM(I22:J22)</f>
        <v>6813400</v>
      </c>
      <c r="L22" s="80"/>
      <c r="M22" s="80">
        <f>SUM(K22:L22)</f>
        <v>6813400</v>
      </c>
    </row>
    <row r="23" spans="1:13" s="24" customFormat="1" ht="67.5">
      <c r="A23" s="57"/>
      <c r="B23" s="75">
        <v>85213</v>
      </c>
      <c r="C23" s="58"/>
      <c r="D23" s="66" t="s">
        <v>297</v>
      </c>
      <c r="E23" s="80">
        <f aca="true" t="shared" si="8" ref="E23:M23">SUM(E24)</f>
        <v>59100</v>
      </c>
      <c r="F23" s="80">
        <f t="shared" si="8"/>
        <v>0</v>
      </c>
      <c r="G23" s="80">
        <f t="shared" si="8"/>
        <v>59100</v>
      </c>
      <c r="H23" s="80">
        <f t="shared" si="8"/>
        <v>-4100</v>
      </c>
      <c r="I23" s="80">
        <f t="shared" si="8"/>
        <v>55000</v>
      </c>
      <c r="J23" s="80">
        <f t="shared" si="8"/>
        <v>0</v>
      </c>
      <c r="K23" s="80">
        <f t="shared" si="8"/>
        <v>55000</v>
      </c>
      <c r="L23" s="80">
        <f t="shared" si="8"/>
        <v>0</v>
      </c>
      <c r="M23" s="80">
        <f t="shared" si="8"/>
        <v>55000</v>
      </c>
    </row>
    <row r="24" spans="1:13" s="24" customFormat="1" ht="56.25">
      <c r="A24" s="57"/>
      <c r="B24" s="75"/>
      <c r="C24" s="58">
        <v>2010</v>
      </c>
      <c r="D24" s="38" t="s">
        <v>217</v>
      </c>
      <c r="E24" s="80">
        <v>59100</v>
      </c>
      <c r="F24" s="80"/>
      <c r="G24" s="80">
        <f>SUM(E24:F24)</f>
        <v>59100</v>
      </c>
      <c r="H24" s="80">
        <v>-4100</v>
      </c>
      <c r="I24" s="80">
        <f>SUM(G24:H24)</f>
        <v>55000</v>
      </c>
      <c r="J24" s="80"/>
      <c r="K24" s="80">
        <f>SUM(I24:J24)</f>
        <v>55000</v>
      </c>
      <c r="L24" s="80"/>
      <c r="M24" s="80">
        <f>SUM(K24:L24)</f>
        <v>55000</v>
      </c>
    </row>
    <row r="25" spans="1:13" s="24" customFormat="1" ht="22.5">
      <c r="A25" s="57"/>
      <c r="B25" s="57" t="s">
        <v>158</v>
      </c>
      <c r="C25" s="58"/>
      <c r="D25" s="38" t="s">
        <v>225</v>
      </c>
      <c r="E25" s="81">
        <f aca="true" t="shared" si="9" ref="E25:K25">SUM(E26:E27)</f>
        <v>1124100</v>
      </c>
      <c r="F25" s="81">
        <f t="shared" si="9"/>
        <v>0</v>
      </c>
      <c r="G25" s="81">
        <f t="shared" si="9"/>
        <v>1124100</v>
      </c>
      <c r="H25" s="81">
        <f t="shared" si="9"/>
        <v>-17600</v>
      </c>
      <c r="I25" s="81">
        <f t="shared" si="9"/>
        <v>1106500</v>
      </c>
      <c r="J25" s="81">
        <f t="shared" si="9"/>
        <v>0</v>
      </c>
      <c r="K25" s="81">
        <f t="shared" si="9"/>
        <v>1106500</v>
      </c>
      <c r="L25" s="81">
        <f>SUM(L26:L27)</f>
        <v>0</v>
      </c>
      <c r="M25" s="81">
        <f>SUM(M26:M27)</f>
        <v>1106500</v>
      </c>
    </row>
    <row r="26" spans="1:13" s="24" customFormat="1" ht="56.25">
      <c r="A26" s="57"/>
      <c r="B26" s="57"/>
      <c r="C26" s="59" t="s">
        <v>182</v>
      </c>
      <c r="D26" s="38" t="s">
        <v>222</v>
      </c>
      <c r="E26" s="81">
        <v>468000</v>
      </c>
      <c r="F26" s="81"/>
      <c r="G26" s="81">
        <f>SUM(E26:F26)</f>
        <v>468000</v>
      </c>
      <c r="H26" s="81">
        <v>50700</v>
      </c>
      <c r="I26" s="81">
        <f>SUM(G26:H26)</f>
        <v>518700</v>
      </c>
      <c r="J26" s="81"/>
      <c r="K26" s="81">
        <f>SUM(I26:J26)</f>
        <v>518700</v>
      </c>
      <c r="L26" s="81"/>
      <c r="M26" s="81">
        <f>SUM(K26:L26)</f>
        <v>518700</v>
      </c>
    </row>
    <row r="27" spans="1:13" s="24" customFormat="1" ht="33.75">
      <c r="A27" s="57"/>
      <c r="B27" s="57"/>
      <c r="C27" s="59">
        <v>2030</v>
      </c>
      <c r="D27" s="66" t="s">
        <v>218</v>
      </c>
      <c r="E27" s="81">
        <v>656100</v>
      </c>
      <c r="F27" s="81"/>
      <c r="G27" s="81">
        <f>SUM(E27:F27)</f>
        <v>656100</v>
      </c>
      <c r="H27" s="81">
        <v>-68300</v>
      </c>
      <c r="I27" s="81">
        <f>SUM(G27:H27)</f>
        <v>587800</v>
      </c>
      <c r="J27" s="81"/>
      <c r="K27" s="81">
        <f>SUM(I27:J27)</f>
        <v>587800</v>
      </c>
      <c r="L27" s="81"/>
      <c r="M27" s="81">
        <f>SUM(K27:L27)</f>
        <v>587800</v>
      </c>
    </row>
    <row r="28" spans="1:13" s="24" customFormat="1" ht="23.25" customHeight="1">
      <c r="A28" s="57"/>
      <c r="B28" s="57" t="s">
        <v>159</v>
      </c>
      <c r="C28" s="58"/>
      <c r="D28" s="38" t="s">
        <v>59</v>
      </c>
      <c r="E28" s="81">
        <f aca="true" t="shared" si="10" ref="E28:M28">E29</f>
        <v>597800</v>
      </c>
      <c r="F28" s="81">
        <f t="shared" si="10"/>
        <v>0</v>
      </c>
      <c r="G28" s="81">
        <f t="shared" si="10"/>
        <v>597800</v>
      </c>
      <c r="H28" s="81">
        <f t="shared" si="10"/>
        <v>0</v>
      </c>
      <c r="I28" s="81">
        <f t="shared" si="10"/>
        <v>597800</v>
      </c>
      <c r="J28" s="81">
        <f t="shared" si="10"/>
        <v>13050</v>
      </c>
      <c r="K28" s="81">
        <f t="shared" si="10"/>
        <v>610850</v>
      </c>
      <c r="L28" s="81">
        <f t="shared" si="10"/>
        <v>0</v>
      </c>
      <c r="M28" s="81">
        <f t="shared" si="10"/>
        <v>610850</v>
      </c>
    </row>
    <row r="29" spans="1:13" s="24" customFormat="1" ht="45">
      <c r="A29" s="57"/>
      <c r="B29" s="57"/>
      <c r="C29" s="59">
        <v>2030</v>
      </c>
      <c r="D29" s="66" t="s">
        <v>207</v>
      </c>
      <c r="E29" s="81">
        <v>597800</v>
      </c>
      <c r="F29" s="81"/>
      <c r="G29" s="81">
        <f>SUM(E29:F29)</f>
        <v>597800</v>
      </c>
      <c r="H29" s="81"/>
      <c r="I29" s="81">
        <f>SUM(G29:H29)</f>
        <v>597800</v>
      </c>
      <c r="J29" s="81">
        <v>13050</v>
      </c>
      <c r="K29" s="81">
        <f>SUM(I29:J29)</f>
        <v>610850</v>
      </c>
      <c r="L29" s="81"/>
      <c r="M29" s="81">
        <f>SUM(K29:L29)</f>
        <v>610850</v>
      </c>
    </row>
    <row r="30" spans="1:13" s="24" customFormat="1" ht="24" customHeight="1">
      <c r="A30" s="57"/>
      <c r="B30" s="57">
        <v>85295</v>
      </c>
      <c r="C30" s="59"/>
      <c r="D30" s="66" t="s">
        <v>6</v>
      </c>
      <c r="E30" s="81">
        <f aca="true" t="shared" si="11" ref="E30:M30">SUM(E31)</f>
        <v>541300</v>
      </c>
      <c r="F30" s="81">
        <f t="shared" si="11"/>
        <v>0</v>
      </c>
      <c r="G30" s="81">
        <f t="shared" si="11"/>
        <v>541300</v>
      </c>
      <c r="H30" s="81">
        <f t="shared" si="11"/>
        <v>0</v>
      </c>
      <c r="I30" s="81">
        <f t="shared" si="11"/>
        <v>541300</v>
      </c>
      <c r="J30" s="81">
        <f t="shared" si="11"/>
        <v>0</v>
      </c>
      <c r="K30" s="81">
        <f t="shared" si="11"/>
        <v>541300</v>
      </c>
      <c r="L30" s="81">
        <f t="shared" si="11"/>
        <v>75000</v>
      </c>
      <c r="M30" s="81">
        <f t="shared" si="11"/>
        <v>616300</v>
      </c>
    </row>
    <row r="31" spans="1:13" s="24" customFormat="1" ht="33.75">
      <c r="A31" s="57"/>
      <c r="B31" s="57"/>
      <c r="C31" s="59">
        <v>2030</v>
      </c>
      <c r="D31" s="66" t="s">
        <v>218</v>
      </c>
      <c r="E31" s="81">
        <v>541300</v>
      </c>
      <c r="F31" s="81"/>
      <c r="G31" s="81">
        <f>SUM(E31:F31)</f>
        <v>541300</v>
      </c>
      <c r="H31" s="81"/>
      <c r="I31" s="81">
        <f>SUM(G31:H31)</f>
        <v>541300</v>
      </c>
      <c r="J31" s="81"/>
      <c r="K31" s="81">
        <f>SUM(I31:J31)</f>
        <v>541300</v>
      </c>
      <c r="L31" s="81">
        <v>75000</v>
      </c>
      <c r="M31" s="81">
        <f>SUM(K31:L31)</f>
        <v>616300</v>
      </c>
    </row>
    <row r="32" spans="1:13" s="113" customFormat="1" ht="24" customHeight="1">
      <c r="A32" s="173">
        <v>854</v>
      </c>
      <c r="B32" s="176"/>
      <c r="C32" s="177"/>
      <c r="D32" s="36" t="s">
        <v>60</v>
      </c>
      <c r="E32" s="180">
        <f aca="true" t="shared" si="12" ref="E32:M33">SUM(E33)</f>
        <v>0</v>
      </c>
      <c r="F32" s="180">
        <f t="shared" si="12"/>
        <v>252163</v>
      </c>
      <c r="G32" s="180">
        <f t="shared" si="12"/>
        <v>252163</v>
      </c>
      <c r="H32" s="180">
        <f t="shared" si="12"/>
        <v>0</v>
      </c>
      <c r="I32" s="180">
        <f t="shared" si="12"/>
        <v>252163</v>
      </c>
      <c r="J32" s="180">
        <f t="shared" si="12"/>
        <v>0</v>
      </c>
      <c r="K32" s="180">
        <f t="shared" si="12"/>
        <v>252163</v>
      </c>
      <c r="L32" s="180">
        <f t="shared" si="12"/>
        <v>0</v>
      </c>
      <c r="M32" s="180">
        <f t="shared" si="12"/>
        <v>252163</v>
      </c>
    </row>
    <row r="33" spans="1:13" s="24" customFormat="1" ht="21.75" customHeight="1">
      <c r="A33" s="62"/>
      <c r="B33" s="63">
        <v>85415</v>
      </c>
      <c r="C33" s="64"/>
      <c r="D33" s="38" t="s">
        <v>235</v>
      </c>
      <c r="E33" s="81">
        <f t="shared" si="12"/>
        <v>0</v>
      </c>
      <c r="F33" s="81">
        <f t="shared" si="12"/>
        <v>252163</v>
      </c>
      <c r="G33" s="81">
        <f t="shared" si="12"/>
        <v>252163</v>
      </c>
      <c r="H33" s="81">
        <f t="shared" si="12"/>
        <v>0</v>
      </c>
      <c r="I33" s="81">
        <f t="shared" si="12"/>
        <v>252163</v>
      </c>
      <c r="J33" s="81">
        <f t="shared" si="12"/>
        <v>0</v>
      </c>
      <c r="K33" s="81">
        <f t="shared" si="12"/>
        <v>252163</v>
      </c>
      <c r="L33" s="81">
        <f t="shared" si="12"/>
        <v>0</v>
      </c>
      <c r="M33" s="81">
        <f t="shared" si="12"/>
        <v>252163</v>
      </c>
    </row>
    <row r="34" spans="1:13" s="24" customFormat="1" ht="22.5" customHeight="1">
      <c r="A34" s="57"/>
      <c r="B34" s="57"/>
      <c r="C34" s="59">
        <v>2030</v>
      </c>
      <c r="D34" s="66" t="s">
        <v>218</v>
      </c>
      <c r="E34" s="81">
        <v>0</v>
      </c>
      <c r="F34" s="81">
        <v>252163</v>
      </c>
      <c r="G34" s="81">
        <f>SUM(E34:F34)</f>
        <v>252163</v>
      </c>
      <c r="H34" s="81"/>
      <c r="I34" s="81">
        <f>SUM(G34:H34)</f>
        <v>252163</v>
      </c>
      <c r="J34" s="81"/>
      <c r="K34" s="81">
        <f>SUM(I34:J34)</f>
        <v>252163</v>
      </c>
      <c r="L34" s="81"/>
      <c r="M34" s="81">
        <f>SUM(K34:L34)</f>
        <v>252163</v>
      </c>
    </row>
    <row r="35" spans="1:13" s="7" customFormat="1" ht="24.75" customHeight="1">
      <c r="A35" s="33" t="s">
        <v>64</v>
      </c>
      <c r="B35" s="27"/>
      <c r="C35" s="45"/>
      <c r="D35" s="36" t="s">
        <v>70</v>
      </c>
      <c r="E35" s="53">
        <f>SUM(E38)</f>
        <v>60000</v>
      </c>
      <c r="F35" s="53">
        <f>SUM(F38)</f>
        <v>0</v>
      </c>
      <c r="G35" s="53">
        <f aca="true" t="shared" si="13" ref="G35:M35">SUM(G38,G36)</f>
        <v>60000</v>
      </c>
      <c r="H35" s="53">
        <f t="shared" si="13"/>
        <v>9350</v>
      </c>
      <c r="I35" s="53">
        <f t="shared" si="13"/>
        <v>69350</v>
      </c>
      <c r="J35" s="53">
        <f t="shared" si="13"/>
        <v>0</v>
      </c>
      <c r="K35" s="53">
        <f t="shared" si="13"/>
        <v>69350</v>
      </c>
      <c r="L35" s="53">
        <f t="shared" si="13"/>
        <v>0</v>
      </c>
      <c r="M35" s="53">
        <f t="shared" si="13"/>
        <v>69350</v>
      </c>
    </row>
    <row r="36" spans="1:13" s="24" customFormat="1" ht="24.75" customHeight="1">
      <c r="A36" s="77"/>
      <c r="B36" s="156">
        <v>92105</v>
      </c>
      <c r="C36" s="165"/>
      <c r="D36" s="182" t="s">
        <v>326</v>
      </c>
      <c r="E36" s="183"/>
      <c r="F36" s="183"/>
      <c r="G36" s="184">
        <f aca="true" t="shared" si="14" ref="G36:M36">SUM(G37)</f>
        <v>0</v>
      </c>
      <c r="H36" s="184">
        <f t="shared" si="14"/>
        <v>9350</v>
      </c>
      <c r="I36" s="184">
        <f t="shared" si="14"/>
        <v>9350</v>
      </c>
      <c r="J36" s="184">
        <f t="shared" si="14"/>
        <v>0</v>
      </c>
      <c r="K36" s="184">
        <f t="shared" si="14"/>
        <v>9350</v>
      </c>
      <c r="L36" s="184">
        <f t="shared" si="14"/>
        <v>0</v>
      </c>
      <c r="M36" s="184">
        <f t="shared" si="14"/>
        <v>9350</v>
      </c>
    </row>
    <row r="37" spans="1:13" s="24" customFormat="1" ht="45">
      <c r="A37" s="77"/>
      <c r="B37" s="156"/>
      <c r="C37" s="165">
        <v>2320</v>
      </c>
      <c r="D37" s="66" t="s">
        <v>219</v>
      </c>
      <c r="E37" s="183"/>
      <c r="F37" s="183"/>
      <c r="G37" s="184">
        <v>0</v>
      </c>
      <c r="H37" s="184">
        <v>9350</v>
      </c>
      <c r="I37" s="184">
        <f>SUM(G37:H37)</f>
        <v>9350</v>
      </c>
      <c r="J37" s="184"/>
      <c r="K37" s="184">
        <f>SUM(I37:J37)</f>
        <v>9350</v>
      </c>
      <c r="L37" s="184"/>
      <c r="M37" s="184">
        <f>SUM(K37:L37)</f>
        <v>9350</v>
      </c>
    </row>
    <row r="38" spans="1:13" s="24" customFormat="1" ht="21.75" customHeight="1">
      <c r="A38" s="57"/>
      <c r="B38" s="57" t="s">
        <v>65</v>
      </c>
      <c r="C38" s="58"/>
      <c r="D38" s="38" t="s">
        <v>66</v>
      </c>
      <c r="E38" s="81">
        <f aca="true" t="shared" si="15" ref="E38:M38">E39</f>
        <v>60000</v>
      </c>
      <c r="F38" s="81">
        <f t="shared" si="15"/>
        <v>0</v>
      </c>
      <c r="G38" s="81">
        <f t="shared" si="15"/>
        <v>60000</v>
      </c>
      <c r="H38" s="81">
        <f t="shared" si="15"/>
        <v>0</v>
      </c>
      <c r="I38" s="81">
        <f t="shared" si="15"/>
        <v>60000</v>
      </c>
      <c r="J38" s="81">
        <f t="shared" si="15"/>
        <v>0</v>
      </c>
      <c r="K38" s="81">
        <f t="shared" si="15"/>
        <v>60000</v>
      </c>
      <c r="L38" s="81">
        <f t="shared" si="15"/>
        <v>0</v>
      </c>
      <c r="M38" s="81">
        <f t="shared" si="15"/>
        <v>60000</v>
      </c>
    </row>
    <row r="39" spans="1:13" s="24" customFormat="1" ht="45">
      <c r="A39" s="57"/>
      <c r="B39" s="57"/>
      <c r="C39" s="59">
        <v>2320</v>
      </c>
      <c r="D39" s="38" t="s">
        <v>219</v>
      </c>
      <c r="E39" s="81">
        <v>60000</v>
      </c>
      <c r="F39" s="81"/>
      <c r="G39" s="81">
        <f>SUM(E39:F39)</f>
        <v>60000</v>
      </c>
      <c r="H39" s="81"/>
      <c r="I39" s="81">
        <f>SUM(G39:H39)</f>
        <v>60000</v>
      </c>
      <c r="J39" s="81"/>
      <c r="K39" s="81">
        <f>SUM(I39:J39)</f>
        <v>60000</v>
      </c>
      <c r="L39" s="81"/>
      <c r="M39" s="81">
        <f>SUM(K39:L39)</f>
        <v>60000</v>
      </c>
    </row>
    <row r="40" spans="1:13" s="24" customFormat="1" ht="24">
      <c r="A40" s="176">
        <v>926</v>
      </c>
      <c r="B40" s="176"/>
      <c r="C40" s="176"/>
      <c r="D40" s="36" t="s">
        <v>139</v>
      </c>
      <c r="E40" s="81"/>
      <c r="F40" s="81"/>
      <c r="G40" s="180">
        <f aca="true" t="shared" si="16" ref="G40:M41">SUM(G41)</f>
        <v>0</v>
      </c>
      <c r="H40" s="180">
        <f t="shared" si="16"/>
        <v>3200</v>
      </c>
      <c r="I40" s="180">
        <f t="shared" si="16"/>
        <v>3200</v>
      </c>
      <c r="J40" s="180">
        <f t="shared" si="16"/>
        <v>0</v>
      </c>
      <c r="K40" s="180">
        <f t="shared" si="16"/>
        <v>3200</v>
      </c>
      <c r="L40" s="180">
        <f t="shared" si="16"/>
        <v>0</v>
      </c>
      <c r="M40" s="180">
        <f t="shared" si="16"/>
        <v>3200</v>
      </c>
    </row>
    <row r="41" spans="1:13" s="24" customFormat="1" ht="22.5">
      <c r="A41" s="63"/>
      <c r="B41" s="63">
        <v>92605</v>
      </c>
      <c r="C41" s="63"/>
      <c r="D41" s="38" t="s">
        <v>68</v>
      </c>
      <c r="E41" s="81"/>
      <c r="F41" s="81"/>
      <c r="G41" s="81">
        <f t="shared" si="16"/>
        <v>0</v>
      </c>
      <c r="H41" s="81">
        <f t="shared" si="16"/>
        <v>3200</v>
      </c>
      <c r="I41" s="81">
        <f t="shared" si="16"/>
        <v>3200</v>
      </c>
      <c r="J41" s="81">
        <f t="shared" si="16"/>
        <v>0</v>
      </c>
      <c r="K41" s="81">
        <f t="shared" si="16"/>
        <v>3200</v>
      </c>
      <c r="L41" s="81">
        <f t="shared" si="16"/>
        <v>0</v>
      </c>
      <c r="M41" s="81">
        <f t="shared" si="16"/>
        <v>3200</v>
      </c>
    </row>
    <row r="42" spans="1:13" s="24" customFormat="1" ht="45">
      <c r="A42" s="63"/>
      <c r="B42" s="63"/>
      <c r="C42" s="63">
        <v>2320</v>
      </c>
      <c r="D42" s="66" t="s">
        <v>219</v>
      </c>
      <c r="E42" s="81"/>
      <c r="F42" s="81"/>
      <c r="G42" s="81">
        <v>0</v>
      </c>
      <c r="H42" s="81">
        <v>3200</v>
      </c>
      <c r="I42" s="81">
        <f>SUM(G42:H42)</f>
        <v>3200</v>
      </c>
      <c r="J42" s="81"/>
      <c r="K42" s="81">
        <f>SUM(I42:J42)</f>
        <v>3200</v>
      </c>
      <c r="L42" s="81"/>
      <c r="M42" s="81">
        <f>SUM(K42:L42)</f>
        <v>3200</v>
      </c>
    </row>
    <row r="43" spans="1:13" s="24" customFormat="1" ht="25.5" customHeight="1">
      <c r="A43" s="93"/>
      <c r="B43" s="94"/>
      <c r="C43" s="95"/>
      <c r="D43" s="85" t="s">
        <v>69</v>
      </c>
      <c r="E43" s="86">
        <f>SUM(E35,E20,E10,E7,E15,E32)</f>
        <v>9077678</v>
      </c>
      <c r="F43" s="86">
        <f>SUM(F35,F20,F10,F7,F15,F32)</f>
        <v>252163</v>
      </c>
      <c r="G43" s="86">
        <f aca="true" t="shared" si="17" ref="G43:M43">SUM(G35,G20,G10,G7,G15,G32,G40)</f>
        <v>9329841</v>
      </c>
      <c r="H43" s="86">
        <f t="shared" si="17"/>
        <v>325150</v>
      </c>
      <c r="I43" s="86">
        <f t="shared" si="17"/>
        <v>9654991</v>
      </c>
      <c r="J43" s="86">
        <f t="shared" si="17"/>
        <v>32982</v>
      </c>
      <c r="K43" s="86">
        <f t="shared" si="17"/>
        <v>9687973</v>
      </c>
      <c r="L43" s="86">
        <f t="shared" si="17"/>
        <v>75000</v>
      </c>
      <c r="M43" s="86">
        <f t="shared" si="17"/>
        <v>9762973</v>
      </c>
    </row>
    <row r="44" spans="1:3" ht="12.75">
      <c r="A44" s="46"/>
      <c r="B44" s="46"/>
      <c r="C44" s="46"/>
    </row>
    <row r="47" spans="5:13" ht="12.75">
      <c r="E47" s="88"/>
      <c r="F47" s="88"/>
      <c r="G47" s="88"/>
      <c r="H47" s="88"/>
      <c r="I47" s="88"/>
      <c r="J47" s="88"/>
      <c r="K47" s="88"/>
      <c r="L47" s="88"/>
      <c r="M47" s="88"/>
    </row>
  </sheetData>
  <sheetProtection/>
  <mergeCells count="1">
    <mergeCell ref="A5:M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5.25390625" style="7" customWidth="1"/>
    <col min="2" max="2" width="7.25390625" style="7" bestFit="1" customWidth="1"/>
    <col min="3" max="3" width="4.375" style="7" bestFit="1" customWidth="1"/>
    <col min="4" max="4" width="30.75390625" style="7" customWidth="1"/>
    <col min="5" max="5" width="13.00390625" style="7" hidden="1" customWidth="1"/>
    <col min="6" max="6" width="8.875" style="7" hidden="1" customWidth="1"/>
    <col min="7" max="7" width="14.25390625" style="7" customWidth="1"/>
    <col min="8" max="8" width="13.875" style="7" customWidth="1"/>
    <col min="9" max="9" width="13.25390625" style="7" customWidth="1"/>
  </cols>
  <sheetData>
    <row r="1" spans="5:9" ht="12.75">
      <c r="E1" s="47" t="s">
        <v>343</v>
      </c>
      <c r="F1" s="47"/>
      <c r="G1" s="47" t="s">
        <v>356</v>
      </c>
      <c r="H1" s="47"/>
      <c r="I1" s="47"/>
    </row>
    <row r="2" spans="5:9" ht="12.75">
      <c r="E2" s="47" t="s">
        <v>340</v>
      </c>
      <c r="F2" s="47"/>
      <c r="G2" s="47" t="s">
        <v>359</v>
      </c>
      <c r="H2" s="47"/>
      <c r="I2" s="47"/>
    </row>
    <row r="3" spans="5:9" ht="12.75">
      <c r="E3" s="47" t="s">
        <v>322</v>
      </c>
      <c r="F3" s="47"/>
      <c r="G3" s="47" t="s">
        <v>343</v>
      </c>
      <c r="H3" s="47"/>
      <c r="I3" s="47"/>
    </row>
    <row r="4" spans="5:9" ht="12.75">
      <c r="E4" s="47" t="s">
        <v>308</v>
      </c>
      <c r="F4" s="47"/>
      <c r="G4" s="47" t="s">
        <v>345</v>
      </c>
      <c r="H4" s="47"/>
      <c r="I4" s="47"/>
    </row>
    <row r="5" spans="1:9" ht="58.5" customHeight="1">
      <c r="A5" s="202" t="s">
        <v>357</v>
      </c>
      <c r="B5" s="202"/>
      <c r="C5" s="202"/>
      <c r="D5" s="202"/>
      <c r="E5" s="202"/>
      <c r="F5" s="202"/>
      <c r="G5" s="202"/>
      <c r="H5" s="202"/>
      <c r="I5" s="202"/>
    </row>
    <row r="6" spans="1:9" s="7" customFormat="1" ht="24.75" customHeight="1">
      <c r="A6" s="1" t="s">
        <v>0</v>
      </c>
      <c r="B6" s="1" t="s">
        <v>1</v>
      </c>
      <c r="C6" s="1" t="s">
        <v>2</v>
      </c>
      <c r="D6" s="1" t="s">
        <v>3</v>
      </c>
      <c r="E6" s="19" t="s">
        <v>145</v>
      </c>
      <c r="F6" s="19" t="s">
        <v>300</v>
      </c>
      <c r="G6" s="19" t="s">
        <v>146</v>
      </c>
      <c r="H6" s="19" t="s">
        <v>300</v>
      </c>
      <c r="I6" s="19" t="s">
        <v>306</v>
      </c>
    </row>
    <row r="7" spans="1:9" s="7" customFormat="1" ht="21" customHeight="1">
      <c r="A7" s="1">
        <v>801</v>
      </c>
      <c r="B7" s="1"/>
      <c r="C7" s="1"/>
      <c r="D7" s="100" t="s">
        <v>112</v>
      </c>
      <c r="E7" s="99">
        <f>SUM(E8,E13)</f>
        <v>4782</v>
      </c>
      <c r="F7" s="99">
        <f>SUM(F8,F13)</f>
        <v>2350</v>
      </c>
      <c r="G7" s="99">
        <f>SUM(G8,G13)</f>
        <v>7132</v>
      </c>
      <c r="H7" s="99">
        <f>SUM(H8,H13)</f>
        <v>0</v>
      </c>
      <c r="I7" s="99">
        <f>SUM(I8,I13)</f>
        <v>7132</v>
      </c>
    </row>
    <row r="8" spans="1:9" s="24" customFormat="1" ht="21" customHeight="1">
      <c r="A8" s="44"/>
      <c r="B8" s="44">
        <v>80101</v>
      </c>
      <c r="C8" s="44"/>
      <c r="D8" s="42" t="s">
        <v>52</v>
      </c>
      <c r="E8" s="110">
        <f>SUM(E9:E12)</f>
        <v>4782</v>
      </c>
      <c r="F8" s="110">
        <f>SUM(F9:F12)</f>
        <v>1750</v>
      </c>
      <c r="G8" s="110">
        <f>SUM(G9:G12)</f>
        <v>6532</v>
      </c>
      <c r="H8" s="110">
        <f>SUM(H9:H12)</f>
        <v>0</v>
      </c>
      <c r="I8" s="110">
        <f>SUM(I9:I12)</f>
        <v>6532</v>
      </c>
    </row>
    <row r="9" spans="1:9" s="24" customFormat="1" ht="21" customHeight="1">
      <c r="A9" s="44"/>
      <c r="B9" s="44"/>
      <c r="C9" s="75">
        <v>4010</v>
      </c>
      <c r="D9" s="38" t="s">
        <v>86</v>
      </c>
      <c r="E9" s="110">
        <v>4050</v>
      </c>
      <c r="F9" s="110"/>
      <c r="G9" s="110">
        <f>SUM(E9:F9)</f>
        <v>4050</v>
      </c>
      <c r="H9" s="110"/>
      <c r="I9" s="110">
        <f>SUM(G9:H9)</f>
        <v>4050</v>
      </c>
    </row>
    <row r="10" spans="1:9" s="24" customFormat="1" ht="21" customHeight="1">
      <c r="A10" s="44"/>
      <c r="B10" s="44"/>
      <c r="C10" s="75">
        <v>4110</v>
      </c>
      <c r="D10" s="38" t="s">
        <v>88</v>
      </c>
      <c r="E10" s="110">
        <v>630</v>
      </c>
      <c r="F10" s="110"/>
      <c r="G10" s="110">
        <f>SUM(E10:F10)</f>
        <v>630</v>
      </c>
      <c r="H10" s="110"/>
      <c r="I10" s="110">
        <f>SUM(G10:H10)</f>
        <v>630</v>
      </c>
    </row>
    <row r="11" spans="1:9" s="24" customFormat="1" ht="21" customHeight="1">
      <c r="A11" s="44"/>
      <c r="B11" s="44"/>
      <c r="C11" s="75">
        <v>4120</v>
      </c>
      <c r="D11" s="38" t="s">
        <v>89</v>
      </c>
      <c r="E11" s="110">
        <v>102</v>
      </c>
      <c r="F11" s="110"/>
      <c r="G11" s="110">
        <f>SUM(E11:F11)</f>
        <v>102</v>
      </c>
      <c r="H11" s="110"/>
      <c r="I11" s="110">
        <f>SUM(G11:H11)</f>
        <v>102</v>
      </c>
    </row>
    <row r="12" spans="1:9" s="24" customFormat="1" ht="21" customHeight="1">
      <c r="A12" s="44"/>
      <c r="B12" s="44"/>
      <c r="C12" s="75">
        <v>4210</v>
      </c>
      <c r="D12" s="38" t="s">
        <v>74</v>
      </c>
      <c r="E12" s="110">
        <v>0</v>
      </c>
      <c r="F12" s="110">
        <f>300+350+200+500+400</f>
        <v>1750</v>
      </c>
      <c r="G12" s="110">
        <f>SUM(E12:F12)</f>
        <v>1750</v>
      </c>
      <c r="H12" s="110"/>
      <c r="I12" s="110">
        <f>SUM(G12:H12)</f>
        <v>1750</v>
      </c>
    </row>
    <row r="13" spans="1:9" s="24" customFormat="1" ht="21" customHeight="1">
      <c r="A13" s="44"/>
      <c r="B13" s="44">
        <v>80110</v>
      </c>
      <c r="C13" s="75"/>
      <c r="D13" s="38" t="s">
        <v>53</v>
      </c>
      <c r="E13" s="110">
        <f>SUM(E14)</f>
        <v>0</v>
      </c>
      <c r="F13" s="110">
        <f>SUM(F14)</f>
        <v>600</v>
      </c>
      <c r="G13" s="110">
        <f>SUM(G14)</f>
        <v>600</v>
      </c>
      <c r="H13" s="110">
        <f>SUM(H14)</f>
        <v>0</v>
      </c>
      <c r="I13" s="110">
        <f>SUM(I14)</f>
        <v>600</v>
      </c>
    </row>
    <row r="14" spans="1:9" s="24" customFormat="1" ht="21" customHeight="1">
      <c r="A14" s="44"/>
      <c r="B14" s="44"/>
      <c r="C14" s="75">
        <v>4210</v>
      </c>
      <c r="D14" s="38" t="s">
        <v>74</v>
      </c>
      <c r="E14" s="110">
        <v>0</v>
      </c>
      <c r="F14" s="110">
        <f>300+300</f>
        <v>600</v>
      </c>
      <c r="G14" s="110">
        <f>SUM(E14:F14)</f>
        <v>600</v>
      </c>
      <c r="H14" s="110"/>
      <c r="I14" s="110">
        <f>SUM(G14:H14)</f>
        <v>600</v>
      </c>
    </row>
    <row r="15" spans="1:9" s="6" customFormat="1" ht="24">
      <c r="A15" s="31" t="s">
        <v>64</v>
      </c>
      <c r="B15" s="4"/>
      <c r="C15" s="4"/>
      <c r="D15" s="18" t="s">
        <v>70</v>
      </c>
      <c r="E15" s="16">
        <f>E18+E16+E20</f>
        <v>60000</v>
      </c>
      <c r="F15" s="16">
        <f>F18+F16+F20</f>
        <v>7400</v>
      </c>
      <c r="G15" s="16">
        <f>G18+G16+G20</f>
        <v>67400</v>
      </c>
      <c r="H15" s="16">
        <f>H18+H16+H20</f>
        <v>0</v>
      </c>
      <c r="I15" s="16">
        <f>I18+I16+I20</f>
        <v>67400</v>
      </c>
    </row>
    <row r="16" spans="1:9" s="6" customFormat="1" ht="25.5" customHeight="1">
      <c r="A16" s="31"/>
      <c r="B16" s="71" t="s">
        <v>140</v>
      </c>
      <c r="C16" s="75"/>
      <c r="D16" s="38" t="s">
        <v>154</v>
      </c>
      <c r="E16" s="157">
        <f>SUM(E17)</f>
        <v>0</v>
      </c>
      <c r="F16" s="157">
        <f>SUM(F17)</f>
        <v>4000</v>
      </c>
      <c r="G16" s="157">
        <f>SUM(G17)</f>
        <v>4000</v>
      </c>
      <c r="H16" s="157">
        <f>SUM(H17)</f>
        <v>0</v>
      </c>
      <c r="I16" s="157">
        <f>SUM(I17)</f>
        <v>4000</v>
      </c>
    </row>
    <row r="17" spans="1:9" s="6" customFormat="1" ht="21.75" customHeight="1">
      <c r="A17" s="31"/>
      <c r="B17" s="71"/>
      <c r="C17" s="75">
        <v>2480</v>
      </c>
      <c r="D17" s="11" t="s">
        <v>141</v>
      </c>
      <c r="E17" s="157">
        <v>0</v>
      </c>
      <c r="F17" s="157">
        <f>1000+3000</f>
        <v>4000</v>
      </c>
      <c r="G17" s="157">
        <f>SUM(E17:F17)</f>
        <v>4000</v>
      </c>
      <c r="H17" s="157"/>
      <c r="I17" s="157">
        <f>SUM(G17:H17)</f>
        <v>4000</v>
      </c>
    </row>
    <row r="18" spans="1:9" s="24" customFormat="1" ht="21" customHeight="1">
      <c r="A18" s="63"/>
      <c r="B18" s="63" t="s">
        <v>65</v>
      </c>
      <c r="C18" s="41"/>
      <c r="D18" s="11" t="s">
        <v>66</v>
      </c>
      <c r="E18" s="74">
        <f>E19</f>
        <v>60000</v>
      </c>
      <c r="F18" s="74">
        <f>F19</f>
        <v>0</v>
      </c>
      <c r="G18" s="74">
        <f>G19</f>
        <v>60000</v>
      </c>
      <c r="H18" s="74">
        <f>H19</f>
        <v>0</v>
      </c>
      <c r="I18" s="74">
        <f>I19</f>
        <v>60000</v>
      </c>
    </row>
    <row r="19" spans="1:9" s="24" customFormat="1" ht="22.5">
      <c r="A19" s="63"/>
      <c r="B19" s="63"/>
      <c r="C19" s="41">
        <v>2480</v>
      </c>
      <c r="D19" s="11" t="s">
        <v>141</v>
      </c>
      <c r="E19" s="74">
        <v>60000</v>
      </c>
      <c r="F19" s="74"/>
      <c r="G19" s="74">
        <f>SUM(E19:F19)</f>
        <v>60000</v>
      </c>
      <c r="H19" s="74"/>
      <c r="I19" s="74">
        <f>SUM(G19:H19)</f>
        <v>60000</v>
      </c>
    </row>
    <row r="20" spans="1:9" s="24" customFormat="1" ht="25.5" customHeight="1">
      <c r="A20" s="63"/>
      <c r="B20" s="57" t="s">
        <v>142</v>
      </c>
      <c r="C20" s="75"/>
      <c r="D20" s="38" t="s">
        <v>143</v>
      </c>
      <c r="E20" s="74">
        <f>SUM(E21)</f>
        <v>0</v>
      </c>
      <c r="F20" s="74">
        <f>SUM(F21)</f>
        <v>3400</v>
      </c>
      <c r="G20" s="74">
        <f>SUM(G21)</f>
        <v>3400</v>
      </c>
      <c r="H20" s="74">
        <f>SUM(H21)</f>
        <v>0</v>
      </c>
      <c r="I20" s="74">
        <f>SUM(I21)</f>
        <v>3400</v>
      </c>
    </row>
    <row r="21" spans="1:9" s="24" customFormat="1" ht="24" customHeight="1">
      <c r="A21" s="63"/>
      <c r="B21" s="63"/>
      <c r="C21" s="41">
        <v>2480</v>
      </c>
      <c r="D21" s="11" t="s">
        <v>141</v>
      </c>
      <c r="E21" s="74">
        <v>0</v>
      </c>
      <c r="F21" s="74">
        <f>900+1600+900</f>
        <v>3400</v>
      </c>
      <c r="G21" s="74">
        <f>SUM(E21:F21)</f>
        <v>3400</v>
      </c>
      <c r="H21" s="74"/>
      <c r="I21" s="74">
        <f>SUM(G21:H21)</f>
        <v>3400</v>
      </c>
    </row>
    <row r="22" spans="1:9" s="113" customFormat="1" ht="24" customHeight="1">
      <c r="A22" s="176">
        <v>926</v>
      </c>
      <c r="B22" s="176"/>
      <c r="C22" s="174"/>
      <c r="D22" s="185" t="s">
        <v>67</v>
      </c>
      <c r="E22" s="179">
        <f>SUM(E23)</f>
        <v>0</v>
      </c>
      <c r="F22" s="179">
        <f>SUM(F23)</f>
        <v>2800</v>
      </c>
      <c r="G22" s="179">
        <f>SUM(G23)</f>
        <v>2800</v>
      </c>
      <c r="H22" s="179">
        <f>SUM(H23)</f>
        <v>0</v>
      </c>
      <c r="I22" s="179">
        <f>SUM(I23)</f>
        <v>2800</v>
      </c>
    </row>
    <row r="23" spans="1:9" s="24" customFormat="1" ht="24" customHeight="1">
      <c r="A23" s="63"/>
      <c r="B23" s="63">
        <v>92605</v>
      </c>
      <c r="C23" s="41"/>
      <c r="D23" s="11" t="s">
        <v>68</v>
      </c>
      <c r="E23" s="74">
        <f>SUM(E25)</f>
        <v>0</v>
      </c>
      <c r="F23" s="74">
        <f>SUM(F25)</f>
        <v>2800</v>
      </c>
      <c r="G23" s="74">
        <f>SUM(G24:G25)</f>
        <v>2800</v>
      </c>
      <c r="H23" s="74">
        <f>SUM(H24:H25)</f>
        <v>0</v>
      </c>
      <c r="I23" s="74">
        <f>SUM(I24:I25)</f>
        <v>2800</v>
      </c>
    </row>
    <row r="24" spans="1:9" s="24" customFormat="1" ht="24" customHeight="1">
      <c r="A24" s="63"/>
      <c r="B24" s="63"/>
      <c r="C24" s="41">
        <v>3020</v>
      </c>
      <c r="D24" s="38" t="s">
        <v>197</v>
      </c>
      <c r="E24" s="74"/>
      <c r="F24" s="74"/>
      <c r="G24" s="74">
        <v>0</v>
      </c>
      <c r="H24" s="74">
        <v>1500</v>
      </c>
      <c r="I24" s="74">
        <f>SUM(G24:H24)</f>
        <v>1500</v>
      </c>
    </row>
    <row r="25" spans="1:9" s="24" customFormat="1" ht="24" customHeight="1">
      <c r="A25" s="63"/>
      <c r="B25" s="63"/>
      <c r="C25" s="41">
        <v>4210</v>
      </c>
      <c r="D25" s="38" t="s">
        <v>74</v>
      </c>
      <c r="E25" s="74">
        <v>0</v>
      </c>
      <c r="F25" s="74">
        <f>1500+700+600</f>
        <v>2800</v>
      </c>
      <c r="G25" s="74">
        <f>SUM(E25:F25)</f>
        <v>2800</v>
      </c>
      <c r="H25" s="74">
        <v>-1500</v>
      </c>
      <c r="I25" s="74">
        <f>SUM(G25:H25)</f>
        <v>1300</v>
      </c>
    </row>
    <row r="26" spans="1:9" s="6" customFormat="1" ht="21" customHeight="1">
      <c r="A26" s="17"/>
      <c r="B26" s="17"/>
      <c r="C26" s="17"/>
      <c r="D26" s="4" t="s">
        <v>69</v>
      </c>
      <c r="E26" s="16">
        <f>SUM(E7,E15,E22)</f>
        <v>64782</v>
      </c>
      <c r="F26" s="16">
        <f>SUM(F7,F15,F22)</f>
        <v>12550</v>
      </c>
      <c r="G26" s="16">
        <f>SUM(G7,G15,G22)</f>
        <v>77332</v>
      </c>
      <c r="H26" s="16">
        <f>SUM(H7,H15,H22)</f>
        <v>0</v>
      </c>
      <c r="I26" s="16">
        <f>SUM(I7,I15,I22)</f>
        <v>77332</v>
      </c>
    </row>
    <row r="29" spans="5:9" ht="12.75">
      <c r="E29" s="25"/>
      <c r="F29" s="25"/>
      <c r="G29" s="25"/>
      <c r="H29" s="25"/>
      <c r="I29" s="25"/>
    </row>
    <row r="30" spans="5:9" ht="12.75">
      <c r="E30" s="25"/>
      <c r="F30" s="25"/>
      <c r="G30" s="25"/>
      <c r="H30" s="25"/>
      <c r="I30" s="25"/>
    </row>
    <row r="31" spans="5:9" ht="12.75">
      <c r="E31" s="39"/>
      <c r="F31" s="39"/>
      <c r="G31" s="39"/>
      <c r="H31" s="39"/>
      <c r="I31" s="39"/>
    </row>
    <row r="32" spans="5:9" ht="12.75">
      <c r="E32" s="25"/>
      <c r="F32" s="25"/>
      <c r="G32" s="25"/>
      <c r="H32" s="25"/>
      <c r="I32" s="25"/>
    </row>
    <row r="33" spans="5:9" ht="12.75">
      <c r="E33" s="25"/>
      <c r="F33" s="25"/>
      <c r="G33" s="25"/>
      <c r="H33" s="25"/>
      <c r="I33" s="25"/>
    </row>
  </sheetData>
  <sheetProtection/>
  <mergeCells count="1">
    <mergeCell ref="A5:I5"/>
  </mergeCells>
  <printOptions horizontalCentered="1"/>
  <pageMargins left="0.57" right="0.7874015748031497" top="0.7874015748031497" bottom="0.7874015748031497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3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7.125" style="0" customWidth="1"/>
    <col min="2" max="2" width="6.375" style="0" customWidth="1"/>
    <col min="3" max="3" width="5.00390625" style="0" customWidth="1"/>
    <col min="4" max="4" width="32.875" style="0" customWidth="1"/>
    <col min="5" max="5" width="14.875" style="0" hidden="1" customWidth="1"/>
    <col min="6" max="6" width="13.25390625" style="0" hidden="1" customWidth="1"/>
    <col min="7" max="7" width="13.875" style="0" customWidth="1"/>
    <col min="8" max="9" width="13.00390625" style="0" customWidth="1"/>
  </cols>
  <sheetData>
    <row r="1" spans="1:9" s="6" customFormat="1" ht="15" customHeight="1">
      <c r="A1" s="186"/>
      <c r="B1" s="187"/>
      <c r="C1" s="187" t="s">
        <v>214</v>
      </c>
      <c r="D1" s="186" t="s">
        <v>258</v>
      </c>
      <c r="E1" s="47" t="s">
        <v>344</v>
      </c>
      <c r="F1" s="47"/>
      <c r="G1" s="47" t="s">
        <v>358</v>
      </c>
      <c r="H1" s="47"/>
      <c r="I1" s="47"/>
    </row>
    <row r="2" spans="1:9" s="6" customFormat="1" ht="15" customHeight="1">
      <c r="A2" s="186"/>
      <c r="B2" s="187"/>
      <c r="C2" s="187"/>
      <c r="D2" s="186"/>
      <c r="E2" s="47" t="s">
        <v>340</v>
      </c>
      <c r="F2" s="47"/>
      <c r="G2" s="47" t="s">
        <v>359</v>
      </c>
      <c r="H2" s="47"/>
      <c r="I2" s="47"/>
    </row>
    <row r="3" spans="1:9" s="6" customFormat="1" ht="15" customHeight="1">
      <c r="A3" s="186"/>
      <c r="B3" s="187"/>
      <c r="C3" s="187"/>
      <c r="D3" s="186"/>
      <c r="E3" s="47" t="s">
        <v>330</v>
      </c>
      <c r="F3" s="47"/>
      <c r="G3" s="47" t="s">
        <v>344</v>
      </c>
      <c r="H3" s="47"/>
      <c r="I3" s="47"/>
    </row>
    <row r="4" spans="1:9" s="6" customFormat="1" ht="15" customHeight="1">
      <c r="A4" s="186"/>
      <c r="B4" s="187"/>
      <c r="C4" s="187"/>
      <c r="D4" s="186"/>
      <c r="E4" s="47" t="s">
        <v>308</v>
      </c>
      <c r="F4" s="47"/>
      <c r="G4" s="47" t="s">
        <v>345</v>
      </c>
      <c r="H4" s="47"/>
      <c r="I4" s="47"/>
    </row>
    <row r="5" spans="1:9" ht="18">
      <c r="A5" s="188" t="s">
        <v>331</v>
      </c>
      <c r="B5" s="189"/>
      <c r="C5" s="189"/>
      <c r="D5" s="190"/>
      <c r="E5" s="191"/>
      <c r="F5" s="191"/>
      <c r="G5" s="191"/>
      <c r="H5" s="191"/>
      <c r="I5" s="191"/>
    </row>
    <row r="6" spans="1:9" s="24" customFormat="1" ht="25.5" customHeight="1">
      <c r="A6" s="116" t="s">
        <v>0</v>
      </c>
      <c r="B6" s="116" t="s">
        <v>1</v>
      </c>
      <c r="C6" s="116" t="s">
        <v>2</v>
      </c>
      <c r="D6" s="116" t="s">
        <v>3</v>
      </c>
      <c r="E6" s="192" t="s">
        <v>145</v>
      </c>
      <c r="F6" s="192" t="s">
        <v>300</v>
      </c>
      <c r="G6" s="192" t="s">
        <v>146</v>
      </c>
      <c r="H6" s="192" t="s">
        <v>300</v>
      </c>
      <c r="I6" s="192" t="s">
        <v>306</v>
      </c>
    </row>
    <row r="7" spans="1:9" s="7" customFormat="1" ht="21" customHeight="1">
      <c r="A7" s="117" t="s">
        <v>76</v>
      </c>
      <c r="B7" s="118"/>
      <c r="C7" s="118"/>
      <c r="D7" s="119" t="s">
        <v>77</v>
      </c>
      <c r="E7" s="120">
        <f>E8</f>
        <v>129925</v>
      </c>
      <c r="F7" s="120">
        <f>F8</f>
        <v>0</v>
      </c>
      <c r="G7" s="120">
        <f>G8</f>
        <v>129925</v>
      </c>
      <c r="H7" s="120">
        <f>H8</f>
        <v>0</v>
      </c>
      <c r="I7" s="120">
        <f>I8</f>
        <v>129925</v>
      </c>
    </row>
    <row r="8" spans="1:9" s="7" customFormat="1" ht="21" customHeight="1">
      <c r="A8" s="121"/>
      <c r="B8" s="121" t="s">
        <v>78</v>
      </c>
      <c r="C8" s="122"/>
      <c r="D8" s="123" t="s">
        <v>79</v>
      </c>
      <c r="E8" s="120">
        <f>SUM(E9,E22,E31,E35)</f>
        <v>129925</v>
      </c>
      <c r="F8" s="120">
        <f>SUM(F9,F22,F31,F35)</f>
        <v>0</v>
      </c>
      <c r="G8" s="120">
        <f>SUM(G9,G22,G31,G35)</f>
        <v>129925</v>
      </c>
      <c r="H8" s="120">
        <f>SUM(H9,H22,H31,H35)</f>
        <v>0</v>
      </c>
      <c r="I8" s="120">
        <f>SUM(I9,I22,I31,I35)</f>
        <v>129925</v>
      </c>
    </row>
    <row r="9" spans="1:9" s="24" customFormat="1" ht="21" customHeight="1">
      <c r="A9" s="124"/>
      <c r="B9" s="125"/>
      <c r="C9" s="124">
        <v>4210</v>
      </c>
      <c r="D9" s="126" t="s">
        <v>74</v>
      </c>
      <c r="E9" s="127">
        <f>SUM(E10:E21)</f>
        <v>57205</v>
      </c>
      <c r="F9" s="127">
        <f>SUM(F10:F21)</f>
        <v>0</v>
      </c>
      <c r="G9" s="127">
        <f>SUM(G10:G21)</f>
        <v>57205</v>
      </c>
      <c r="H9" s="127">
        <f>SUM(H10:H21)</f>
        <v>0</v>
      </c>
      <c r="I9" s="127">
        <f>SUM(I10:I21)</f>
        <v>57205</v>
      </c>
    </row>
    <row r="10" spans="1:9" s="24" customFormat="1" ht="21" customHeight="1">
      <c r="A10" s="128"/>
      <c r="B10" s="128"/>
      <c r="C10" s="124"/>
      <c r="D10" s="129" t="s">
        <v>259</v>
      </c>
      <c r="E10" s="130">
        <v>5480</v>
      </c>
      <c r="F10" s="130"/>
      <c r="G10" s="130">
        <f>SUM(E10:F10)</f>
        <v>5480</v>
      </c>
      <c r="H10" s="130"/>
      <c r="I10" s="130">
        <f>SUM(G10:H10)</f>
        <v>5480</v>
      </c>
    </row>
    <row r="11" spans="1:9" s="24" customFormat="1" ht="21" customHeight="1">
      <c r="A11" s="128"/>
      <c r="B11" s="128"/>
      <c r="C11" s="124"/>
      <c r="D11" s="129" t="s">
        <v>260</v>
      </c>
      <c r="E11" s="130">
        <v>1000</v>
      </c>
      <c r="F11" s="130"/>
      <c r="G11" s="130">
        <f aca="true" t="shared" si="0" ref="G11:G21">SUM(E11:F11)</f>
        <v>1000</v>
      </c>
      <c r="H11" s="130"/>
      <c r="I11" s="130">
        <f aca="true" t="shared" si="1" ref="I11:I21">SUM(G11:H11)</f>
        <v>1000</v>
      </c>
    </row>
    <row r="12" spans="1:9" s="24" customFormat="1" ht="21" customHeight="1">
      <c r="A12" s="128"/>
      <c r="B12" s="128"/>
      <c r="C12" s="124"/>
      <c r="D12" s="129" t="s">
        <v>261</v>
      </c>
      <c r="E12" s="130">
        <v>1100</v>
      </c>
      <c r="F12" s="130"/>
      <c r="G12" s="130">
        <f t="shared" si="0"/>
        <v>1100</v>
      </c>
      <c r="H12" s="130"/>
      <c r="I12" s="130">
        <f t="shared" si="1"/>
        <v>1100</v>
      </c>
    </row>
    <row r="13" spans="1:9" s="24" customFormat="1" ht="21" customHeight="1">
      <c r="A13" s="128"/>
      <c r="B13" s="128"/>
      <c r="C13" s="124"/>
      <c r="D13" s="129" t="s">
        <v>262</v>
      </c>
      <c r="E13" s="130">
        <v>6240</v>
      </c>
      <c r="F13" s="130"/>
      <c r="G13" s="130">
        <f t="shared" si="0"/>
        <v>6240</v>
      </c>
      <c r="H13" s="130"/>
      <c r="I13" s="130">
        <f t="shared" si="1"/>
        <v>6240</v>
      </c>
    </row>
    <row r="14" spans="1:9" s="24" customFormat="1" ht="21" customHeight="1">
      <c r="A14" s="128"/>
      <c r="B14" s="128"/>
      <c r="C14" s="124"/>
      <c r="D14" s="129" t="s">
        <v>263</v>
      </c>
      <c r="E14" s="130">
        <v>6000</v>
      </c>
      <c r="F14" s="130"/>
      <c r="G14" s="130">
        <f t="shared" si="0"/>
        <v>6000</v>
      </c>
      <c r="H14" s="130"/>
      <c r="I14" s="130">
        <f t="shared" si="1"/>
        <v>6000</v>
      </c>
    </row>
    <row r="15" spans="1:9" s="24" customFormat="1" ht="21" customHeight="1">
      <c r="A15" s="128"/>
      <c r="B15" s="128"/>
      <c r="C15" s="124"/>
      <c r="D15" s="129" t="s">
        <v>264</v>
      </c>
      <c r="E15" s="130">
        <v>1000</v>
      </c>
      <c r="F15" s="130"/>
      <c r="G15" s="130">
        <f t="shared" si="0"/>
        <v>1000</v>
      </c>
      <c r="H15" s="130"/>
      <c r="I15" s="130">
        <f t="shared" si="1"/>
        <v>1000</v>
      </c>
    </row>
    <row r="16" spans="1:9" s="24" customFormat="1" ht="21" customHeight="1">
      <c r="A16" s="128"/>
      <c r="B16" s="128"/>
      <c r="C16" s="124"/>
      <c r="D16" s="129" t="s">
        <v>265</v>
      </c>
      <c r="E16" s="130">
        <v>8745</v>
      </c>
      <c r="F16" s="130"/>
      <c r="G16" s="130">
        <f t="shared" si="0"/>
        <v>8745</v>
      </c>
      <c r="H16" s="130"/>
      <c r="I16" s="130">
        <f t="shared" si="1"/>
        <v>8745</v>
      </c>
    </row>
    <row r="17" spans="1:9" s="24" customFormat="1" ht="21" customHeight="1">
      <c r="A17" s="128"/>
      <c r="B17" s="128"/>
      <c r="C17" s="124"/>
      <c r="D17" s="129" t="s">
        <v>266</v>
      </c>
      <c r="E17" s="130">
        <v>5180</v>
      </c>
      <c r="F17" s="130"/>
      <c r="G17" s="130">
        <f t="shared" si="0"/>
        <v>5180</v>
      </c>
      <c r="H17" s="130"/>
      <c r="I17" s="130">
        <f t="shared" si="1"/>
        <v>5180</v>
      </c>
    </row>
    <row r="18" spans="1:9" s="24" customFormat="1" ht="21" customHeight="1">
      <c r="A18" s="128"/>
      <c r="B18" s="128"/>
      <c r="C18" s="124"/>
      <c r="D18" s="129" t="s">
        <v>267</v>
      </c>
      <c r="E18" s="130">
        <v>14500</v>
      </c>
      <c r="F18" s="130"/>
      <c r="G18" s="130">
        <f t="shared" si="0"/>
        <v>14500</v>
      </c>
      <c r="H18" s="130"/>
      <c r="I18" s="130">
        <f t="shared" si="1"/>
        <v>14500</v>
      </c>
    </row>
    <row r="19" spans="1:9" s="24" customFormat="1" ht="21" customHeight="1">
      <c r="A19" s="128"/>
      <c r="B19" s="128"/>
      <c r="C19" s="124"/>
      <c r="D19" s="129" t="s">
        <v>268</v>
      </c>
      <c r="E19" s="130">
        <v>1440</v>
      </c>
      <c r="F19" s="130"/>
      <c r="G19" s="130">
        <f t="shared" si="0"/>
        <v>1440</v>
      </c>
      <c r="H19" s="130"/>
      <c r="I19" s="130">
        <f t="shared" si="1"/>
        <v>1440</v>
      </c>
    </row>
    <row r="20" spans="1:9" s="24" customFormat="1" ht="21" customHeight="1">
      <c r="A20" s="128"/>
      <c r="B20" s="128"/>
      <c r="C20" s="124"/>
      <c r="D20" s="129" t="s">
        <v>269</v>
      </c>
      <c r="E20" s="130">
        <v>600</v>
      </c>
      <c r="F20" s="130"/>
      <c r="G20" s="130">
        <f t="shared" si="0"/>
        <v>600</v>
      </c>
      <c r="H20" s="130"/>
      <c r="I20" s="130">
        <f t="shared" si="1"/>
        <v>600</v>
      </c>
    </row>
    <row r="21" spans="1:9" s="24" customFormat="1" ht="21" customHeight="1">
      <c r="A21" s="128"/>
      <c r="B21" s="128"/>
      <c r="C21" s="124"/>
      <c r="D21" s="129" t="s">
        <v>276</v>
      </c>
      <c r="E21" s="130">
        <v>5920</v>
      </c>
      <c r="F21" s="130"/>
      <c r="G21" s="130">
        <f t="shared" si="0"/>
        <v>5920</v>
      </c>
      <c r="H21" s="130"/>
      <c r="I21" s="130">
        <f t="shared" si="1"/>
        <v>5920</v>
      </c>
    </row>
    <row r="22" spans="1:9" s="24" customFormat="1" ht="21" customHeight="1">
      <c r="A22" s="124"/>
      <c r="B22" s="125"/>
      <c r="C22" s="124">
        <v>4300</v>
      </c>
      <c r="D22" s="126" t="s">
        <v>81</v>
      </c>
      <c r="E22" s="127">
        <f>SUM(E23:E30)</f>
        <v>21800</v>
      </c>
      <c r="F22" s="127">
        <f>SUM(F23:F30)</f>
        <v>0</v>
      </c>
      <c r="G22" s="127">
        <f>SUM(G23:G30)</f>
        <v>21800</v>
      </c>
      <c r="H22" s="127">
        <f>SUM(H23:H30)</f>
        <v>0</v>
      </c>
      <c r="I22" s="127">
        <f>SUM(I23:I30)</f>
        <v>21800</v>
      </c>
    </row>
    <row r="23" spans="1:9" s="24" customFormat="1" ht="21" customHeight="1">
      <c r="A23" s="128"/>
      <c r="B23" s="128"/>
      <c r="C23" s="128"/>
      <c r="D23" s="129" t="s">
        <v>270</v>
      </c>
      <c r="E23" s="130">
        <v>6000</v>
      </c>
      <c r="F23" s="130"/>
      <c r="G23" s="130">
        <f>SUM(E23:F23)</f>
        <v>6000</v>
      </c>
      <c r="H23" s="130"/>
      <c r="I23" s="130">
        <f>SUM(G23:H23)</f>
        <v>6000</v>
      </c>
    </row>
    <row r="24" spans="1:9" s="96" customFormat="1" ht="21" customHeight="1">
      <c r="A24" s="131"/>
      <c r="B24" s="131"/>
      <c r="C24" s="131"/>
      <c r="D24" s="132" t="s">
        <v>260</v>
      </c>
      <c r="E24" s="130">
        <v>7000</v>
      </c>
      <c r="F24" s="130"/>
      <c r="G24" s="130">
        <f aca="true" t="shared" si="2" ref="G24:G30">SUM(E24:F24)</f>
        <v>7000</v>
      </c>
      <c r="H24" s="130"/>
      <c r="I24" s="130">
        <f aca="true" t="shared" si="3" ref="I24:I30">SUM(G24:H24)</f>
        <v>7000</v>
      </c>
    </row>
    <row r="25" spans="1:9" s="96" customFormat="1" ht="21" customHeight="1">
      <c r="A25" s="131"/>
      <c r="B25" s="131"/>
      <c r="C25" s="131"/>
      <c r="D25" s="132" t="s">
        <v>272</v>
      </c>
      <c r="E25" s="130">
        <v>3000</v>
      </c>
      <c r="F25" s="130"/>
      <c r="G25" s="130">
        <f t="shared" si="2"/>
        <v>3000</v>
      </c>
      <c r="H25" s="130"/>
      <c r="I25" s="130">
        <f t="shared" si="3"/>
        <v>3000</v>
      </c>
    </row>
    <row r="26" spans="1:9" s="96" customFormat="1" ht="21" customHeight="1">
      <c r="A26" s="131"/>
      <c r="B26" s="131"/>
      <c r="C26" s="131"/>
      <c r="D26" s="132" t="s">
        <v>261</v>
      </c>
      <c r="E26" s="130">
        <v>1000</v>
      </c>
      <c r="F26" s="130"/>
      <c r="G26" s="130">
        <f t="shared" si="2"/>
        <v>1000</v>
      </c>
      <c r="H26" s="130"/>
      <c r="I26" s="130">
        <f t="shared" si="3"/>
        <v>1000</v>
      </c>
    </row>
    <row r="27" spans="1:9" s="96" customFormat="1" ht="21" customHeight="1">
      <c r="A27" s="131"/>
      <c r="B27" s="131"/>
      <c r="C27" s="131"/>
      <c r="D27" s="132" t="s">
        <v>273</v>
      </c>
      <c r="E27" s="130">
        <v>2000</v>
      </c>
      <c r="F27" s="130"/>
      <c r="G27" s="130">
        <f t="shared" si="2"/>
        <v>2000</v>
      </c>
      <c r="H27" s="130"/>
      <c r="I27" s="130">
        <f t="shared" si="3"/>
        <v>2000</v>
      </c>
    </row>
    <row r="28" spans="1:9" s="96" customFormat="1" ht="21" customHeight="1">
      <c r="A28" s="131"/>
      <c r="B28" s="131"/>
      <c r="C28" s="131"/>
      <c r="D28" s="132" t="s">
        <v>268</v>
      </c>
      <c r="E28" s="130">
        <v>300</v>
      </c>
      <c r="F28" s="130"/>
      <c r="G28" s="130">
        <f t="shared" si="2"/>
        <v>300</v>
      </c>
      <c r="H28" s="130"/>
      <c r="I28" s="130">
        <f t="shared" si="3"/>
        <v>300</v>
      </c>
    </row>
    <row r="29" spans="1:9" s="96" customFormat="1" ht="21" customHeight="1">
      <c r="A29" s="131"/>
      <c r="B29" s="131"/>
      <c r="C29" s="131"/>
      <c r="D29" s="132" t="s">
        <v>274</v>
      </c>
      <c r="E29" s="130">
        <v>1500</v>
      </c>
      <c r="F29" s="130"/>
      <c r="G29" s="130">
        <f t="shared" si="2"/>
        <v>1500</v>
      </c>
      <c r="H29" s="130"/>
      <c r="I29" s="130">
        <f t="shared" si="3"/>
        <v>1500</v>
      </c>
    </row>
    <row r="30" spans="1:9" s="96" customFormat="1" ht="21" customHeight="1">
      <c r="A30" s="131"/>
      <c r="B30" s="131"/>
      <c r="C30" s="131"/>
      <c r="D30" s="132" t="s">
        <v>275</v>
      </c>
      <c r="E30" s="130">
        <v>1000</v>
      </c>
      <c r="F30" s="130"/>
      <c r="G30" s="130">
        <f t="shared" si="2"/>
        <v>1000</v>
      </c>
      <c r="H30" s="130"/>
      <c r="I30" s="130">
        <f t="shared" si="3"/>
        <v>1000</v>
      </c>
    </row>
    <row r="31" spans="1:9" s="24" customFormat="1" ht="21" customHeight="1">
      <c r="A31" s="124"/>
      <c r="B31" s="125"/>
      <c r="C31" s="124">
        <v>6050</v>
      </c>
      <c r="D31" s="126" t="s">
        <v>75</v>
      </c>
      <c r="E31" s="127">
        <f>SUM(E32:E34)</f>
        <v>35920</v>
      </c>
      <c r="F31" s="127">
        <f>SUM(F32:F34)</f>
        <v>0</v>
      </c>
      <c r="G31" s="127">
        <f>SUM(G32:G34)</f>
        <v>35920</v>
      </c>
      <c r="H31" s="127">
        <f>SUM(H32:H34)</f>
        <v>0</v>
      </c>
      <c r="I31" s="127">
        <f>SUM(I32:I34)</f>
        <v>35920</v>
      </c>
    </row>
    <row r="32" spans="1:9" s="24" customFormat="1" ht="21" customHeight="1">
      <c r="A32" s="128"/>
      <c r="B32" s="128"/>
      <c r="C32" s="128"/>
      <c r="D32" s="129" t="s">
        <v>270</v>
      </c>
      <c r="E32" s="130">
        <v>14120</v>
      </c>
      <c r="F32" s="130"/>
      <c r="G32" s="130">
        <f>SUM(E32:F32)</f>
        <v>14120</v>
      </c>
      <c r="H32" s="130"/>
      <c r="I32" s="130">
        <f>SUM(G32:H32)</f>
        <v>14120</v>
      </c>
    </row>
    <row r="33" spans="1:9" s="24" customFormat="1" ht="21" customHeight="1">
      <c r="A33" s="128"/>
      <c r="B33" s="128"/>
      <c r="C33" s="128"/>
      <c r="D33" s="129" t="s">
        <v>273</v>
      </c>
      <c r="E33" s="130">
        <v>3800</v>
      </c>
      <c r="F33" s="130"/>
      <c r="G33" s="130">
        <f>SUM(E33:F33)</f>
        <v>3800</v>
      </c>
      <c r="H33" s="130"/>
      <c r="I33" s="130">
        <f>SUM(G33:H33)</f>
        <v>3800</v>
      </c>
    </row>
    <row r="34" spans="1:9" s="24" customFormat="1" ht="21" customHeight="1">
      <c r="A34" s="128"/>
      <c r="B34" s="128"/>
      <c r="C34" s="128"/>
      <c r="D34" s="129" t="s">
        <v>267</v>
      </c>
      <c r="E34" s="130">
        <v>18000</v>
      </c>
      <c r="F34" s="130"/>
      <c r="G34" s="130">
        <f>SUM(E34:F34)</f>
        <v>18000</v>
      </c>
      <c r="H34" s="130"/>
      <c r="I34" s="130">
        <f>SUM(G34:H34)</f>
        <v>18000</v>
      </c>
    </row>
    <row r="35" spans="1:9" s="24" customFormat="1" ht="21" customHeight="1">
      <c r="A35" s="124"/>
      <c r="B35" s="125"/>
      <c r="C35" s="124">
        <v>6060</v>
      </c>
      <c r="D35" s="126" t="s">
        <v>98</v>
      </c>
      <c r="E35" s="127">
        <f>SUM(E36:E36)</f>
        <v>15000</v>
      </c>
      <c r="F35" s="127">
        <f>SUM(F36:F36)</f>
        <v>0</v>
      </c>
      <c r="G35" s="127">
        <f>SUM(G36:G36)</f>
        <v>15000</v>
      </c>
      <c r="H35" s="127">
        <f>SUM(H36:H36)</f>
        <v>0</v>
      </c>
      <c r="I35" s="127">
        <f>SUM(I36:I36)</f>
        <v>15000</v>
      </c>
    </row>
    <row r="36" spans="1:9" s="24" customFormat="1" ht="21" customHeight="1">
      <c r="A36" s="128"/>
      <c r="B36" s="128"/>
      <c r="C36" s="124"/>
      <c r="D36" s="129" t="s">
        <v>261</v>
      </c>
      <c r="E36" s="130">
        <v>15000</v>
      </c>
      <c r="F36" s="130"/>
      <c r="G36" s="130">
        <f>SUM(E36:F36)</f>
        <v>15000</v>
      </c>
      <c r="H36" s="130"/>
      <c r="I36" s="130">
        <f>SUM(G36:H36)</f>
        <v>15000</v>
      </c>
    </row>
    <row r="37" spans="1:9" s="7" customFormat="1" ht="21" customHeight="1">
      <c r="A37" s="117">
        <v>700</v>
      </c>
      <c r="B37" s="118"/>
      <c r="C37" s="118"/>
      <c r="D37" s="119" t="s">
        <v>9</v>
      </c>
      <c r="E37" s="120">
        <f>SUM(E38)</f>
        <v>580</v>
      </c>
      <c r="F37" s="120">
        <f>SUM(F38)</f>
        <v>0</v>
      </c>
      <c r="G37" s="120">
        <f>SUM(G38)</f>
        <v>580</v>
      </c>
      <c r="H37" s="120">
        <f>SUM(H38)</f>
        <v>0</v>
      </c>
      <c r="I37" s="120">
        <f>SUM(I38)</f>
        <v>580</v>
      </c>
    </row>
    <row r="38" spans="1:9" s="7" customFormat="1" ht="21" customHeight="1">
      <c r="A38" s="122"/>
      <c r="B38" s="121">
        <v>70095</v>
      </c>
      <c r="C38" s="122"/>
      <c r="D38" s="123" t="s">
        <v>6</v>
      </c>
      <c r="E38" s="120">
        <f>SUM(E39,E41)</f>
        <v>580</v>
      </c>
      <c r="F38" s="120">
        <f>SUM(F39,F41)</f>
        <v>0</v>
      </c>
      <c r="G38" s="120">
        <f>SUM(G39,G41)</f>
        <v>580</v>
      </c>
      <c r="H38" s="120">
        <f>SUM(H39,H41)</f>
        <v>0</v>
      </c>
      <c r="I38" s="120">
        <f>SUM(I39,I41)</f>
        <v>580</v>
      </c>
    </row>
    <row r="39" spans="1:9" s="24" customFormat="1" ht="21" customHeight="1">
      <c r="A39" s="125"/>
      <c r="B39" s="124"/>
      <c r="C39" s="124">
        <v>4260</v>
      </c>
      <c r="D39" s="126" t="s">
        <v>97</v>
      </c>
      <c r="E39" s="127">
        <f>SUM(E40)</f>
        <v>500</v>
      </c>
      <c r="F39" s="127">
        <f>SUM(F40)</f>
        <v>0</v>
      </c>
      <c r="G39" s="127">
        <f>SUM(G40)</f>
        <v>500</v>
      </c>
      <c r="H39" s="127">
        <f>SUM(H40)</f>
        <v>0</v>
      </c>
      <c r="I39" s="127">
        <f>SUM(I40)</f>
        <v>500</v>
      </c>
    </row>
    <row r="40" spans="1:9" s="24" customFormat="1" ht="21" customHeight="1">
      <c r="A40" s="128"/>
      <c r="B40" s="128"/>
      <c r="C40" s="128"/>
      <c r="D40" s="129" t="s">
        <v>274</v>
      </c>
      <c r="E40" s="130">
        <v>500</v>
      </c>
      <c r="F40" s="130"/>
      <c r="G40" s="130">
        <f>SUM(E40:F40)</f>
        <v>500</v>
      </c>
      <c r="H40" s="130"/>
      <c r="I40" s="130">
        <f>SUM(G40:H40)</f>
        <v>500</v>
      </c>
    </row>
    <row r="41" spans="1:9" s="24" customFormat="1" ht="21" customHeight="1">
      <c r="A41" s="133"/>
      <c r="B41" s="133"/>
      <c r="C41" s="124">
        <v>4300</v>
      </c>
      <c r="D41" s="126" t="s">
        <v>81</v>
      </c>
      <c r="E41" s="127">
        <f>SUM(E42)</f>
        <v>80</v>
      </c>
      <c r="F41" s="127">
        <f>SUM(F42)</f>
        <v>0</v>
      </c>
      <c r="G41" s="127">
        <f>SUM(G42)</f>
        <v>80</v>
      </c>
      <c r="H41" s="127">
        <f>SUM(H42)</f>
        <v>0</v>
      </c>
      <c r="I41" s="127">
        <f>SUM(I42)</f>
        <v>80</v>
      </c>
    </row>
    <row r="42" spans="1:9" s="24" customFormat="1" ht="21" customHeight="1">
      <c r="A42" s="128"/>
      <c r="B42" s="128"/>
      <c r="C42" s="128"/>
      <c r="D42" s="129" t="s">
        <v>274</v>
      </c>
      <c r="E42" s="130">
        <v>80</v>
      </c>
      <c r="F42" s="130"/>
      <c r="G42" s="130">
        <f>SUM(E42:F42)</f>
        <v>80</v>
      </c>
      <c r="H42" s="130"/>
      <c r="I42" s="130">
        <f>SUM(G42:H42)</f>
        <v>80</v>
      </c>
    </row>
    <row r="43" spans="1:9" s="7" customFormat="1" ht="21" customHeight="1">
      <c r="A43" s="117">
        <v>710</v>
      </c>
      <c r="B43" s="118"/>
      <c r="C43" s="118"/>
      <c r="D43" s="119" t="s">
        <v>82</v>
      </c>
      <c r="E43" s="120">
        <f>SUM(E44)</f>
        <v>500</v>
      </c>
      <c r="F43" s="120">
        <f>SUM(F44)</f>
        <v>0</v>
      </c>
      <c r="G43" s="120">
        <f>SUM(G44)</f>
        <v>500</v>
      </c>
      <c r="H43" s="120">
        <f>SUM(H44)</f>
        <v>0</v>
      </c>
      <c r="I43" s="120">
        <f>SUM(I44)</f>
        <v>500</v>
      </c>
    </row>
    <row r="44" spans="1:9" s="7" customFormat="1" ht="21" customHeight="1">
      <c r="A44" s="122"/>
      <c r="B44" s="121">
        <v>71035</v>
      </c>
      <c r="C44" s="122"/>
      <c r="D44" s="123" t="s">
        <v>14</v>
      </c>
      <c r="E44" s="120">
        <f>SUM(E45,)</f>
        <v>500</v>
      </c>
      <c r="F44" s="120">
        <f>SUM(F45,)</f>
        <v>0</v>
      </c>
      <c r="G44" s="120">
        <f>SUM(G45,)</f>
        <v>500</v>
      </c>
      <c r="H44" s="120">
        <f>SUM(H45,)</f>
        <v>0</v>
      </c>
      <c r="I44" s="120">
        <f>SUM(I45,)</f>
        <v>500</v>
      </c>
    </row>
    <row r="45" spans="1:9" s="24" customFormat="1" ht="21" customHeight="1">
      <c r="A45" s="125"/>
      <c r="B45" s="124"/>
      <c r="C45" s="124">
        <v>4260</v>
      </c>
      <c r="D45" s="126" t="s">
        <v>97</v>
      </c>
      <c r="E45" s="127">
        <f>SUM(E46:E47)</f>
        <v>500</v>
      </c>
      <c r="F45" s="127">
        <f>SUM(F46:F47)</f>
        <v>0</v>
      </c>
      <c r="G45" s="127">
        <f>SUM(G46:G47)</f>
        <v>500</v>
      </c>
      <c r="H45" s="127">
        <f>SUM(H46:H47)</f>
        <v>0</v>
      </c>
      <c r="I45" s="127">
        <f>SUM(I46:I47)</f>
        <v>500</v>
      </c>
    </row>
    <row r="46" spans="1:9" s="26" customFormat="1" ht="21" customHeight="1">
      <c r="A46" s="134"/>
      <c r="B46" s="135"/>
      <c r="C46" s="135"/>
      <c r="D46" s="129" t="s">
        <v>270</v>
      </c>
      <c r="E46" s="130">
        <v>200</v>
      </c>
      <c r="F46" s="130"/>
      <c r="G46" s="130">
        <f>SUM(E46:F46)</f>
        <v>200</v>
      </c>
      <c r="H46" s="130"/>
      <c r="I46" s="130">
        <f>SUM(G46:H46)</f>
        <v>200</v>
      </c>
    </row>
    <row r="47" spans="1:9" s="26" customFormat="1" ht="21" customHeight="1">
      <c r="A47" s="128"/>
      <c r="B47" s="128"/>
      <c r="C47" s="128"/>
      <c r="D47" s="129" t="s">
        <v>274</v>
      </c>
      <c r="E47" s="130">
        <v>300</v>
      </c>
      <c r="F47" s="130"/>
      <c r="G47" s="130">
        <f>SUM(E47:F47)</f>
        <v>300</v>
      </c>
      <c r="H47" s="130"/>
      <c r="I47" s="130">
        <f>SUM(G47:H47)</f>
        <v>300</v>
      </c>
    </row>
    <row r="48" spans="1:9" s="7" customFormat="1" ht="21" customHeight="1">
      <c r="A48" s="117" t="s">
        <v>15</v>
      </c>
      <c r="B48" s="118"/>
      <c r="C48" s="118"/>
      <c r="D48" s="119" t="s">
        <v>85</v>
      </c>
      <c r="E48" s="120">
        <f>SUM(E49)</f>
        <v>28480</v>
      </c>
      <c r="F48" s="120">
        <f>SUM(F49)</f>
        <v>0</v>
      </c>
      <c r="G48" s="120">
        <f>SUM(G49)</f>
        <v>28480</v>
      </c>
      <c r="H48" s="120">
        <f>SUM(H49)</f>
        <v>0</v>
      </c>
      <c r="I48" s="120">
        <f>SUM(I49)</f>
        <v>28480</v>
      </c>
    </row>
    <row r="49" spans="1:9" s="7" customFormat="1" ht="21" customHeight="1">
      <c r="A49" s="122"/>
      <c r="B49" s="121">
        <v>75095</v>
      </c>
      <c r="C49" s="122"/>
      <c r="D49" s="123" t="s">
        <v>6</v>
      </c>
      <c r="E49" s="120">
        <f>SUM(E50,E71)</f>
        <v>28480</v>
      </c>
      <c r="F49" s="120">
        <f>SUM(F50,F71)</f>
        <v>0</v>
      </c>
      <c r="G49" s="120">
        <f>SUM(G50,G71)</f>
        <v>28480</v>
      </c>
      <c r="H49" s="120">
        <f>SUM(H50,H71)</f>
        <v>0</v>
      </c>
      <c r="I49" s="120">
        <f>SUM(I50,I71)</f>
        <v>28480</v>
      </c>
    </row>
    <row r="50" spans="1:9" s="24" customFormat="1" ht="21" customHeight="1">
      <c r="A50" s="124"/>
      <c r="B50" s="124"/>
      <c r="C50" s="124" t="s">
        <v>277</v>
      </c>
      <c r="D50" s="126" t="s">
        <v>94</v>
      </c>
      <c r="E50" s="127">
        <f>SUM(E51:E70)</f>
        <v>22980</v>
      </c>
      <c r="F50" s="127">
        <f>SUM(F51:F70)</f>
        <v>0</v>
      </c>
      <c r="G50" s="127">
        <f>SUM(G51:G70)</f>
        <v>22980</v>
      </c>
      <c r="H50" s="127">
        <f>SUM(H51:H70)</f>
        <v>0</v>
      </c>
      <c r="I50" s="127">
        <f>SUM(I51:I70)</f>
        <v>22980</v>
      </c>
    </row>
    <row r="51" spans="1:9" s="24" customFormat="1" ht="21" customHeight="1">
      <c r="A51" s="128"/>
      <c r="B51" s="128"/>
      <c r="C51" s="128"/>
      <c r="D51" s="129" t="s">
        <v>270</v>
      </c>
      <c r="E51" s="130">
        <v>80</v>
      </c>
      <c r="F51" s="130"/>
      <c r="G51" s="130">
        <f>SUM(E51:F51)</f>
        <v>80</v>
      </c>
      <c r="H51" s="130"/>
      <c r="I51" s="130">
        <f>SUM(G51:H51)</f>
        <v>80</v>
      </c>
    </row>
    <row r="52" spans="1:9" s="24" customFormat="1" ht="21" customHeight="1">
      <c r="A52" s="128"/>
      <c r="B52" s="128"/>
      <c r="C52" s="128"/>
      <c r="D52" s="129" t="s">
        <v>271</v>
      </c>
      <c r="E52" s="130">
        <v>1800</v>
      </c>
      <c r="F52" s="130"/>
      <c r="G52" s="130">
        <f aca="true" t="shared" si="4" ref="G52:G70">SUM(E52:F52)</f>
        <v>1800</v>
      </c>
      <c r="H52" s="130"/>
      <c r="I52" s="130">
        <f aca="true" t="shared" si="5" ref="I52:I70">SUM(G52:H52)</f>
        <v>1800</v>
      </c>
    </row>
    <row r="53" spans="1:9" s="24" customFormat="1" ht="21" customHeight="1">
      <c r="A53" s="128"/>
      <c r="B53" s="128"/>
      <c r="C53" s="128"/>
      <c r="D53" s="129" t="s">
        <v>259</v>
      </c>
      <c r="E53" s="130">
        <v>880</v>
      </c>
      <c r="F53" s="130"/>
      <c r="G53" s="130">
        <f t="shared" si="4"/>
        <v>880</v>
      </c>
      <c r="H53" s="130"/>
      <c r="I53" s="130">
        <f t="shared" si="5"/>
        <v>880</v>
      </c>
    </row>
    <row r="54" spans="1:9" s="24" customFormat="1" ht="21" customHeight="1">
      <c r="A54" s="128"/>
      <c r="B54" s="128"/>
      <c r="C54" s="128"/>
      <c r="D54" s="129" t="s">
        <v>260</v>
      </c>
      <c r="E54" s="130">
        <v>1500</v>
      </c>
      <c r="F54" s="130"/>
      <c r="G54" s="130">
        <f t="shared" si="4"/>
        <v>1500</v>
      </c>
      <c r="H54" s="130"/>
      <c r="I54" s="130">
        <f t="shared" si="5"/>
        <v>1500</v>
      </c>
    </row>
    <row r="55" spans="1:9" s="24" customFormat="1" ht="21" customHeight="1">
      <c r="A55" s="128"/>
      <c r="B55" s="128"/>
      <c r="C55" s="128"/>
      <c r="D55" s="129" t="s">
        <v>272</v>
      </c>
      <c r="E55" s="130">
        <v>1800</v>
      </c>
      <c r="F55" s="130"/>
      <c r="G55" s="130">
        <f t="shared" si="4"/>
        <v>1800</v>
      </c>
      <c r="H55" s="130"/>
      <c r="I55" s="130">
        <f t="shared" si="5"/>
        <v>1800</v>
      </c>
    </row>
    <row r="56" spans="1:9" s="24" customFormat="1" ht="21" customHeight="1">
      <c r="A56" s="128"/>
      <c r="B56" s="128"/>
      <c r="C56" s="128"/>
      <c r="D56" s="129" t="s">
        <v>261</v>
      </c>
      <c r="E56" s="130">
        <v>80</v>
      </c>
      <c r="F56" s="130"/>
      <c r="G56" s="130">
        <f t="shared" si="4"/>
        <v>80</v>
      </c>
      <c r="H56" s="130"/>
      <c r="I56" s="130">
        <f t="shared" si="5"/>
        <v>80</v>
      </c>
    </row>
    <row r="57" spans="1:9" s="24" customFormat="1" ht="21" customHeight="1">
      <c r="A57" s="128"/>
      <c r="B57" s="128"/>
      <c r="C57" s="128"/>
      <c r="D57" s="129" t="s">
        <v>262</v>
      </c>
      <c r="E57" s="130">
        <v>2100</v>
      </c>
      <c r="F57" s="130"/>
      <c r="G57" s="130">
        <f t="shared" si="4"/>
        <v>2100</v>
      </c>
      <c r="H57" s="130"/>
      <c r="I57" s="130">
        <f t="shared" si="5"/>
        <v>2100</v>
      </c>
    </row>
    <row r="58" spans="1:9" s="24" customFormat="1" ht="21" customHeight="1">
      <c r="A58" s="128"/>
      <c r="B58" s="128"/>
      <c r="C58" s="128"/>
      <c r="D58" s="129" t="s">
        <v>263</v>
      </c>
      <c r="E58" s="130">
        <v>1180</v>
      </c>
      <c r="F58" s="130"/>
      <c r="G58" s="130">
        <f t="shared" si="4"/>
        <v>1180</v>
      </c>
      <c r="H58" s="130"/>
      <c r="I58" s="130">
        <f t="shared" si="5"/>
        <v>1180</v>
      </c>
    </row>
    <row r="59" spans="1:9" s="24" customFormat="1" ht="21" customHeight="1">
      <c r="A59" s="128"/>
      <c r="B59" s="128"/>
      <c r="C59" s="128"/>
      <c r="D59" s="129" t="s">
        <v>273</v>
      </c>
      <c r="E59" s="130">
        <v>2100</v>
      </c>
      <c r="F59" s="130"/>
      <c r="G59" s="130">
        <f t="shared" si="4"/>
        <v>2100</v>
      </c>
      <c r="H59" s="130"/>
      <c r="I59" s="130">
        <f t="shared" si="5"/>
        <v>2100</v>
      </c>
    </row>
    <row r="60" spans="1:9" s="24" customFormat="1" ht="21" customHeight="1">
      <c r="A60" s="128"/>
      <c r="B60" s="128"/>
      <c r="C60" s="128"/>
      <c r="D60" s="129" t="s">
        <v>264</v>
      </c>
      <c r="E60" s="130">
        <v>530</v>
      </c>
      <c r="F60" s="130"/>
      <c r="G60" s="130">
        <f t="shared" si="4"/>
        <v>530</v>
      </c>
      <c r="H60" s="130"/>
      <c r="I60" s="130">
        <f t="shared" si="5"/>
        <v>530</v>
      </c>
    </row>
    <row r="61" spans="1:9" s="24" customFormat="1" ht="21" customHeight="1">
      <c r="A61" s="128"/>
      <c r="B61" s="128"/>
      <c r="C61" s="128"/>
      <c r="D61" s="129" t="s">
        <v>265</v>
      </c>
      <c r="E61" s="130">
        <v>2730</v>
      </c>
      <c r="F61" s="130"/>
      <c r="G61" s="130">
        <f t="shared" si="4"/>
        <v>2730</v>
      </c>
      <c r="H61" s="130"/>
      <c r="I61" s="130">
        <f t="shared" si="5"/>
        <v>2730</v>
      </c>
    </row>
    <row r="62" spans="1:9" s="24" customFormat="1" ht="21" customHeight="1">
      <c r="A62" s="128"/>
      <c r="B62" s="128"/>
      <c r="C62" s="128"/>
      <c r="D62" s="129" t="s">
        <v>266</v>
      </c>
      <c r="E62" s="130">
        <v>80</v>
      </c>
      <c r="F62" s="130"/>
      <c r="G62" s="130">
        <f t="shared" si="4"/>
        <v>80</v>
      </c>
      <c r="H62" s="130"/>
      <c r="I62" s="130">
        <f t="shared" si="5"/>
        <v>80</v>
      </c>
    </row>
    <row r="63" spans="1:9" s="24" customFormat="1" ht="21" customHeight="1">
      <c r="A63" s="128"/>
      <c r="B63" s="128"/>
      <c r="C63" s="128"/>
      <c r="D63" s="129" t="s">
        <v>267</v>
      </c>
      <c r="E63" s="130">
        <v>1400</v>
      </c>
      <c r="F63" s="130"/>
      <c r="G63" s="130">
        <f t="shared" si="4"/>
        <v>1400</v>
      </c>
      <c r="H63" s="130"/>
      <c r="I63" s="130">
        <f t="shared" si="5"/>
        <v>1400</v>
      </c>
    </row>
    <row r="64" spans="1:9" s="24" customFormat="1" ht="21" customHeight="1">
      <c r="A64" s="128"/>
      <c r="B64" s="128"/>
      <c r="C64" s="128"/>
      <c r="D64" s="129" t="s">
        <v>268</v>
      </c>
      <c r="E64" s="130">
        <v>580</v>
      </c>
      <c r="F64" s="130"/>
      <c r="G64" s="130">
        <f t="shared" si="4"/>
        <v>580</v>
      </c>
      <c r="H64" s="130"/>
      <c r="I64" s="130">
        <f t="shared" si="5"/>
        <v>580</v>
      </c>
    </row>
    <row r="65" spans="1:9" s="24" customFormat="1" ht="21" customHeight="1">
      <c r="A65" s="128"/>
      <c r="B65" s="128"/>
      <c r="C65" s="128"/>
      <c r="D65" s="129" t="s">
        <v>274</v>
      </c>
      <c r="E65" s="130">
        <v>80</v>
      </c>
      <c r="F65" s="130"/>
      <c r="G65" s="130">
        <f t="shared" si="4"/>
        <v>80</v>
      </c>
      <c r="H65" s="130"/>
      <c r="I65" s="130">
        <f t="shared" si="5"/>
        <v>80</v>
      </c>
    </row>
    <row r="66" spans="1:9" s="24" customFormat="1" ht="21" customHeight="1">
      <c r="A66" s="128"/>
      <c r="B66" s="128"/>
      <c r="C66" s="128"/>
      <c r="D66" s="129" t="s">
        <v>275</v>
      </c>
      <c r="E66" s="130">
        <v>2080</v>
      </c>
      <c r="F66" s="130"/>
      <c r="G66" s="130">
        <f t="shared" si="4"/>
        <v>2080</v>
      </c>
      <c r="H66" s="130"/>
      <c r="I66" s="130">
        <f t="shared" si="5"/>
        <v>2080</v>
      </c>
    </row>
    <row r="67" spans="1:9" s="24" customFormat="1" ht="21" customHeight="1">
      <c r="A67" s="128"/>
      <c r="B67" s="128"/>
      <c r="C67" s="128"/>
      <c r="D67" s="129" t="s">
        <v>278</v>
      </c>
      <c r="E67" s="130">
        <v>3080</v>
      </c>
      <c r="F67" s="130"/>
      <c r="G67" s="130">
        <f t="shared" si="4"/>
        <v>3080</v>
      </c>
      <c r="H67" s="130"/>
      <c r="I67" s="130">
        <f t="shared" si="5"/>
        <v>3080</v>
      </c>
    </row>
    <row r="68" spans="1:9" s="24" customFormat="1" ht="21" customHeight="1">
      <c r="A68" s="128"/>
      <c r="B68" s="128"/>
      <c r="C68" s="128"/>
      <c r="D68" s="129" t="s">
        <v>269</v>
      </c>
      <c r="E68" s="130">
        <v>80</v>
      </c>
      <c r="F68" s="130"/>
      <c r="G68" s="130">
        <f t="shared" si="4"/>
        <v>80</v>
      </c>
      <c r="H68" s="130"/>
      <c r="I68" s="130">
        <f t="shared" si="5"/>
        <v>80</v>
      </c>
    </row>
    <row r="69" spans="1:9" s="24" customFormat="1" ht="21" customHeight="1">
      <c r="A69" s="128"/>
      <c r="B69" s="128"/>
      <c r="C69" s="128"/>
      <c r="D69" s="129" t="s">
        <v>276</v>
      </c>
      <c r="E69" s="130">
        <v>240</v>
      </c>
      <c r="F69" s="130"/>
      <c r="G69" s="130">
        <f t="shared" si="4"/>
        <v>240</v>
      </c>
      <c r="H69" s="130"/>
      <c r="I69" s="130">
        <f t="shared" si="5"/>
        <v>240</v>
      </c>
    </row>
    <row r="70" spans="1:9" s="24" customFormat="1" ht="21" customHeight="1">
      <c r="A70" s="128"/>
      <c r="B70" s="128"/>
      <c r="C70" s="128"/>
      <c r="D70" s="129" t="s">
        <v>279</v>
      </c>
      <c r="E70" s="130">
        <v>580</v>
      </c>
      <c r="F70" s="130"/>
      <c r="G70" s="130">
        <f t="shared" si="4"/>
        <v>580</v>
      </c>
      <c r="H70" s="130"/>
      <c r="I70" s="130">
        <f t="shared" si="5"/>
        <v>580</v>
      </c>
    </row>
    <row r="71" spans="1:9" s="24" customFormat="1" ht="21" customHeight="1">
      <c r="A71" s="124"/>
      <c r="B71" s="124"/>
      <c r="C71" s="124">
        <v>4300</v>
      </c>
      <c r="D71" s="126" t="s">
        <v>81</v>
      </c>
      <c r="E71" s="127">
        <f>SUM(E72:E75)</f>
        <v>5500</v>
      </c>
      <c r="F71" s="127">
        <f>SUM(F72:F75)</f>
        <v>0</v>
      </c>
      <c r="G71" s="127">
        <f>SUM(G72:G75)</f>
        <v>5500</v>
      </c>
      <c r="H71" s="127">
        <f>SUM(H72:H75)</f>
        <v>0</v>
      </c>
      <c r="I71" s="127">
        <f>SUM(I72:I75)</f>
        <v>5500</v>
      </c>
    </row>
    <row r="72" spans="1:9" s="24" customFormat="1" ht="21" customHeight="1">
      <c r="A72" s="116"/>
      <c r="B72" s="136"/>
      <c r="C72" s="128"/>
      <c r="D72" s="129" t="s">
        <v>273</v>
      </c>
      <c r="E72" s="130">
        <v>1500</v>
      </c>
      <c r="F72" s="130"/>
      <c r="G72" s="130">
        <f>SUM(E72:F72)</f>
        <v>1500</v>
      </c>
      <c r="H72" s="130"/>
      <c r="I72" s="130">
        <f>SUM(G72:H72)</f>
        <v>1500</v>
      </c>
    </row>
    <row r="73" spans="1:9" s="24" customFormat="1" ht="21" customHeight="1">
      <c r="A73" s="128"/>
      <c r="B73" s="128"/>
      <c r="C73" s="128"/>
      <c r="D73" s="129" t="s">
        <v>264</v>
      </c>
      <c r="E73" s="130">
        <v>2000</v>
      </c>
      <c r="F73" s="130"/>
      <c r="G73" s="130">
        <f>SUM(E73:F73)</f>
        <v>2000</v>
      </c>
      <c r="H73" s="130"/>
      <c r="I73" s="130">
        <f>SUM(G73:H73)</f>
        <v>2000</v>
      </c>
    </row>
    <row r="74" spans="1:9" s="24" customFormat="1" ht="21" customHeight="1">
      <c r="A74" s="128"/>
      <c r="B74" s="128"/>
      <c r="C74" s="128"/>
      <c r="D74" s="129" t="s">
        <v>265</v>
      </c>
      <c r="E74" s="130">
        <v>800</v>
      </c>
      <c r="F74" s="130"/>
      <c r="G74" s="130">
        <f>SUM(E74:F74)</f>
        <v>800</v>
      </c>
      <c r="H74" s="130"/>
      <c r="I74" s="130">
        <f>SUM(G74:H74)</f>
        <v>800</v>
      </c>
    </row>
    <row r="75" spans="1:9" s="24" customFormat="1" ht="21" customHeight="1">
      <c r="A75" s="116"/>
      <c r="B75" s="136"/>
      <c r="C75" s="128"/>
      <c r="D75" s="129" t="s">
        <v>267</v>
      </c>
      <c r="E75" s="130">
        <v>1200</v>
      </c>
      <c r="F75" s="130"/>
      <c r="G75" s="130">
        <f>SUM(E75:F75)</f>
        <v>1200</v>
      </c>
      <c r="H75" s="130"/>
      <c r="I75" s="130">
        <f>SUM(G75:H75)</f>
        <v>1200</v>
      </c>
    </row>
    <row r="76" spans="1:9" s="7" customFormat="1" ht="24">
      <c r="A76" s="117">
        <v>754</v>
      </c>
      <c r="B76" s="118"/>
      <c r="C76" s="118"/>
      <c r="D76" s="119" t="s">
        <v>23</v>
      </c>
      <c r="E76" s="120">
        <f aca="true" t="shared" si="6" ref="E76:I77">SUM(E77)</f>
        <v>9000</v>
      </c>
      <c r="F76" s="120">
        <f t="shared" si="6"/>
        <v>0</v>
      </c>
      <c r="G76" s="120">
        <f t="shared" si="6"/>
        <v>9000</v>
      </c>
      <c r="H76" s="120">
        <f t="shared" si="6"/>
        <v>0</v>
      </c>
      <c r="I76" s="120">
        <f t="shared" si="6"/>
        <v>9000</v>
      </c>
    </row>
    <row r="77" spans="1:9" s="7" customFormat="1" ht="21" customHeight="1">
      <c r="A77" s="121"/>
      <c r="B77" s="121">
        <v>75412</v>
      </c>
      <c r="C77" s="122"/>
      <c r="D77" s="123" t="s">
        <v>102</v>
      </c>
      <c r="E77" s="120">
        <f t="shared" si="6"/>
        <v>9000</v>
      </c>
      <c r="F77" s="120">
        <f t="shared" si="6"/>
        <v>0</v>
      </c>
      <c r="G77" s="120">
        <f t="shared" si="6"/>
        <v>9000</v>
      </c>
      <c r="H77" s="120">
        <f t="shared" si="6"/>
        <v>0</v>
      </c>
      <c r="I77" s="120">
        <f t="shared" si="6"/>
        <v>9000</v>
      </c>
    </row>
    <row r="78" spans="1:9" s="24" customFormat="1" ht="21" customHeight="1">
      <c r="A78" s="124"/>
      <c r="B78" s="125"/>
      <c r="C78" s="124">
        <v>4210</v>
      </c>
      <c r="D78" s="126" t="s">
        <v>280</v>
      </c>
      <c r="E78" s="127">
        <f>SUM(E79:E84)</f>
        <v>9000</v>
      </c>
      <c r="F78" s="127">
        <f>SUM(F79:F84)</f>
        <v>0</v>
      </c>
      <c r="G78" s="127">
        <f>SUM(G79:G84)</f>
        <v>9000</v>
      </c>
      <c r="H78" s="127">
        <f>SUM(H79:H84)</f>
        <v>0</v>
      </c>
      <c r="I78" s="127">
        <f>SUM(I79:I84)</f>
        <v>9000</v>
      </c>
    </row>
    <row r="79" spans="1:9" s="24" customFormat="1" ht="21" customHeight="1">
      <c r="A79" s="128"/>
      <c r="B79" s="128"/>
      <c r="C79" s="128"/>
      <c r="D79" s="129" t="s">
        <v>272</v>
      </c>
      <c r="E79" s="130">
        <v>3500</v>
      </c>
      <c r="F79" s="130"/>
      <c r="G79" s="130">
        <f aca="true" t="shared" si="7" ref="G79:G84">SUM(E79:F79)</f>
        <v>3500</v>
      </c>
      <c r="H79" s="130"/>
      <c r="I79" s="130">
        <f aca="true" t="shared" si="8" ref="I79:I84">SUM(G79:H79)</f>
        <v>3500</v>
      </c>
    </row>
    <row r="80" spans="1:9" s="24" customFormat="1" ht="21" customHeight="1">
      <c r="A80" s="128"/>
      <c r="B80" s="128"/>
      <c r="C80" s="128"/>
      <c r="D80" s="129" t="s">
        <v>261</v>
      </c>
      <c r="E80" s="130">
        <v>500</v>
      </c>
      <c r="F80" s="130"/>
      <c r="G80" s="130">
        <f t="shared" si="7"/>
        <v>500</v>
      </c>
      <c r="H80" s="130"/>
      <c r="I80" s="130">
        <f t="shared" si="8"/>
        <v>500</v>
      </c>
    </row>
    <row r="81" spans="1:9" s="24" customFormat="1" ht="21" customHeight="1">
      <c r="A81" s="128"/>
      <c r="B81" s="128"/>
      <c r="C81" s="128"/>
      <c r="D81" s="129" t="s">
        <v>264</v>
      </c>
      <c r="E81" s="130">
        <v>500</v>
      </c>
      <c r="F81" s="130"/>
      <c r="G81" s="130">
        <f t="shared" si="7"/>
        <v>500</v>
      </c>
      <c r="H81" s="130"/>
      <c r="I81" s="130">
        <f t="shared" si="8"/>
        <v>500</v>
      </c>
    </row>
    <row r="82" spans="1:9" s="24" customFormat="1" ht="21" customHeight="1">
      <c r="A82" s="128"/>
      <c r="B82" s="128"/>
      <c r="C82" s="128"/>
      <c r="D82" s="129" t="s">
        <v>265</v>
      </c>
      <c r="E82" s="130">
        <v>500</v>
      </c>
      <c r="F82" s="130"/>
      <c r="G82" s="130">
        <f t="shared" si="7"/>
        <v>500</v>
      </c>
      <c r="H82" s="130"/>
      <c r="I82" s="130">
        <f t="shared" si="8"/>
        <v>500</v>
      </c>
    </row>
    <row r="83" spans="1:9" s="24" customFormat="1" ht="21" customHeight="1">
      <c r="A83" s="128"/>
      <c r="B83" s="128"/>
      <c r="C83" s="128"/>
      <c r="D83" s="129" t="s">
        <v>274</v>
      </c>
      <c r="E83" s="130">
        <v>1000</v>
      </c>
      <c r="F83" s="130"/>
      <c r="G83" s="130">
        <f t="shared" si="7"/>
        <v>1000</v>
      </c>
      <c r="H83" s="130"/>
      <c r="I83" s="130">
        <f t="shared" si="8"/>
        <v>1000</v>
      </c>
    </row>
    <row r="84" spans="1:9" s="24" customFormat="1" ht="21" customHeight="1">
      <c r="A84" s="128"/>
      <c r="B84" s="128"/>
      <c r="C84" s="128"/>
      <c r="D84" s="129" t="s">
        <v>267</v>
      </c>
      <c r="E84" s="130">
        <v>3000</v>
      </c>
      <c r="F84" s="130"/>
      <c r="G84" s="130">
        <f t="shared" si="7"/>
        <v>3000</v>
      </c>
      <c r="H84" s="130"/>
      <c r="I84" s="130">
        <f t="shared" si="8"/>
        <v>3000</v>
      </c>
    </row>
    <row r="85" spans="1:9" s="7" customFormat="1" ht="21" customHeight="1">
      <c r="A85" s="117" t="s">
        <v>111</v>
      </c>
      <c r="B85" s="118"/>
      <c r="C85" s="118"/>
      <c r="D85" s="119" t="s">
        <v>112</v>
      </c>
      <c r="E85" s="120">
        <f>SUM(E86,E100,E109,E112)</f>
        <v>10500</v>
      </c>
      <c r="F85" s="120">
        <f>SUM(F86,F100,F109,F112)</f>
        <v>-500</v>
      </c>
      <c r="G85" s="120">
        <f>SUM(G86,G100,G109,G112)</f>
        <v>10000</v>
      </c>
      <c r="H85" s="120">
        <f>SUM(H86,H100,H109,H112)</f>
        <v>0</v>
      </c>
      <c r="I85" s="120">
        <f>SUM(I86,I100,I109,I112)</f>
        <v>10000</v>
      </c>
    </row>
    <row r="86" spans="1:9" s="24" customFormat="1" ht="21" customHeight="1">
      <c r="A86" s="124"/>
      <c r="B86" s="124" t="s">
        <v>113</v>
      </c>
      <c r="C86" s="125"/>
      <c r="D86" s="126" t="s">
        <v>52</v>
      </c>
      <c r="E86" s="127">
        <f>SUM(E87,E96)</f>
        <v>7300</v>
      </c>
      <c r="F86" s="127">
        <f>SUM(F87,F96)</f>
        <v>0</v>
      </c>
      <c r="G86" s="127">
        <f>SUM(G87,G96)</f>
        <v>7300</v>
      </c>
      <c r="H86" s="127">
        <f>SUM(H87,H96)</f>
        <v>0</v>
      </c>
      <c r="I86" s="127">
        <f>SUM(I87,I96)</f>
        <v>7300</v>
      </c>
    </row>
    <row r="87" spans="1:9" s="24" customFormat="1" ht="21" customHeight="1">
      <c r="A87" s="136"/>
      <c r="B87" s="136"/>
      <c r="C87" s="124">
        <v>4210</v>
      </c>
      <c r="D87" s="126" t="s">
        <v>280</v>
      </c>
      <c r="E87" s="127">
        <f>SUM(E88:E95)</f>
        <v>6800</v>
      </c>
      <c r="F87" s="127">
        <f>SUM(F88:F95)</f>
        <v>-1700</v>
      </c>
      <c r="G87" s="127">
        <f>SUM(G88:G95)</f>
        <v>5100</v>
      </c>
      <c r="H87" s="127">
        <f>SUM(H88:H95)</f>
        <v>0</v>
      </c>
      <c r="I87" s="127">
        <f>SUM(I88:I95)</f>
        <v>5100</v>
      </c>
    </row>
    <row r="88" spans="1:9" s="24" customFormat="1" ht="21" customHeight="1">
      <c r="A88" s="136"/>
      <c r="B88" s="136"/>
      <c r="C88" s="124"/>
      <c r="D88" s="129" t="s">
        <v>271</v>
      </c>
      <c r="E88" s="127">
        <v>200</v>
      </c>
      <c r="F88" s="127"/>
      <c r="G88" s="127">
        <f>SUM(E88:F88)</f>
        <v>200</v>
      </c>
      <c r="H88" s="127"/>
      <c r="I88" s="127">
        <f>SUM(G88:H88)</f>
        <v>200</v>
      </c>
    </row>
    <row r="89" spans="1:9" s="24" customFormat="1" ht="21" customHeight="1">
      <c r="A89" s="136"/>
      <c r="B89" s="136"/>
      <c r="C89" s="124"/>
      <c r="D89" s="129" t="s">
        <v>259</v>
      </c>
      <c r="E89" s="127">
        <v>200</v>
      </c>
      <c r="F89" s="127"/>
      <c r="G89" s="127">
        <f aca="true" t="shared" si="9" ref="G89:G95">SUM(E89:F89)</f>
        <v>200</v>
      </c>
      <c r="H89" s="127"/>
      <c r="I89" s="127">
        <f aca="true" t="shared" si="10" ref="I89:I95">SUM(G89:H89)</f>
        <v>200</v>
      </c>
    </row>
    <row r="90" spans="1:9" s="24" customFormat="1" ht="21" customHeight="1">
      <c r="A90" s="136"/>
      <c r="B90" s="136"/>
      <c r="C90" s="128"/>
      <c r="D90" s="129" t="s">
        <v>260</v>
      </c>
      <c r="E90" s="130">
        <v>2000</v>
      </c>
      <c r="F90" s="130"/>
      <c r="G90" s="127">
        <f t="shared" si="9"/>
        <v>2000</v>
      </c>
      <c r="H90" s="130"/>
      <c r="I90" s="127">
        <f t="shared" si="10"/>
        <v>2000</v>
      </c>
    </row>
    <row r="91" spans="1:9" s="24" customFormat="1" ht="21" customHeight="1">
      <c r="A91" s="128"/>
      <c r="B91" s="128"/>
      <c r="C91" s="128"/>
      <c r="D91" s="129" t="s">
        <v>272</v>
      </c>
      <c r="E91" s="130">
        <v>2000</v>
      </c>
      <c r="F91" s="130">
        <v>-1500</v>
      </c>
      <c r="G91" s="127">
        <f t="shared" si="9"/>
        <v>500</v>
      </c>
      <c r="H91" s="130"/>
      <c r="I91" s="127">
        <f t="shared" si="10"/>
        <v>500</v>
      </c>
    </row>
    <row r="92" spans="1:9" s="24" customFormat="1" ht="21" customHeight="1">
      <c r="A92" s="128"/>
      <c r="B92" s="128"/>
      <c r="C92" s="128"/>
      <c r="D92" s="129" t="s">
        <v>261</v>
      </c>
      <c r="E92" s="130">
        <v>200</v>
      </c>
      <c r="F92" s="130">
        <v>-200</v>
      </c>
      <c r="G92" s="127">
        <f t="shared" si="9"/>
        <v>0</v>
      </c>
      <c r="H92" s="130"/>
      <c r="I92" s="127">
        <f t="shared" si="10"/>
        <v>0</v>
      </c>
    </row>
    <row r="93" spans="1:9" s="24" customFormat="1" ht="21" customHeight="1">
      <c r="A93" s="128"/>
      <c r="B93" s="128"/>
      <c r="C93" s="128"/>
      <c r="D93" s="129" t="s">
        <v>262</v>
      </c>
      <c r="E93" s="130">
        <v>1000</v>
      </c>
      <c r="F93" s="130"/>
      <c r="G93" s="127">
        <f t="shared" si="9"/>
        <v>1000</v>
      </c>
      <c r="H93" s="130"/>
      <c r="I93" s="127">
        <f t="shared" si="10"/>
        <v>1000</v>
      </c>
    </row>
    <row r="94" spans="1:9" s="24" customFormat="1" ht="21" customHeight="1">
      <c r="A94" s="128"/>
      <c r="B94" s="128"/>
      <c r="C94" s="128"/>
      <c r="D94" s="129" t="s">
        <v>263</v>
      </c>
      <c r="E94" s="130">
        <v>200</v>
      </c>
      <c r="F94" s="130"/>
      <c r="G94" s="127">
        <f t="shared" si="9"/>
        <v>200</v>
      </c>
      <c r="H94" s="130"/>
      <c r="I94" s="127">
        <f t="shared" si="10"/>
        <v>200</v>
      </c>
    </row>
    <row r="95" spans="1:9" s="24" customFormat="1" ht="21" customHeight="1">
      <c r="A95" s="128"/>
      <c r="B95" s="128"/>
      <c r="C95" s="128"/>
      <c r="D95" s="129" t="s">
        <v>267</v>
      </c>
      <c r="E95" s="130">
        <v>1000</v>
      </c>
      <c r="F95" s="130"/>
      <c r="G95" s="127">
        <f t="shared" si="9"/>
        <v>1000</v>
      </c>
      <c r="H95" s="130"/>
      <c r="I95" s="127">
        <f t="shared" si="10"/>
        <v>1000</v>
      </c>
    </row>
    <row r="96" spans="1:9" s="147" customFormat="1" ht="21" customHeight="1">
      <c r="A96" s="145"/>
      <c r="B96" s="145"/>
      <c r="C96" s="145">
        <v>4240</v>
      </c>
      <c r="D96" s="38" t="s">
        <v>125</v>
      </c>
      <c r="E96" s="146">
        <f>SUM(E97:E99)</f>
        <v>500</v>
      </c>
      <c r="F96" s="146">
        <f>SUM(F97:F99)</f>
        <v>1700</v>
      </c>
      <c r="G96" s="146">
        <f>SUM(G97:G99)</f>
        <v>2200</v>
      </c>
      <c r="H96" s="146">
        <f>SUM(H97:H99)</f>
        <v>0</v>
      </c>
      <c r="I96" s="146">
        <f>SUM(I97:I99)</f>
        <v>2200</v>
      </c>
    </row>
    <row r="97" spans="1:9" s="147" customFormat="1" ht="21" customHeight="1">
      <c r="A97" s="145"/>
      <c r="B97" s="145"/>
      <c r="C97" s="145"/>
      <c r="D97" s="129" t="s">
        <v>261</v>
      </c>
      <c r="E97" s="146">
        <v>0</v>
      </c>
      <c r="F97" s="146">
        <v>200</v>
      </c>
      <c r="G97" s="130">
        <f>SUM(E97:F97)</f>
        <v>200</v>
      </c>
      <c r="H97" s="146"/>
      <c r="I97" s="130">
        <f>SUM(G97:H97)</f>
        <v>200</v>
      </c>
    </row>
    <row r="98" spans="1:9" s="147" customFormat="1" ht="21" customHeight="1">
      <c r="A98" s="145"/>
      <c r="B98" s="145"/>
      <c r="C98" s="145"/>
      <c r="D98" s="129" t="s">
        <v>272</v>
      </c>
      <c r="E98" s="146">
        <v>0</v>
      </c>
      <c r="F98" s="146">
        <v>1500</v>
      </c>
      <c r="G98" s="130">
        <f>SUM(E98:F98)</f>
        <v>1500</v>
      </c>
      <c r="H98" s="146"/>
      <c r="I98" s="130">
        <f>SUM(G98:H98)</f>
        <v>1500</v>
      </c>
    </row>
    <row r="99" spans="1:9" s="24" customFormat="1" ht="21" customHeight="1">
      <c r="A99" s="128"/>
      <c r="B99" s="128"/>
      <c r="C99" s="128"/>
      <c r="D99" s="129" t="s">
        <v>273</v>
      </c>
      <c r="E99" s="130">
        <v>500</v>
      </c>
      <c r="F99" s="130"/>
      <c r="G99" s="130">
        <f>SUM(E99:F99)</f>
        <v>500</v>
      </c>
      <c r="H99" s="130"/>
      <c r="I99" s="130">
        <f>SUM(G99:H99)</f>
        <v>500</v>
      </c>
    </row>
    <row r="100" spans="1:9" s="24" customFormat="1" ht="21" customHeight="1">
      <c r="A100" s="124"/>
      <c r="B100" s="124">
        <v>80103</v>
      </c>
      <c r="C100" s="125"/>
      <c r="D100" s="126" t="s">
        <v>209</v>
      </c>
      <c r="E100" s="127">
        <f>SUM(E101,E105)</f>
        <v>1700</v>
      </c>
      <c r="F100" s="127">
        <f>SUM(F101,F105)</f>
        <v>0</v>
      </c>
      <c r="G100" s="127">
        <f>SUM(G101,G105)</f>
        <v>1700</v>
      </c>
      <c r="H100" s="127">
        <f>SUM(H101,H105)</f>
        <v>0</v>
      </c>
      <c r="I100" s="127">
        <f>SUM(I101,I105)</f>
        <v>1700</v>
      </c>
    </row>
    <row r="101" spans="1:9" s="24" customFormat="1" ht="21" customHeight="1">
      <c r="A101" s="124"/>
      <c r="B101" s="124"/>
      <c r="C101" s="125">
        <v>4210</v>
      </c>
      <c r="D101" s="126" t="s">
        <v>94</v>
      </c>
      <c r="E101" s="127">
        <f>SUM(E102:E104)</f>
        <v>1700</v>
      </c>
      <c r="F101" s="127">
        <f>SUM(F102:F104)</f>
        <v>-1400</v>
      </c>
      <c r="G101" s="127">
        <f>SUM(G102:G104)</f>
        <v>300</v>
      </c>
      <c r="H101" s="127">
        <f>SUM(H102:H104)</f>
        <v>0</v>
      </c>
      <c r="I101" s="127">
        <f>SUM(I102:I104)</f>
        <v>300</v>
      </c>
    </row>
    <row r="102" spans="1:9" s="24" customFormat="1" ht="21" customHeight="1">
      <c r="A102" s="135"/>
      <c r="B102" s="135"/>
      <c r="C102" s="134"/>
      <c r="D102" s="129" t="s">
        <v>272</v>
      </c>
      <c r="E102" s="130">
        <v>1000</v>
      </c>
      <c r="F102" s="130">
        <v>-700</v>
      </c>
      <c r="G102" s="130">
        <f>SUM(E102:F102)</f>
        <v>300</v>
      </c>
      <c r="H102" s="130"/>
      <c r="I102" s="130">
        <f>SUM(G102:H102)</f>
        <v>300</v>
      </c>
    </row>
    <row r="103" spans="1:9" s="24" customFormat="1" ht="21" customHeight="1">
      <c r="A103" s="135"/>
      <c r="B103" s="135"/>
      <c r="C103" s="134"/>
      <c r="D103" s="129" t="s">
        <v>261</v>
      </c>
      <c r="E103" s="130">
        <v>200</v>
      </c>
      <c r="F103" s="130">
        <v>-200</v>
      </c>
      <c r="G103" s="130">
        <f>SUM(E103:F103)</f>
        <v>0</v>
      </c>
      <c r="H103" s="130"/>
      <c r="I103" s="130">
        <f>SUM(G103:H103)</f>
        <v>0</v>
      </c>
    </row>
    <row r="104" spans="1:9" s="24" customFormat="1" ht="21" customHeight="1">
      <c r="A104" s="135"/>
      <c r="B104" s="135"/>
      <c r="C104" s="134"/>
      <c r="D104" s="129" t="s">
        <v>273</v>
      </c>
      <c r="E104" s="130">
        <v>500</v>
      </c>
      <c r="F104" s="130">
        <v>-500</v>
      </c>
      <c r="G104" s="130">
        <f>SUM(E104:F104)</f>
        <v>0</v>
      </c>
      <c r="H104" s="130"/>
      <c r="I104" s="130">
        <f>SUM(G104:H104)</f>
        <v>0</v>
      </c>
    </row>
    <row r="105" spans="1:9" s="147" customFormat="1" ht="21" customHeight="1">
      <c r="A105" s="193"/>
      <c r="B105" s="193"/>
      <c r="C105" s="194">
        <v>4240</v>
      </c>
      <c r="D105" s="38" t="s">
        <v>125</v>
      </c>
      <c r="E105" s="146">
        <f>SUM(E106:E108)</f>
        <v>0</v>
      </c>
      <c r="F105" s="146">
        <f>SUM(F106:F108)</f>
        <v>1400</v>
      </c>
      <c r="G105" s="146">
        <f>SUM(G106:G108)</f>
        <v>1400</v>
      </c>
      <c r="H105" s="146">
        <f>SUM(H106:H108)</f>
        <v>0</v>
      </c>
      <c r="I105" s="146">
        <f>SUM(I106:I108)</f>
        <v>1400</v>
      </c>
    </row>
    <row r="106" spans="1:9" s="166" customFormat="1" ht="21" customHeight="1">
      <c r="A106" s="195"/>
      <c r="B106" s="195"/>
      <c r="C106" s="196"/>
      <c r="D106" s="129" t="s">
        <v>261</v>
      </c>
      <c r="E106" s="197">
        <v>0</v>
      </c>
      <c r="F106" s="197">
        <v>200</v>
      </c>
      <c r="G106" s="197">
        <f>SUM(E106:F106)</f>
        <v>200</v>
      </c>
      <c r="H106" s="197"/>
      <c r="I106" s="197">
        <f>SUM(G106:H106)</f>
        <v>200</v>
      </c>
    </row>
    <row r="107" spans="1:9" s="166" customFormat="1" ht="21" customHeight="1">
      <c r="A107" s="195"/>
      <c r="B107" s="195"/>
      <c r="C107" s="196"/>
      <c r="D107" s="129" t="s">
        <v>273</v>
      </c>
      <c r="E107" s="197">
        <v>0</v>
      </c>
      <c r="F107" s="197">
        <v>500</v>
      </c>
      <c r="G107" s="197">
        <f>SUM(E107:F107)</f>
        <v>500</v>
      </c>
      <c r="H107" s="197"/>
      <c r="I107" s="197">
        <f>SUM(G107:H107)</f>
        <v>500</v>
      </c>
    </row>
    <row r="108" spans="1:9" s="166" customFormat="1" ht="21" customHeight="1">
      <c r="A108" s="195"/>
      <c r="B108" s="195"/>
      <c r="C108" s="196"/>
      <c r="D108" s="198" t="s">
        <v>272</v>
      </c>
      <c r="E108" s="197">
        <v>0</v>
      </c>
      <c r="F108" s="197">
        <v>700</v>
      </c>
      <c r="G108" s="197">
        <f>SUM(E108:F108)</f>
        <v>700</v>
      </c>
      <c r="H108" s="197"/>
      <c r="I108" s="197">
        <f>SUM(G108:H108)</f>
        <v>700</v>
      </c>
    </row>
    <row r="109" spans="1:9" s="24" customFormat="1" ht="21" customHeight="1">
      <c r="A109" s="124"/>
      <c r="B109" s="124">
        <v>80104</v>
      </c>
      <c r="C109" s="125"/>
      <c r="D109" s="126" t="s">
        <v>247</v>
      </c>
      <c r="E109" s="127">
        <f>SUM(E110)</f>
        <v>500</v>
      </c>
      <c r="F109" s="127">
        <f>SUM(F110)</f>
        <v>-500</v>
      </c>
      <c r="G109" s="127">
        <f>SUM(G110)</f>
        <v>0</v>
      </c>
      <c r="H109" s="127">
        <f>SUM(H110)</f>
        <v>0</v>
      </c>
      <c r="I109" s="127">
        <f>SUM(I110)</f>
        <v>0</v>
      </c>
    </row>
    <row r="110" spans="1:9" s="24" customFormat="1" ht="21" customHeight="1">
      <c r="A110" s="124"/>
      <c r="B110" s="124"/>
      <c r="C110" s="125">
        <v>4210</v>
      </c>
      <c r="D110" s="126" t="s">
        <v>94</v>
      </c>
      <c r="E110" s="127">
        <f>SUM(E111:E111)</f>
        <v>500</v>
      </c>
      <c r="F110" s="127">
        <f>SUM(F111:F111)</f>
        <v>-500</v>
      </c>
      <c r="G110" s="127">
        <f>SUM(G111:G111)</f>
        <v>0</v>
      </c>
      <c r="H110" s="127">
        <f>SUM(H111:H111)</f>
        <v>0</v>
      </c>
      <c r="I110" s="127">
        <f>SUM(I111:I111)</f>
        <v>0</v>
      </c>
    </row>
    <row r="111" spans="1:9" s="24" customFormat="1" ht="21" customHeight="1">
      <c r="A111" s="135"/>
      <c r="B111" s="135"/>
      <c r="C111" s="134"/>
      <c r="D111" s="129" t="s">
        <v>267</v>
      </c>
      <c r="E111" s="130">
        <v>500</v>
      </c>
      <c r="F111" s="130">
        <v>-500</v>
      </c>
      <c r="G111" s="130">
        <f>SUM(E111:F111)</f>
        <v>0</v>
      </c>
      <c r="H111" s="130"/>
      <c r="I111" s="130">
        <f>SUM(G111:H111)</f>
        <v>0</v>
      </c>
    </row>
    <row r="112" spans="1:9" s="24" customFormat="1" ht="21" customHeight="1">
      <c r="A112" s="124"/>
      <c r="B112" s="124">
        <v>80110</v>
      </c>
      <c r="C112" s="125"/>
      <c r="D112" s="126" t="s">
        <v>53</v>
      </c>
      <c r="E112" s="127">
        <f>E113</f>
        <v>1000</v>
      </c>
      <c r="F112" s="127">
        <f>F113</f>
        <v>0</v>
      </c>
      <c r="G112" s="127">
        <f>G113</f>
        <v>1000</v>
      </c>
      <c r="H112" s="127">
        <f>H113</f>
        <v>0</v>
      </c>
      <c r="I112" s="127">
        <f>I113</f>
        <v>1000</v>
      </c>
    </row>
    <row r="113" spans="1:9" s="24" customFormat="1" ht="21" customHeight="1">
      <c r="A113" s="124"/>
      <c r="B113" s="124"/>
      <c r="C113" s="125">
        <v>4210</v>
      </c>
      <c r="D113" s="126" t="s">
        <v>94</v>
      </c>
      <c r="E113" s="127">
        <f>SUM(E114)</f>
        <v>1000</v>
      </c>
      <c r="F113" s="127">
        <f>SUM(F114)</f>
        <v>0</v>
      </c>
      <c r="G113" s="127">
        <f>SUM(G114)</f>
        <v>1000</v>
      </c>
      <c r="H113" s="127">
        <f>SUM(H114)</f>
        <v>0</v>
      </c>
      <c r="I113" s="127">
        <f>SUM(I114)</f>
        <v>1000</v>
      </c>
    </row>
    <row r="114" spans="1:9" s="24" customFormat="1" ht="21" customHeight="1">
      <c r="A114" s="135"/>
      <c r="B114" s="135"/>
      <c r="C114" s="134"/>
      <c r="D114" s="129" t="s">
        <v>267</v>
      </c>
      <c r="E114" s="130">
        <v>1000</v>
      </c>
      <c r="F114" s="130"/>
      <c r="G114" s="130">
        <f>SUM(E114:F114)</f>
        <v>1000</v>
      </c>
      <c r="H114" s="130"/>
      <c r="I114" s="130">
        <f>SUM(G114:H114)</f>
        <v>1000</v>
      </c>
    </row>
    <row r="115" spans="1:9" s="40" customFormat="1" ht="21" customHeight="1">
      <c r="A115" s="121">
        <v>851</v>
      </c>
      <c r="B115" s="121"/>
      <c r="C115" s="122"/>
      <c r="D115" s="123" t="s">
        <v>54</v>
      </c>
      <c r="E115" s="120">
        <f aca="true" t="shared" si="11" ref="E115:I117">SUM(E116)</f>
        <v>1200</v>
      </c>
      <c r="F115" s="120">
        <f t="shared" si="11"/>
        <v>0</v>
      </c>
      <c r="G115" s="120">
        <f t="shared" si="11"/>
        <v>1200</v>
      </c>
      <c r="H115" s="120">
        <f t="shared" si="11"/>
        <v>0</v>
      </c>
      <c r="I115" s="120">
        <f t="shared" si="11"/>
        <v>1200</v>
      </c>
    </row>
    <row r="116" spans="1:9" s="24" customFormat="1" ht="21" customHeight="1">
      <c r="A116" s="124"/>
      <c r="B116" s="124">
        <v>85154</v>
      </c>
      <c r="C116" s="125"/>
      <c r="D116" s="126" t="s">
        <v>55</v>
      </c>
      <c r="E116" s="127">
        <f t="shared" si="11"/>
        <v>1200</v>
      </c>
      <c r="F116" s="127">
        <f t="shared" si="11"/>
        <v>0</v>
      </c>
      <c r="G116" s="127">
        <f t="shared" si="11"/>
        <v>1200</v>
      </c>
      <c r="H116" s="127">
        <f t="shared" si="11"/>
        <v>0</v>
      </c>
      <c r="I116" s="127">
        <f t="shared" si="11"/>
        <v>1200</v>
      </c>
    </row>
    <row r="117" spans="1:9" s="24" customFormat="1" ht="21" customHeight="1">
      <c r="A117" s="124"/>
      <c r="B117" s="124"/>
      <c r="C117" s="125">
        <v>4350</v>
      </c>
      <c r="D117" s="126" t="s">
        <v>281</v>
      </c>
      <c r="E117" s="127">
        <f t="shared" si="11"/>
        <v>1200</v>
      </c>
      <c r="F117" s="127">
        <f t="shared" si="11"/>
        <v>0</v>
      </c>
      <c r="G117" s="127">
        <f t="shared" si="11"/>
        <v>1200</v>
      </c>
      <c r="H117" s="127">
        <f t="shared" si="11"/>
        <v>0</v>
      </c>
      <c r="I117" s="127">
        <f t="shared" si="11"/>
        <v>1200</v>
      </c>
    </row>
    <row r="118" spans="1:9" s="26" customFormat="1" ht="21" customHeight="1">
      <c r="A118" s="135"/>
      <c r="B118" s="135"/>
      <c r="C118" s="134"/>
      <c r="D118" s="129" t="s">
        <v>267</v>
      </c>
      <c r="E118" s="130">
        <v>1200</v>
      </c>
      <c r="F118" s="130"/>
      <c r="G118" s="130">
        <f>SUM(E118:F118)</f>
        <v>1200</v>
      </c>
      <c r="H118" s="130"/>
      <c r="I118" s="130">
        <f>SUM(G118:H118)</f>
        <v>1200</v>
      </c>
    </row>
    <row r="119" spans="1:9" s="7" customFormat="1" ht="21" customHeight="1">
      <c r="A119" s="117">
        <v>854</v>
      </c>
      <c r="B119" s="118"/>
      <c r="C119" s="118"/>
      <c r="D119" s="119" t="s">
        <v>60</v>
      </c>
      <c r="E119" s="120">
        <f>E120</f>
        <v>25890</v>
      </c>
      <c r="F119" s="120">
        <f>F120</f>
        <v>0</v>
      </c>
      <c r="G119" s="120">
        <f>G120</f>
        <v>25890</v>
      </c>
      <c r="H119" s="120">
        <f>H120</f>
        <v>0</v>
      </c>
      <c r="I119" s="120">
        <f>I120</f>
        <v>25890</v>
      </c>
    </row>
    <row r="120" spans="1:9" s="24" customFormat="1" ht="22.5">
      <c r="A120" s="124"/>
      <c r="B120" s="124">
        <v>85412</v>
      </c>
      <c r="C120" s="125"/>
      <c r="D120" s="126" t="s">
        <v>282</v>
      </c>
      <c r="E120" s="127">
        <f>SUM(E121,E125,E131)</f>
        <v>25890</v>
      </c>
      <c r="F120" s="127">
        <f>SUM(F121,F125,F131)</f>
        <v>0</v>
      </c>
      <c r="G120" s="127">
        <f>SUM(G121,G125,G131)</f>
        <v>25890</v>
      </c>
      <c r="H120" s="127">
        <f>SUM(H121,H125,H131)</f>
        <v>0</v>
      </c>
      <c r="I120" s="127">
        <f>SUM(I121,I125,I131)</f>
        <v>25890</v>
      </c>
    </row>
    <row r="121" spans="1:9" s="24" customFormat="1" ht="21" customHeight="1">
      <c r="A121" s="136"/>
      <c r="B121" s="136"/>
      <c r="C121" s="125">
        <v>4210</v>
      </c>
      <c r="D121" s="126" t="s">
        <v>94</v>
      </c>
      <c r="E121" s="127">
        <f>SUM(E122:E124)</f>
        <v>2390</v>
      </c>
      <c r="F121" s="127">
        <f>SUM(F122:F124)</f>
        <v>0</v>
      </c>
      <c r="G121" s="127">
        <f>SUM(G122:G124)</f>
        <v>2390</v>
      </c>
      <c r="H121" s="127">
        <f>SUM(H122:H124)</f>
        <v>0</v>
      </c>
      <c r="I121" s="127">
        <f>SUM(I122:I124)</f>
        <v>2390</v>
      </c>
    </row>
    <row r="122" spans="1:9" s="24" customFormat="1" ht="21" customHeight="1">
      <c r="A122" s="136"/>
      <c r="B122" s="136"/>
      <c r="C122" s="134"/>
      <c r="D122" s="129" t="s">
        <v>265</v>
      </c>
      <c r="E122" s="130">
        <v>2000</v>
      </c>
      <c r="F122" s="130"/>
      <c r="G122" s="130">
        <f>SUM(E122:F122)</f>
        <v>2000</v>
      </c>
      <c r="H122" s="130"/>
      <c r="I122" s="130">
        <f>SUM(G122:H122)</f>
        <v>2000</v>
      </c>
    </row>
    <row r="123" spans="1:9" s="24" customFormat="1" ht="21" customHeight="1">
      <c r="A123" s="136"/>
      <c r="B123" s="136"/>
      <c r="C123" s="134"/>
      <c r="D123" s="129" t="s">
        <v>267</v>
      </c>
      <c r="E123" s="130">
        <v>190</v>
      </c>
      <c r="F123" s="130"/>
      <c r="G123" s="130">
        <f>SUM(E123:F123)</f>
        <v>190</v>
      </c>
      <c r="H123" s="130"/>
      <c r="I123" s="130">
        <f>SUM(G123:H123)</f>
        <v>190</v>
      </c>
    </row>
    <row r="124" spans="1:9" s="24" customFormat="1" ht="21" customHeight="1">
      <c r="A124" s="136"/>
      <c r="B124" s="136"/>
      <c r="C124" s="134"/>
      <c r="D124" s="129" t="s">
        <v>268</v>
      </c>
      <c r="E124" s="130">
        <v>200</v>
      </c>
      <c r="F124" s="130"/>
      <c r="G124" s="130">
        <f>SUM(E124:F124)</f>
        <v>200</v>
      </c>
      <c r="H124" s="130"/>
      <c r="I124" s="130">
        <f>SUM(G124:H124)</f>
        <v>200</v>
      </c>
    </row>
    <row r="125" spans="1:9" s="24" customFormat="1" ht="21" customHeight="1">
      <c r="A125" s="124"/>
      <c r="B125" s="124"/>
      <c r="C125" s="125">
        <v>4300</v>
      </c>
      <c r="D125" s="126" t="s">
        <v>81</v>
      </c>
      <c r="E125" s="127">
        <f>SUM(E126:E130)</f>
        <v>7500</v>
      </c>
      <c r="F125" s="127">
        <f>SUM(F126:F130)</f>
        <v>0</v>
      </c>
      <c r="G125" s="127">
        <f>SUM(G126:G130)</f>
        <v>7500</v>
      </c>
      <c r="H125" s="127">
        <f>SUM(H126:H130)</f>
        <v>0</v>
      </c>
      <c r="I125" s="127">
        <f>SUM(I126:I130)</f>
        <v>7500</v>
      </c>
    </row>
    <row r="126" spans="1:9" s="26" customFormat="1" ht="21" customHeight="1">
      <c r="A126" s="135"/>
      <c r="B126" s="135"/>
      <c r="C126" s="134"/>
      <c r="D126" s="129" t="s">
        <v>261</v>
      </c>
      <c r="E126" s="130">
        <v>700</v>
      </c>
      <c r="F126" s="130"/>
      <c r="G126" s="130">
        <f>SUM(E126:F126)</f>
        <v>700</v>
      </c>
      <c r="H126" s="130"/>
      <c r="I126" s="130">
        <f>SUM(G126:H126)</f>
        <v>700</v>
      </c>
    </row>
    <row r="127" spans="1:9" s="26" customFormat="1" ht="21" customHeight="1">
      <c r="A127" s="135"/>
      <c r="B127" s="135"/>
      <c r="C127" s="134"/>
      <c r="D127" s="129" t="s">
        <v>264</v>
      </c>
      <c r="E127" s="130">
        <v>2000</v>
      </c>
      <c r="F127" s="130"/>
      <c r="G127" s="130">
        <f>SUM(E127:F127)</f>
        <v>2000</v>
      </c>
      <c r="H127" s="130"/>
      <c r="I127" s="130">
        <f>SUM(G127:H127)</f>
        <v>2000</v>
      </c>
    </row>
    <row r="128" spans="1:9" s="26" customFormat="1" ht="21" customHeight="1">
      <c r="A128" s="135"/>
      <c r="B128" s="135"/>
      <c r="C128" s="134"/>
      <c r="D128" s="129" t="s">
        <v>265</v>
      </c>
      <c r="E128" s="130">
        <v>2000</v>
      </c>
      <c r="F128" s="130"/>
      <c r="G128" s="130">
        <f>SUM(E128:F128)</f>
        <v>2000</v>
      </c>
      <c r="H128" s="130"/>
      <c r="I128" s="130">
        <f>SUM(G128:H128)</f>
        <v>2000</v>
      </c>
    </row>
    <row r="129" spans="1:9" s="26" customFormat="1" ht="21" customHeight="1">
      <c r="A129" s="135"/>
      <c r="B129" s="135"/>
      <c r="C129" s="134"/>
      <c r="D129" s="129" t="s">
        <v>268</v>
      </c>
      <c r="E129" s="130">
        <v>1500</v>
      </c>
      <c r="F129" s="130"/>
      <c r="G129" s="130">
        <f>SUM(E129:F129)</f>
        <v>1500</v>
      </c>
      <c r="H129" s="130"/>
      <c r="I129" s="130">
        <f>SUM(G129:H129)</f>
        <v>1500</v>
      </c>
    </row>
    <row r="130" spans="1:9" s="26" customFormat="1" ht="21" customHeight="1">
      <c r="A130" s="135"/>
      <c r="B130" s="135"/>
      <c r="C130" s="134"/>
      <c r="D130" s="129" t="s">
        <v>279</v>
      </c>
      <c r="E130" s="130">
        <v>1300</v>
      </c>
      <c r="F130" s="130"/>
      <c r="G130" s="130">
        <f>SUM(E130:F130)</f>
        <v>1300</v>
      </c>
      <c r="H130" s="130"/>
      <c r="I130" s="130">
        <f>SUM(G130:H130)</f>
        <v>1300</v>
      </c>
    </row>
    <row r="131" spans="1:9" s="24" customFormat="1" ht="21" customHeight="1">
      <c r="A131" s="124"/>
      <c r="B131" s="124"/>
      <c r="C131" s="125">
        <v>6050</v>
      </c>
      <c r="D131" s="137" t="s">
        <v>75</v>
      </c>
      <c r="E131" s="127">
        <f>E132</f>
        <v>16000</v>
      </c>
      <c r="F131" s="127">
        <f>F132</f>
        <v>0</v>
      </c>
      <c r="G131" s="127">
        <f>G132</f>
        <v>16000</v>
      </c>
      <c r="H131" s="127">
        <f>H132</f>
        <v>0</v>
      </c>
      <c r="I131" s="127">
        <f>I132</f>
        <v>16000</v>
      </c>
    </row>
    <row r="132" spans="1:9" s="26" customFormat="1" ht="21" customHeight="1">
      <c r="A132" s="135"/>
      <c r="B132" s="135"/>
      <c r="C132" s="134"/>
      <c r="D132" s="129" t="s">
        <v>274</v>
      </c>
      <c r="E132" s="130">
        <v>16000</v>
      </c>
      <c r="F132" s="130"/>
      <c r="G132" s="130">
        <f>SUM(E132:F132)</f>
        <v>16000</v>
      </c>
      <c r="H132" s="130"/>
      <c r="I132" s="130">
        <f>SUM(G132:H132)</f>
        <v>16000</v>
      </c>
    </row>
    <row r="133" spans="1:9" s="7" customFormat="1" ht="21" customHeight="1">
      <c r="A133" s="117" t="s">
        <v>129</v>
      </c>
      <c r="B133" s="118"/>
      <c r="C133" s="118"/>
      <c r="D133" s="119" t="s">
        <v>62</v>
      </c>
      <c r="E133" s="120">
        <f>SUM(E134,E143,E166,)</f>
        <v>37660</v>
      </c>
      <c r="F133" s="120">
        <f>SUM(F134,F143,F166,)</f>
        <v>0</v>
      </c>
      <c r="G133" s="120">
        <f>SUM(G134,G143,G166,)</f>
        <v>37660</v>
      </c>
      <c r="H133" s="120">
        <f>SUM(H134,H143,H166,)</f>
        <v>0</v>
      </c>
      <c r="I133" s="120">
        <f>SUM(I134,I143,I166,)</f>
        <v>37660</v>
      </c>
    </row>
    <row r="134" spans="1:9" s="24" customFormat="1" ht="21" customHeight="1">
      <c r="A134" s="124"/>
      <c r="B134" s="124" t="s">
        <v>131</v>
      </c>
      <c r="C134" s="125"/>
      <c r="D134" s="126" t="s">
        <v>132</v>
      </c>
      <c r="E134" s="127">
        <f>SUM(E135)</f>
        <v>2240</v>
      </c>
      <c r="F134" s="127">
        <f>SUM(F135)</f>
        <v>0</v>
      </c>
      <c r="G134" s="127">
        <f>SUM(G135)</f>
        <v>2240</v>
      </c>
      <c r="H134" s="127">
        <f>SUM(H135)</f>
        <v>250</v>
      </c>
      <c r="I134" s="127">
        <f>SUM(I135)</f>
        <v>2490</v>
      </c>
    </row>
    <row r="135" spans="1:9" s="24" customFormat="1" ht="21" customHeight="1">
      <c r="A135" s="124"/>
      <c r="B135" s="124"/>
      <c r="C135" s="125">
        <v>4300</v>
      </c>
      <c r="D135" s="138" t="s">
        <v>81</v>
      </c>
      <c r="E135" s="127">
        <f>SUM(E136:E142)</f>
        <v>2240</v>
      </c>
      <c r="F135" s="127">
        <f>SUM(F136:F142)</f>
        <v>0</v>
      </c>
      <c r="G135" s="127">
        <f>SUM(G136:G142)</f>
        <v>2240</v>
      </c>
      <c r="H135" s="127">
        <f>SUM(H136:H142)</f>
        <v>250</v>
      </c>
      <c r="I135" s="127">
        <f>SUM(I136:I142)</f>
        <v>2490</v>
      </c>
    </row>
    <row r="136" spans="1:9" s="24" customFormat="1" ht="21" customHeight="1">
      <c r="A136" s="128"/>
      <c r="B136" s="128"/>
      <c r="C136" s="128"/>
      <c r="D136" s="129" t="s">
        <v>259</v>
      </c>
      <c r="E136" s="130">
        <v>300</v>
      </c>
      <c r="F136" s="130"/>
      <c r="G136" s="130">
        <f aca="true" t="shared" si="12" ref="G136:G142">SUM(E136:F136)</f>
        <v>300</v>
      </c>
      <c r="H136" s="130"/>
      <c r="I136" s="130">
        <f aca="true" t="shared" si="13" ref="I136:I142">SUM(G136:H136)</f>
        <v>300</v>
      </c>
    </row>
    <row r="137" spans="1:9" s="24" customFormat="1" ht="21" customHeight="1">
      <c r="A137" s="128"/>
      <c r="B137" s="128"/>
      <c r="C137" s="128"/>
      <c r="D137" s="129" t="s">
        <v>261</v>
      </c>
      <c r="E137" s="130">
        <v>100</v>
      </c>
      <c r="F137" s="130"/>
      <c r="G137" s="130">
        <f t="shared" si="12"/>
        <v>100</v>
      </c>
      <c r="H137" s="130"/>
      <c r="I137" s="130">
        <f t="shared" si="13"/>
        <v>100</v>
      </c>
    </row>
    <row r="138" spans="1:9" s="24" customFormat="1" ht="21" customHeight="1">
      <c r="A138" s="128"/>
      <c r="B138" s="128"/>
      <c r="C138" s="128"/>
      <c r="D138" s="129" t="s">
        <v>273</v>
      </c>
      <c r="E138" s="130">
        <v>300</v>
      </c>
      <c r="F138" s="130"/>
      <c r="G138" s="130">
        <f t="shared" si="12"/>
        <v>300</v>
      </c>
      <c r="H138" s="130"/>
      <c r="I138" s="130">
        <f t="shared" si="13"/>
        <v>300</v>
      </c>
    </row>
    <row r="139" spans="1:9" s="24" customFormat="1" ht="21" customHeight="1">
      <c r="A139" s="128"/>
      <c r="B139" s="128"/>
      <c r="C139" s="128"/>
      <c r="D139" s="129" t="s">
        <v>265</v>
      </c>
      <c r="E139" s="130">
        <v>300</v>
      </c>
      <c r="F139" s="130"/>
      <c r="G139" s="130">
        <f t="shared" si="12"/>
        <v>300</v>
      </c>
      <c r="H139" s="130"/>
      <c r="I139" s="130">
        <f t="shared" si="13"/>
        <v>300</v>
      </c>
    </row>
    <row r="140" spans="1:9" s="24" customFormat="1" ht="21" customHeight="1">
      <c r="A140" s="128"/>
      <c r="B140" s="128"/>
      <c r="C140" s="128"/>
      <c r="D140" s="129" t="s">
        <v>267</v>
      </c>
      <c r="E140" s="130">
        <v>1000</v>
      </c>
      <c r="F140" s="130"/>
      <c r="G140" s="130">
        <f t="shared" si="12"/>
        <v>1000</v>
      </c>
      <c r="H140" s="130"/>
      <c r="I140" s="130">
        <f t="shared" si="13"/>
        <v>1000</v>
      </c>
    </row>
    <row r="141" spans="1:9" s="24" customFormat="1" ht="21" customHeight="1">
      <c r="A141" s="128"/>
      <c r="B141" s="128"/>
      <c r="C141" s="128"/>
      <c r="D141" s="129" t="s">
        <v>272</v>
      </c>
      <c r="E141" s="130"/>
      <c r="F141" s="130"/>
      <c r="G141" s="130">
        <v>0</v>
      </c>
      <c r="H141" s="130">
        <v>250</v>
      </c>
      <c r="I141" s="130">
        <f t="shared" si="13"/>
        <v>250</v>
      </c>
    </row>
    <row r="142" spans="1:9" s="24" customFormat="1" ht="21" customHeight="1">
      <c r="A142" s="128"/>
      <c r="B142" s="128"/>
      <c r="C142" s="128"/>
      <c r="D142" s="129" t="s">
        <v>274</v>
      </c>
      <c r="E142" s="130">
        <v>240</v>
      </c>
      <c r="F142" s="130"/>
      <c r="G142" s="130">
        <f t="shared" si="12"/>
        <v>240</v>
      </c>
      <c r="H142" s="130"/>
      <c r="I142" s="130">
        <f t="shared" si="13"/>
        <v>240</v>
      </c>
    </row>
    <row r="143" spans="1:9" s="24" customFormat="1" ht="21" customHeight="1">
      <c r="A143" s="124"/>
      <c r="B143" s="124" t="s">
        <v>133</v>
      </c>
      <c r="C143" s="125"/>
      <c r="D143" s="126" t="s">
        <v>155</v>
      </c>
      <c r="E143" s="127">
        <f>SUM(E144,E160)</f>
        <v>32420</v>
      </c>
      <c r="F143" s="127">
        <f>SUM(F144,F160)</f>
        <v>0</v>
      </c>
      <c r="G143" s="127">
        <f>SUM(G144,G160)</f>
        <v>32420</v>
      </c>
      <c r="H143" s="127">
        <f>SUM(H144,H160)</f>
        <v>-250</v>
      </c>
      <c r="I143" s="127">
        <f>SUM(I144,I160)</f>
        <v>32170</v>
      </c>
    </row>
    <row r="144" spans="1:9" s="24" customFormat="1" ht="21" customHeight="1">
      <c r="A144" s="124"/>
      <c r="B144" s="124"/>
      <c r="C144" s="124" t="s">
        <v>277</v>
      </c>
      <c r="D144" s="126" t="s">
        <v>94</v>
      </c>
      <c r="E144" s="127">
        <f>SUM(E145:E159)</f>
        <v>26220</v>
      </c>
      <c r="F144" s="127">
        <f>SUM(F145:F159)</f>
        <v>0</v>
      </c>
      <c r="G144" s="127">
        <f>SUM(G145:G159)</f>
        <v>26220</v>
      </c>
      <c r="H144" s="127">
        <f>SUM(H145:H159)</f>
        <v>-250</v>
      </c>
      <c r="I144" s="127">
        <f>SUM(I145:I159)</f>
        <v>25970</v>
      </c>
    </row>
    <row r="145" spans="1:9" s="24" customFormat="1" ht="21" customHeight="1">
      <c r="A145" s="128"/>
      <c r="B145" s="128"/>
      <c r="C145" s="128"/>
      <c r="D145" s="129" t="s">
        <v>270</v>
      </c>
      <c r="E145" s="130">
        <v>100</v>
      </c>
      <c r="F145" s="130"/>
      <c r="G145" s="130">
        <f>SUM(E145:F145)</f>
        <v>100</v>
      </c>
      <c r="H145" s="130"/>
      <c r="I145" s="130">
        <f>SUM(G145:H145)</f>
        <v>100</v>
      </c>
    </row>
    <row r="146" spans="1:9" s="24" customFormat="1" ht="21" customHeight="1">
      <c r="A146" s="128"/>
      <c r="B146" s="128"/>
      <c r="C146" s="128"/>
      <c r="D146" s="129" t="s">
        <v>271</v>
      </c>
      <c r="E146" s="130">
        <v>300</v>
      </c>
      <c r="F146" s="130"/>
      <c r="G146" s="130">
        <f aca="true" t="shared" si="14" ref="G146:G159">SUM(E146:F146)</f>
        <v>300</v>
      </c>
      <c r="H146" s="130"/>
      <c r="I146" s="130">
        <f aca="true" t="shared" si="15" ref="I146:I159">SUM(G146:H146)</f>
        <v>300</v>
      </c>
    </row>
    <row r="147" spans="1:9" s="24" customFormat="1" ht="21" customHeight="1">
      <c r="A147" s="128"/>
      <c r="B147" s="128"/>
      <c r="C147" s="128"/>
      <c r="D147" s="129" t="s">
        <v>259</v>
      </c>
      <c r="E147" s="130">
        <v>700</v>
      </c>
      <c r="F147" s="130"/>
      <c r="G147" s="130">
        <f t="shared" si="14"/>
        <v>700</v>
      </c>
      <c r="H147" s="130"/>
      <c r="I147" s="130">
        <f t="shared" si="15"/>
        <v>700</v>
      </c>
    </row>
    <row r="148" spans="1:9" s="24" customFormat="1" ht="21" customHeight="1">
      <c r="A148" s="128"/>
      <c r="B148" s="128"/>
      <c r="C148" s="128"/>
      <c r="D148" s="129" t="s">
        <v>260</v>
      </c>
      <c r="E148" s="130">
        <v>1000</v>
      </c>
      <c r="F148" s="130"/>
      <c r="G148" s="130">
        <f t="shared" si="14"/>
        <v>1000</v>
      </c>
      <c r="H148" s="130"/>
      <c r="I148" s="130">
        <f t="shared" si="15"/>
        <v>1000</v>
      </c>
    </row>
    <row r="149" spans="1:9" s="24" customFormat="1" ht="21" customHeight="1">
      <c r="A149" s="128"/>
      <c r="B149" s="128"/>
      <c r="C149" s="128"/>
      <c r="D149" s="129" t="s">
        <v>272</v>
      </c>
      <c r="E149" s="130">
        <v>3500</v>
      </c>
      <c r="F149" s="130"/>
      <c r="G149" s="130">
        <f t="shared" si="14"/>
        <v>3500</v>
      </c>
      <c r="H149" s="130">
        <v>-250</v>
      </c>
      <c r="I149" s="130">
        <f t="shared" si="15"/>
        <v>3250</v>
      </c>
    </row>
    <row r="150" spans="1:9" s="24" customFormat="1" ht="21" customHeight="1">
      <c r="A150" s="128"/>
      <c r="B150" s="128"/>
      <c r="C150" s="128"/>
      <c r="D150" s="129" t="s">
        <v>261</v>
      </c>
      <c r="E150" s="130">
        <v>700</v>
      </c>
      <c r="F150" s="130"/>
      <c r="G150" s="130">
        <f t="shared" si="14"/>
        <v>700</v>
      </c>
      <c r="H150" s="130"/>
      <c r="I150" s="130">
        <f t="shared" si="15"/>
        <v>700</v>
      </c>
    </row>
    <row r="151" spans="1:9" s="24" customFormat="1" ht="21" customHeight="1">
      <c r="A151" s="128"/>
      <c r="B151" s="128"/>
      <c r="C151" s="128"/>
      <c r="D151" s="129" t="s">
        <v>262</v>
      </c>
      <c r="E151" s="130">
        <v>500</v>
      </c>
      <c r="F151" s="130"/>
      <c r="G151" s="130">
        <f t="shared" si="14"/>
        <v>500</v>
      </c>
      <c r="H151" s="130"/>
      <c r="I151" s="130">
        <f t="shared" si="15"/>
        <v>500</v>
      </c>
    </row>
    <row r="152" spans="1:9" s="24" customFormat="1" ht="21" customHeight="1">
      <c r="A152" s="128"/>
      <c r="B152" s="128"/>
      <c r="C152" s="128"/>
      <c r="D152" s="129" t="s">
        <v>263</v>
      </c>
      <c r="E152" s="130">
        <v>500</v>
      </c>
      <c r="F152" s="130"/>
      <c r="G152" s="130">
        <f t="shared" si="14"/>
        <v>500</v>
      </c>
      <c r="H152" s="130"/>
      <c r="I152" s="130">
        <f t="shared" si="15"/>
        <v>500</v>
      </c>
    </row>
    <row r="153" spans="1:9" s="140" customFormat="1" ht="21" customHeight="1">
      <c r="A153" s="139"/>
      <c r="B153" s="139"/>
      <c r="C153" s="139"/>
      <c r="D153" s="129" t="s">
        <v>273</v>
      </c>
      <c r="E153" s="130">
        <v>3000</v>
      </c>
      <c r="F153" s="130"/>
      <c r="G153" s="130">
        <f t="shared" si="14"/>
        <v>3000</v>
      </c>
      <c r="H153" s="130"/>
      <c r="I153" s="130">
        <f t="shared" si="15"/>
        <v>3000</v>
      </c>
    </row>
    <row r="154" spans="1:9" s="24" customFormat="1" ht="21" customHeight="1">
      <c r="A154" s="128"/>
      <c r="B154" s="128"/>
      <c r="C154" s="128"/>
      <c r="D154" s="129" t="s">
        <v>264</v>
      </c>
      <c r="E154" s="130">
        <v>1500</v>
      </c>
      <c r="F154" s="130"/>
      <c r="G154" s="130">
        <f t="shared" si="14"/>
        <v>1500</v>
      </c>
      <c r="H154" s="130"/>
      <c r="I154" s="130">
        <f t="shared" si="15"/>
        <v>1500</v>
      </c>
    </row>
    <row r="155" spans="1:9" s="24" customFormat="1" ht="21" customHeight="1">
      <c r="A155" s="128"/>
      <c r="B155" s="128"/>
      <c r="C155" s="128"/>
      <c r="D155" s="129" t="s">
        <v>265</v>
      </c>
      <c r="E155" s="130">
        <v>3300</v>
      </c>
      <c r="F155" s="130"/>
      <c r="G155" s="130">
        <f t="shared" si="14"/>
        <v>3300</v>
      </c>
      <c r="H155" s="130"/>
      <c r="I155" s="130">
        <f t="shared" si="15"/>
        <v>3300</v>
      </c>
    </row>
    <row r="156" spans="1:9" s="24" customFormat="1" ht="21" customHeight="1">
      <c r="A156" s="128"/>
      <c r="B156" s="128"/>
      <c r="C156" s="128"/>
      <c r="D156" s="129" t="s">
        <v>267</v>
      </c>
      <c r="E156" s="130">
        <v>4320</v>
      </c>
      <c r="F156" s="130"/>
      <c r="G156" s="130">
        <f t="shared" si="14"/>
        <v>4320</v>
      </c>
      <c r="H156" s="130"/>
      <c r="I156" s="130">
        <f t="shared" si="15"/>
        <v>4320</v>
      </c>
    </row>
    <row r="157" spans="1:9" s="24" customFormat="1" ht="21" customHeight="1">
      <c r="A157" s="128"/>
      <c r="B157" s="128"/>
      <c r="C157" s="128"/>
      <c r="D157" s="129" t="s">
        <v>268</v>
      </c>
      <c r="E157" s="130">
        <v>2300</v>
      </c>
      <c r="F157" s="130"/>
      <c r="G157" s="130">
        <f t="shared" si="14"/>
        <v>2300</v>
      </c>
      <c r="H157" s="130"/>
      <c r="I157" s="130">
        <f t="shared" si="15"/>
        <v>2300</v>
      </c>
    </row>
    <row r="158" spans="1:9" s="24" customFormat="1" ht="21" customHeight="1">
      <c r="A158" s="128"/>
      <c r="B158" s="128"/>
      <c r="C158" s="128"/>
      <c r="D158" s="129" t="s">
        <v>274</v>
      </c>
      <c r="E158" s="130">
        <v>3000</v>
      </c>
      <c r="F158" s="130"/>
      <c r="G158" s="130">
        <f t="shared" si="14"/>
        <v>3000</v>
      </c>
      <c r="H158" s="130"/>
      <c r="I158" s="130">
        <f t="shared" si="15"/>
        <v>3000</v>
      </c>
    </row>
    <row r="159" spans="1:9" s="24" customFormat="1" ht="21" customHeight="1">
      <c r="A159" s="128"/>
      <c r="B159" s="128"/>
      <c r="C159" s="128"/>
      <c r="D159" s="129" t="s">
        <v>279</v>
      </c>
      <c r="E159" s="130">
        <v>1500</v>
      </c>
      <c r="F159" s="130"/>
      <c r="G159" s="130">
        <f t="shared" si="14"/>
        <v>1500</v>
      </c>
      <c r="H159" s="130"/>
      <c r="I159" s="130">
        <f t="shared" si="15"/>
        <v>1500</v>
      </c>
    </row>
    <row r="160" spans="1:9" s="24" customFormat="1" ht="21" customHeight="1">
      <c r="A160" s="124"/>
      <c r="B160" s="124"/>
      <c r="C160" s="124" t="s">
        <v>283</v>
      </c>
      <c r="D160" s="126" t="s">
        <v>81</v>
      </c>
      <c r="E160" s="127">
        <f>SUM(E161:E165)</f>
        <v>6200</v>
      </c>
      <c r="F160" s="127">
        <f>SUM(F161:F165)</f>
        <v>0</v>
      </c>
      <c r="G160" s="127">
        <f>SUM(G161:G165)</f>
        <v>6200</v>
      </c>
      <c r="H160" s="127">
        <f>SUM(H161:H165)</f>
        <v>0</v>
      </c>
      <c r="I160" s="127">
        <f>SUM(I161:I165)</f>
        <v>6200</v>
      </c>
    </row>
    <row r="161" spans="1:9" s="24" customFormat="1" ht="21" customHeight="1">
      <c r="A161" s="124"/>
      <c r="B161" s="124"/>
      <c r="C161" s="124"/>
      <c r="D161" s="129" t="s">
        <v>259</v>
      </c>
      <c r="E161" s="130">
        <v>300</v>
      </c>
      <c r="F161" s="130"/>
      <c r="G161" s="130">
        <f>SUM(E161:F161)</f>
        <v>300</v>
      </c>
      <c r="H161" s="130"/>
      <c r="I161" s="130">
        <f>SUM(G161:H161)</f>
        <v>300</v>
      </c>
    </row>
    <row r="162" spans="1:9" s="24" customFormat="1" ht="21" customHeight="1">
      <c r="A162" s="128"/>
      <c r="B162" s="128"/>
      <c r="C162" s="128"/>
      <c r="D162" s="129" t="s">
        <v>262</v>
      </c>
      <c r="E162" s="130">
        <v>1000</v>
      </c>
      <c r="F162" s="130"/>
      <c r="G162" s="130">
        <f>SUM(E162:F162)</f>
        <v>1000</v>
      </c>
      <c r="H162" s="130"/>
      <c r="I162" s="130">
        <f>SUM(G162:H162)</f>
        <v>1000</v>
      </c>
    </row>
    <row r="163" spans="1:9" s="24" customFormat="1" ht="21" customHeight="1">
      <c r="A163" s="128"/>
      <c r="B163" s="128"/>
      <c r="C163" s="128"/>
      <c r="D163" s="129" t="s">
        <v>263</v>
      </c>
      <c r="E163" s="130">
        <v>900</v>
      </c>
      <c r="F163" s="130"/>
      <c r="G163" s="130">
        <f>SUM(E163:F163)</f>
        <v>900</v>
      </c>
      <c r="H163" s="130"/>
      <c r="I163" s="130">
        <f>SUM(G163:H163)</f>
        <v>900</v>
      </c>
    </row>
    <row r="164" spans="1:9" s="24" customFormat="1" ht="21" customHeight="1">
      <c r="A164" s="128"/>
      <c r="B164" s="128"/>
      <c r="C164" s="128"/>
      <c r="D164" s="129" t="s">
        <v>264</v>
      </c>
      <c r="E164" s="130">
        <v>3000</v>
      </c>
      <c r="F164" s="130"/>
      <c r="G164" s="130">
        <f>SUM(E164:F164)</f>
        <v>3000</v>
      </c>
      <c r="H164" s="130"/>
      <c r="I164" s="130">
        <f>SUM(G164:H164)</f>
        <v>3000</v>
      </c>
    </row>
    <row r="165" spans="1:9" s="24" customFormat="1" ht="21" customHeight="1">
      <c r="A165" s="128"/>
      <c r="B165" s="128"/>
      <c r="C165" s="128"/>
      <c r="D165" s="129" t="s">
        <v>267</v>
      </c>
      <c r="E165" s="130">
        <v>1000</v>
      </c>
      <c r="F165" s="130"/>
      <c r="G165" s="130">
        <f>SUM(E165:F165)</f>
        <v>1000</v>
      </c>
      <c r="H165" s="130"/>
      <c r="I165" s="130">
        <f>SUM(G165:H165)</f>
        <v>1000</v>
      </c>
    </row>
    <row r="166" spans="1:9" s="24" customFormat="1" ht="21" customHeight="1">
      <c r="A166" s="124"/>
      <c r="B166" s="124" t="s">
        <v>136</v>
      </c>
      <c r="C166" s="125"/>
      <c r="D166" s="126" t="s">
        <v>137</v>
      </c>
      <c r="E166" s="127">
        <f>SUM(E167)</f>
        <v>3000</v>
      </c>
      <c r="F166" s="127">
        <f>SUM(F167)</f>
        <v>0</v>
      </c>
      <c r="G166" s="127">
        <f>SUM(G167)</f>
        <v>3000</v>
      </c>
      <c r="H166" s="127">
        <f>SUM(H167)</f>
        <v>0</v>
      </c>
      <c r="I166" s="127">
        <f>SUM(I167)</f>
        <v>3000</v>
      </c>
    </row>
    <row r="167" spans="1:9" s="24" customFormat="1" ht="21" customHeight="1">
      <c r="A167" s="124"/>
      <c r="B167" s="124"/>
      <c r="C167" s="125">
        <v>4300</v>
      </c>
      <c r="D167" s="141" t="s">
        <v>81</v>
      </c>
      <c r="E167" s="127">
        <f>SUM(E168:E169)</f>
        <v>3000</v>
      </c>
      <c r="F167" s="127">
        <f>SUM(F168:F169)</f>
        <v>0</v>
      </c>
      <c r="G167" s="127">
        <f>SUM(G168:G169)</f>
        <v>3000</v>
      </c>
      <c r="H167" s="127">
        <f>SUM(H168:H169)</f>
        <v>0</v>
      </c>
      <c r="I167" s="127">
        <f>SUM(I168:I169)</f>
        <v>3000</v>
      </c>
    </row>
    <row r="168" spans="1:9" s="166" customFormat="1" ht="21" customHeight="1">
      <c r="A168" s="195"/>
      <c r="B168" s="195"/>
      <c r="C168" s="196"/>
      <c r="D168" s="198" t="s">
        <v>260</v>
      </c>
      <c r="E168" s="197">
        <v>2000</v>
      </c>
      <c r="F168" s="197"/>
      <c r="G168" s="197">
        <f>SUM(E168:F168)</f>
        <v>2000</v>
      </c>
      <c r="H168" s="197"/>
      <c r="I168" s="197">
        <f>SUM(G168:H168)</f>
        <v>2000</v>
      </c>
    </row>
    <row r="169" spans="1:9" s="166" customFormat="1" ht="21" customHeight="1">
      <c r="A169" s="195"/>
      <c r="B169" s="195"/>
      <c r="C169" s="196"/>
      <c r="D169" s="198" t="s">
        <v>263</v>
      </c>
      <c r="E169" s="197">
        <v>1000</v>
      </c>
      <c r="F169" s="197"/>
      <c r="G169" s="197">
        <f>SUM(E169:F169)</f>
        <v>1000</v>
      </c>
      <c r="H169" s="197"/>
      <c r="I169" s="197">
        <f>SUM(G169:H169)</f>
        <v>1000</v>
      </c>
    </row>
    <row r="170" spans="1:9" s="7" customFormat="1" ht="21" customHeight="1">
      <c r="A170" s="117" t="s">
        <v>64</v>
      </c>
      <c r="B170" s="118"/>
      <c r="C170" s="118"/>
      <c r="D170" s="119" t="s">
        <v>139</v>
      </c>
      <c r="E170" s="120">
        <f>E171</f>
        <v>112975</v>
      </c>
      <c r="F170" s="120">
        <f>F171</f>
        <v>0</v>
      </c>
      <c r="G170" s="120">
        <f>G171</f>
        <v>112975</v>
      </c>
      <c r="H170" s="120">
        <f>H171</f>
        <v>0</v>
      </c>
      <c r="I170" s="120">
        <f>I171</f>
        <v>112975</v>
      </c>
    </row>
    <row r="171" spans="1:9" s="24" customFormat="1" ht="21" customHeight="1">
      <c r="A171" s="124"/>
      <c r="B171" s="124" t="s">
        <v>140</v>
      </c>
      <c r="C171" s="125"/>
      <c r="D171" s="126" t="s">
        <v>154</v>
      </c>
      <c r="E171" s="127">
        <f>SUM(E172,E186,E202,E208,E213,)</f>
        <v>112975</v>
      </c>
      <c r="F171" s="127">
        <f>SUM(F172,F186,F202,F208,F213,)</f>
        <v>0</v>
      </c>
      <c r="G171" s="127">
        <f>SUM(G172,G186,G202,G208,G213,)</f>
        <v>112975</v>
      </c>
      <c r="H171" s="127">
        <f>SUM(H172,H186,H202,H208,H213,)</f>
        <v>0</v>
      </c>
      <c r="I171" s="127">
        <f>SUM(I172,I186,I202,I208,I213,)</f>
        <v>112975</v>
      </c>
    </row>
    <row r="172" spans="1:9" s="24" customFormat="1" ht="21" customHeight="1">
      <c r="A172" s="124"/>
      <c r="B172" s="124"/>
      <c r="C172" s="124" t="s">
        <v>277</v>
      </c>
      <c r="D172" s="126" t="s">
        <v>94</v>
      </c>
      <c r="E172" s="127">
        <f>SUM(E173:E185)</f>
        <v>33580</v>
      </c>
      <c r="F172" s="127">
        <f>SUM(F173:F185)</f>
        <v>0</v>
      </c>
      <c r="G172" s="127">
        <f>SUM(G173:G185)</f>
        <v>33580</v>
      </c>
      <c r="H172" s="127">
        <f>SUM(H173:H185)</f>
        <v>50</v>
      </c>
      <c r="I172" s="127">
        <f>SUM(I173:I185)</f>
        <v>33630</v>
      </c>
    </row>
    <row r="173" spans="1:9" s="24" customFormat="1" ht="21" customHeight="1">
      <c r="A173" s="128"/>
      <c r="B173" s="128"/>
      <c r="C173" s="128"/>
      <c r="D173" s="129" t="s">
        <v>270</v>
      </c>
      <c r="E173" s="130">
        <v>500</v>
      </c>
      <c r="F173" s="130"/>
      <c r="G173" s="130">
        <f>SUM(E173:F173)</f>
        <v>500</v>
      </c>
      <c r="H173" s="130">
        <v>50</v>
      </c>
      <c r="I173" s="130">
        <f>SUM(G173:H173)</f>
        <v>550</v>
      </c>
    </row>
    <row r="174" spans="1:9" s="24" customFormat="1" ht="21" customHeight="1">
      <c r="A174" s="128"/>
      <c r="B174" s="128"/>
      <c r="C174" s="128"/>
      <c r="D174" s="129" t="s">
        <v>260</v>
      </c>
      <c r="E174" s="130">
        <v>3000</v>
      </c>
      <c r="F174" s="130"/>
      <c r="G174" s="130">
        <f aca="true" t="shared" si="16" ref="G174:G185">SUM(E174:F174)</f>
        <v>3000</v>
      </c>
      <c r="H174" s="130"/>
      <c r="I174" s="130">
        <f aca="true" t="shared" si="17" ref="I174:I185">SUM(G174:H174)</f>
        <v>3000</v>
      </c>
    </row>
    <row r="175" spans="1:9" s="24" customFormat="1" ht="21" customHeight="1">
      <c r="A175" s="128"/>
      <c r="B175" s="128"/>
      <c r="C175" s="128"/>
      <c r="D175" s="129" t="s">
        <v>272</v>
      </c>
      <c r="E175" s="130">
        <v>3520</v>
      </c>
      <c r="F175" s="130"/>
      <c r="G175" s="130">
        <f t="shared" si="16"/>
        <v>3520</v>
      </c>
      <c r="H175" s="130"/>
      <c r="I175" s="130">
        <f t="shared" si="17"/>
        <v>3520</v>
      </c>
    </row>
    <row r="176" spans="1:9" s="24" customFormat="1" ht="21" customHeight="1">
      <c r="A176" s="128"/>
      <c r="B176" s="128"/>
      <c r="C176" s="128"/>
      <c r="D176" s="129" t="s">
        <v>261</v>
      </c>
      <c r="E176" s="130">
        <v>1280</v>
      </c>
      <c r="F176" s="130"/>
      <c r="G176" s="130">
        <f t="shared" si="16"/>
        <v>1280</v>
      </c>
      <c r="H176" s="130"/>
      <c r="I176" s="130">
        <f t="shared" si="17"/>
        <v>1280</v>
      </c>
    </row>
    <row r="177" spans="1:9" s="24" customFormat="1" ht="21" customHeight="1">
      <c r="A177" s="128"/>
      <c r="B177" s="128"/>
      <c r="C177" s="128"/>
      <c r="D177" s="129" t="s">
        <v>262</v>
      </c>
      <c r="E177" s="130">
        <v>2600</v>
      </c>
      <c r="F177" s="130"/>
      <c r="G177" s="130">
        <f t="shared" si="16"/>
        <v>2600</v>
      </c>
      <c r="H177" s="130"/>
      <c r="I177" s="130">
        <f t="shared" si="17"/>
        <v>2600</v>
      </c>
    </row>
    <row r="178" spans="1:9" s="24" customFormat="1" ht="21" customHeight="1">
      <c r="A178" s="128"/>
      <c r="B178" s="128"/>
      <c r="C178" s="128"/>
      <c r="D178" s="129" t="s">
        <v>263</v>
      </c>
      <c r="E178" s="130">
        <v>5280</v>
      </c>
      <c r="F178" s="130"/>
      <c r="G178" s="130">
        <f t="shared" si="16"/>
        <v>5280</v>
      </c>
      <c r="H178" s="130"/>
      <c r="I178" s="130">
        <f t="shared" si="17"/>
        <v>5280</v>
      </c>
    </row>
    <row r="179" spans="1:9" s="140" customFormat="1" ht="21" customHeight="1">
      <c r="A179" s="139"/>
      <c r="B179" s="139"/>
      <c r="C179" s="139"/>
      <c r="D179" s="129" t="s">
        <v>273</v>
      </c>
      <c r="E179" s="130">
        <v>2450</v>
      </c>
      <c r="F179" s="130"/>
      <c r="G179" s="130">
        <f t="shared" si="16"/>
        <v>2450</v>
      </c>
      <c r="H179" s="130"/>
      <c r="I179" s="130">
        <f t="shared" si="17"/>
        <v>2450</v>
      </c>
    </row>
    <row r="180" spans="1:9" s="140" customFormat="1" ht="21" customHeight="1">
      <c r="A180" s="139"/>
      <c r="B180" s="139"/>
      <c r="C180" s="139"/>
      <c r="D180" s="129" t="s">
        <v>264</v>
      </c>
      <c r="E180" s="130">
        <v>4000</v>
      </c>
      <c r="F180" s="130"/>
      <c r="G180" s="130">
        <f t="shared" si="16"/>
        <v>4000</v>
      </c>
      <c r="H180" s="130"/>
      <c r="I180" s="130">
        <f t="shared" si="17"/>
        <v>4000</v>
      </c>
    </row>
    <row r="181" spans="1:9" s="140" customFormat="1" ht="21" customHeight="1">
      <c r="A181" s="139"/>
      <c r="B181" s="139"/>
      <c r="C181" s="139"/>
      <c r="D181" s="129" t="s">
        <v>267</v>
      </c>
      <c r="E181" s="130">
        <v>500</v>
      </c>
      <c r="F181" s="130"/>
      <c r="G181" s="130">
        <f t="shared" si="16"/>
        <v>500</v>
      </c>
      <c r="H181" s="130"/>
      <c r="I181" s="130">
        <f t="shared" si="17"/>
        <v>500</v>
      </c>
    </row>
    <row r="182" spans="1:9" s="24" customFormat="1" ht="21" customHeight="1">
      <c r="A182" s="128"/>
      <c r="B182" s="128"/>
      <c r="C182" s="128"/>
      <c r="D182" s="129" t="s">
        <v>274</v>
      </c>
      <c r="E182" s="130">
        <v>2250</v>
      </c>
      <c r="F182" s="130"/>
      <c r="G182" s="130">
        <f t="shared" si="16"/>
        <v>2250</v>
      </c>
      <c r="H182" s="130"/>
      <c r="I182" s="130">
        <f t="shared" si="17"/>
        <v>2250</v>
      </c>
    </row>
    <row r="183" spans="1:9" s="24" customFormat="1" ht="21" customHeight="1">
      <c r="A183" s="128"/>
      <c r="B183" s="128"/>
      <c r="C183" s="128"/>
      <c r="D183" s="129" t="s">
        <v>275</v>
      </c>
      <c r="E183" s="130">
        <v>3700</v>
      </c>
      <c r="F183" s="130"/>
      <c r="G183" s="130">
        <f t="shared" si="16"/>
        <v>3700</v>
      </c>
      <c r="H183" s="130"/>
      <c r="I183" s="130">
        <f t="shared" si="17"/>
        <v>3700</v>
      </c>
    </row>
    <row r="184" spans="1:9" s="24" customFormat="1" ht="21" customHeight="1">
      <c r="A184" s="128"/>
      <c r="B184" s="128"/>
      <c r="C184" s="128"/>
      <c r="D184" s="129" t="s">
        <v>269</v>
      </c>
      <c r="E184" s="130">
        <v>2000</v>
      </c>
      <c r="F184" s="130"/>
      <c r="G184" s="130">
        <f t="shared" si="16"/>
        <v>2000</v>
      </c>
      <c r="H184" s="130"/>
      <c r="I184" s="130">
        <f t="shared" si="17"/>
        <v>2000</v>
      </c>
    </row>
    <row r="185" spans="1:9" s="24" customFormat="1" ht="21" customHeight="1">
      <c r="A185" s="128"/>
      <c r="B185" s="128"/>
      <c r="C185" s="128"/>
      <c r="D185" s="129" t="s">
        <v>279</v>
      </c>
      <c r="E185" s="130">
        <v>2500</v>
      </c>
      <c r="F185" s="130"/>
      <c r="G185" s="130">
        <f t="shared" si="16"/>
        <v>2500</v>
      </c>
      <c r="H185" s="130"/>
      <c r="I185" s="130">
        <f t="shared" si="17"/>
        <v>2500</v>
      </c>
    </row>
    <row r="186" spans="1:9" s="24" customFormat="1" ht="21" customHeight="1">
      <c r="A186" s="124"/>
      <c r="B186" s="124"/>
      <c r="C186" s="124" t="s">
        <v>284</v>
      </c>
      <c r="D186" s="126" t="s">
        <v>97</v>
      </c>
      <c r="E186" s="127">
        <f>SUM(E187:E201)</f>
        <v>12650</v>
      </c>
      <c r="F186" s="127">
        <f>SUM(F187:F201)</f>
        <v>0</v>
      </c>
      <c r="G186" s="127">
        <f>SUM(G187:G201)</f>
        <v>12650</v>
      </c>
      <c r="H186" s="127">
        <f>SUM(H187:H201)</f>
        <v>1940</v>
      </c>
      <c r="I186" s="127">
        <f>SUM(I187:I201)</f>
        <v>14590</v>
      </c>
    </row>
    <row r="187" spans="1:9" s="24" customFormat="1" ht="21" customHeight="1">
      <c r="A187" s="128"/>
      <c r="B187" s="128"/>
      <c r="C187" s="128"/>
      <c r="D187" s="129" t="s">
        <v>270</v>
      </c>
      <c r="E187" s="130">
        <v>800</v>
      </c>
      <c r="F187" s="130"/>
      <c r="G187" s="130">
        <f>SUM(E187:F187)</f>
        <v>800</v>
      </c>
      <c r="H187" s="130">
        <v>-50</v>
      </c>
      <c r="I187" s="130">
        <f>SUM(G187:H187)</f>
        <v>750</v>
      </c>
    </row>
    <row r="188" spans="1:9" s="24" customFormat="1" ht="21" customHeight="1">
      <c r="A188" s="128"/>
      <c r="B188" s="128"/>
      <c r="C188" s="128"/>
      <c r="D188" s="129" t="s">
        <v>271</v>
      </c>
      <c r="E188" s="130">
        <v>500</v>
      </c>
      <c r="F188" s="130"/>
      <c r="G188" s="130">
        <f aca="true" t="shared" si="18" ref="G188:G201">SUM(E188:F188)</f>
        <v>500</v>
      </c>
      <c r="H188" s="130"/>
      <c r="I188" s="130">
        <f aca="true" t="shared" si="19" ref="I188:I201">SUM(G188:H188)</f>
        <v>500</v>
      </c>
    </row>
    <row r="189" spans="1:9" s="24" customFormat="1" ht="21" customHeight="1">
      <c r="A189" s="128"/>
      <c r="B189" s="128"/>
      <c r="C189" s="128"/>
      <c r="D189" s="129" t="s">
        <v>260</v>
      </c>
      <c r="E189" s="130">
        <v>2000</v>
      </c>
      <c r="F189" s="130"/>
      <c r="G189" s="130">
        <f t="shared" si="18"/>
        <v>2000</v>
      </c>
      <c r="H189" s="130"/>
      <c r="I189" s="130">
        <f t="shared" si="19"/>
        <v>2000</v>
      </c>
    </row>
    <row r="190" spans="1:9" s="24" customFormat="1" ht="21" customHeight="1">
      <c r="A190" s="128"/>
      <c r="B190" s="128"/>
      <c r="C190" s="128"/>
      <c r="D190" s="129" t="s">
        <v>272</v>
      </c>
      <c r="E190" s="130">
        <v>800</v>
      </c>
      <c r="F190" s="130"/>
      <c r="G190" s="130">
        <f t="shared" si="18"/>
        <v>800</v>
      </c>
      <c r="H190" s="130"/>
      <c r="I190" s="130">
        <f t="shared" si="19"/>
        <v>800</v>
      </c>
    </row>
    <row r="191" spans="1:9" s="24" customFormat="1" ht="21" customHeight="1">
      <c r="A191" s="128"/>
      <c r="B191" s="128"/>
      <c r="C191" s="128"/>
      <c r="D191" s="129" t="s">
        <v>261</v>
      </c>
      <c r="E191" s="130">
        <v>800</v>
      </c>
      <c r="F191" s="130"/>
      <c r="G191" s="130">
        <f t="shared" si="18"/>
        <v>800</v>
      </c>
      <c r="H191" s="130"/>
      <c r="I191" s="130">
        <f t="shared" si="19"/>
        <v>800</v>
      </c>
    </row>
    <row r="192" spans="1:9" s="24" customFormat="1" ht="21" customHeight="1">
      <c r="A192" s="128"/>
      <c r="B192" s="128"/>
      <c r="C192" s="128"/>
      <c r="D192" s="129" t="s">
        <v>262</v>
      </c>
      <c r="E192" s="130">
        <v>700</v>
      </c>
      <c r="F192" s="130"/>
      <c r="G192" s="130">
        <f t="shared" si="18"/>
        <v>700</v>
      </c>
      <c r="H192" s="130"/>
      <c r="I192" s="130">
        <f t="shared" si="19"/>
        <v>700</v>
      </c>
    </row>
    <row r="193" spans="1:9" s="24" customFormat="1" ht="21" customHeight="1">
      <c r="A193" s="128"/>
      <c r="B193" s="128"/>
      <c r="C193" s="128"/>
      <c r="D193" s="129" t="s">
        <v>263</v>
      </c>
      <c r="E193" s="130">
        <v>1100</v>
      </c>
      <c r="F193" s="130"/>
      <c r="G193" s="130">
        <f t="shared" si="18"/>
        <v>1100</v>
      </c>
      <c r="H193" s="130"/>
      <c r="I193" s="130">
        <f t="shared" si="19"/>
        <v>1100</v>
      </c>
    </row>
    <row r="194" spans="1:9" s="140" customFormat="1" ht="21" customHeight="1">
      <c r="A194" s="139"/>
      <c r="B194" s="139"/>
      <c r="C194" s="139"/>
      <c r="D194" s="129" t="s">
        <v>273</v>
      </c>
      <c r="E194" s="130">
        <v>500</v>
      </c>
      <c r="F194" s="130"/>
      <c r="G194" s="130">
        <f t="shared" si="18"/>
        <v>500</v>
      </c>
      <c r="H194" s="130"/>
      <c r="I194" s="130">
        <f t="shared" si="19"/>
        <v>500</v>
      </c>
    </row>
    <row r="195" spans="1:9" s="24" customFormat="1" ht="21" customHeight="1">
      <c r="A195" s="128"/>
      <c r="B195" s="128"/>
      <c r="C195" s="128"/>
      <c r="D195" s="129" t="s">
        <v>264</v>
      </c>
      <c r="E195" s="130">
        <v>600</v>
      </c>
      <c r="F195" s="130"/>
      <c r="G195" s="130">
        <f t="shared" si="18"/>
        <v>600</v>
      </c>
      <c r="H195" s="130">
        <v>1990</v>
      </c>
      <c r="I195" s="130">
        <f t="shared" si="19"/>
        <v>2590</v>
      </c>
    </row>
    <row r="196" spans="1:9" s="24" customFormat="1" ht="21" customHeight="1">
      <c r="A196" s="128"/>
      <c r="B196" s="128"/>
      <c r="C196" s="128"/>
      <c r="D196" s="129" t="s">
        <v>267</v>
      </c>
      <c r="E196" s="130">
        <v>1400</v>
      </c>
      <c r="F196" s="130"/>
      <c r="G196" s="130">
        <f t="shared" si="18"/>
        <v>1400</v>
      </c>
      <c r="H196" s="130"/>
      <c r="I196" s="130">
        <f t="shared" si="19"/>
        <v>1400</v>
      </c>
    </row>
    <row r="197" spans="1:9" s="24" customFormat="1" ht="21" customHeight="1">
      <c r="A197" s="128"/>
      <c r="B197" s="128"/>
      <c r="C197" s="128"/>
      <c r="D197" s="129" t="s">
        <v>274</v>
      </c>
      <c r="E197" s="130">
        <v>1000</v>
      </c>
      <c r="F197" s="130"/>
      <c r="G197" s="130">
        <f t="shared" si="18"/>
        <v>1000</v>
      </c>
      <c r="H197" s="130"/>
      <c r="I197" s="130">
        <f t="shared" si="19"/>
        <v>1000</v>
      </c>
    </row>
    <row r="198" spans="1:9" s="24" customFormat="1" ht="21" customHeight="1">
      <c r="A198" s="128"/>
      <c r="B198" s="128"/>
      <c r="C198" s="128"/>
      <c r="D198" s="129" t="s">
        <v>275</v>
      </c>
      <c r="E198" s="130">
        <v>1300</v>
      </c>
      <c r="F198" s="130"/>
      <c r="G198" s="130">
        <f t="shared" si="18"/>
        <v>1300</v>
      </c>
      <c r="H198" s="130"/>
      <c r="I198" s="130">
        <f t="shared" si="19"/>
        <v>1300</v>
      </c>
    </row>
    <row r="199" spans="1:9" s="24" customFormat="1" ht="21" customHeight="1">
      <c r="A199" s="128"/>
      <c r="B199" s="128"/>
      <c r="C199" s="128"/>
      <c r="D199" s="129" t="s">
        <v>278</v>
      </c>
      <c r="E199" s="130">
        <v>250</v>
      </c>
      <c r="F199" s="130"/>
      <c r="G199" s="130">
        <f t="shared" si="18"/>
        <v>250</v>
      </c>
      <c r="H199" s="130"/>
      <c r="I199" s="130">
        <f t="shared" si="19"/>
        <v>250</v>
      </c>
    </row>
    <row r="200" spans="1:9" s="24" customFormat="1" ht="21" customHeight="1">
      <c r="A200" s="128"/>
      <c r="B200" s="128"/>
      <c r="C200" s="128"/>
      <c r="D200" s="129" t="s">
        <v>269</v>
      </c>
      <c r="E200" s="130">
        <v>300</v>
      </c>
      <c r="F200" s="130"/>
      <c r="G200" s="130">
        <f t="shared" si="18"/>
        <v>300</v>
      </c>
      <c r="H200" s="130"/>
      <c r="I200" s="130">
        <f t="shared" si="19"/>
        <v>300</v>
      </c>
    </row>
    <row r="201" spans="1:9" s="24" customFormat="1" ht="21" customHeight="1">
      <c r="A201" s="128"/>
      <c r="B201" s="128"/>
      <c r="C201" s="128"/>
      <c r="D201" s="129" t="s">
        <v>279</v>
      </c>
      <c r="E201" s="130">
        <v>600</v>
      </c>
      <c r="F201" s="130"/>
      <c r="G201" s="130">
        <f t="shared" si="18"/>
        <v>600</v>
      </c>
      <c r="H201" s="130"/>
      <c r="I201" s="130">
        <f t="shared" si="19"/>
        <v>600</v>
      </c>
    </row>
    <row r="202" spans="1:9" s="24" customFormat="1" ht="21" customHeight="1">
      <c r="A202" s="124"/>
      <c r="B202" s="124"/>
      <c r="C202" s="125">
        <v>4270</v>
      </c>
      <c r="D202" s="138" t="s">
        <v>80</v>
      </c>
      <c r="E202" s="127">
        <f>SUM(E203:E207)</f>
        <v>56770</v>
      </c>
      <c r="F202" s="127">
        <f>SUM(F203:F207)</f>
        <v>0</v>
      </c>
      <c r="G202" s="127">
        <f>SUM(G203:G207)</f>
        <v>56770</v>
      </c>
      <c r="H202" s="127">
        <f>SUM(H203:H207)</f>
        <v>-1990</v>
      </c>
      <c r="I202" s="127">
        <f>SUM(I203:I207)</f>
        <v>54780</v>
      </c>
    </row>
    <row r="203" spans="1:9" s="26" customFormat="1" ht="21" customHeight="1">
      <c r="A203" s="135"/>
      <c r="B203" s="135"/>
      <c r="C203" s="134"/>
      <c r="D203" s="129" t="s">
        <v>270</v>
      </c>
      <c r="E203" s="130">
        <v>38400</v>
      </c>
      <c r="F203" s="130"/>
      <c r="G203" s="130">
        <f>SUM(E203:F203)</f>
        <v>38400</v>
      </c>
      <c r="H203" s="130"/>
      <c r="I203" s="130">
        <f>SUM(G203:H203)</f>
        <v>38400</v>
      </c>
    </row>
    <row r="204" spans="1:9" s="26" customFormat="1" ht="21" customHeight="1">
      <c r="A204" s="135"/>
      <c r="B204" s="135"/>
      <c r="C204" s="134"/>
      <c r="D204" s="129" t="s">
        <v>271</v>
      </c>
      <c r="E204" s="130">
        <v>8390</v>
      </c>
      <c r="F204" s="130"/>
      <c r="G204" s="130">
        <f>SUM(E204:F204)</f>
        <v>8390</v>
      </c>
      <c r="H204" s="130"/>
      <c r="I204" s="130">
        <f>SUM(G204:H204)</f>
        <v>8390</v>
      </c>
    </row>
    <row r="205" spans="1:9" s="26" customFormat="1" ht="21" customHeight="1">
      <c r="A205" s="128"/>
      <c r="B205" s="128"/>
      <c r="C205" s="128"/>
      <c r="D205" s="129" t="s">
        <v>264</v>
      </c>
      <c r="E205" s="130">
        <v>1990</v>
      </c>
      <c r="F205" s="130"/>
      <c r="G205" s="130">
        <f>SUM(E205:F205)</f>
        <v>1990</v>
      </c>
      <c r="H205" s="130">
        <v>-1990</v>
      </c>
      <c r="I205" s="130">
        <f>SUM(G205:H205)</f>
        <v>0</v>
      </c>
    </row>
    <row r="206" spans="1:9" s="26" customFormat="1" ht="21" customHeight="1">
      <c r="A206" s="128"/>
      <c r="B206" s="128"/>
      <c r="C206" s="128"/>
      <c r="D206" s="129" t="s">
        <v>275</v>
      </c>
      <c r="E206" s="130">
        <v>4110</v>
      </c>
      <c r="F206" s="130"/>
      <c r="G206" s="130">
        <f>SUM(E206:F206)</f>
        <v>4110</v>
      </c>
      <c r="H206" s="130"/>
      <c r="I206" s="130">
        <f>SUM(G206:H206)</f>
        <v>4110</v>
      </c>
    </row>
    <row r="207" spans="1:9" s="26" customFormat="1" ht="21" customHeight="1">
      <c r="A207" s="128"/>
      <c r="B207" s="128"/>
      <c r="C207" s="128"/>
      <c r="D207" s="129" t="s">
        <v>279</v>
      </c>
      <c r="E207" s="130">
        <v>3880</v>
      </c>
      <c r="F207" s="130"/>
      <c r="G207" s="130">
        <f>SUM(E207:F207)</f>
        <v>3880</v>
      </c>
      <c r="H207" s="130"/>
      <c r="I207" s="130">
        <f>SUM(G207:H207)</f>
        <v>3880</v>
      </c>
    </row>
    <row r="208" spans="1:9" s="24" customFormat="1" ht="21" customHeight="1">
      <c r="A208" s="124"/>
      <c r="B208" s="124"/>
      <c r="C208" s="125">
        <v>4300</v>
      </c>
      <c r="D208" s="138" t="s">
        <v>81</v>
      </c>
      <c r="E208" s="127">
        <f>SUM(E209:E212)</f>
        <v>8340</v>
      </c>
      <c r="F208" s="127">
        <f>SUM(F209:F212)</f>
        <v>0</v>
      </c>
      <c r="G208" s="127">
        <f>SUM(G209:G212)</f>
        <v>8340</v>
      </c>
      <c r="H208" s="127">
        <f>SUM(H209:H212)</f>
        <v>0</v>
      </c>
      <c r="I208" s="127">
        <f>SUM(I209:I212)</f>
        <v>8340</v>
      </c>
    </row>
    <row r="209" spans="1:9" s="96" customFormat="1" ht="21" customHeight="1">
      <c r="A209" s="131"/>
      <c r="B209" s="131"/>
      <c r="C209" s="131"/>
      <c r="D209" s="129" t="s">
        <v>263</v>
      </c>
      <c r="E209" s="130">
        <v>220</v>
      </c>
      <c r="F209" s="130"/>
      <c r="G209" s="130">
        <f>SUM(E209:F209)</f>
        <v>220</v>
      </c>
      <c r="H209" s="130"/>
      <c r="I209" s="130">
        <f>SUM(G209:H209)</f>
        <v>220</v>
      </c>
    </row>
    <row r="210" spans="1:9" s="96" customFormat="1" ht="21" customHeight="1">
      <c r="A210" s="131"/>
      <c r="B210" s="131"/>
      <c r="C210" s="131"/>
      <c r="D210" s="132" t="s">
        <v>273</v>
      </c>
      <c r="E210" s="130">
        <v>4000</v>
      </c>
      <c r="F210" s="130"/>
      <c r="G210" s="130">
        <f>SUM(E210:F210)</f>
        <v>4000</v>
      </c>
      <c r="H210" s="130"/>
      <c r="I210" s="130">
        <f>SUM(G210:H210)</f>
        <v>4000</v>
      </c>
    </row>
    <row r="211" spans="1:9" s="96" customFormat="1" ht="21" customHeight="1">
      <c r="A211" s="131"/>
      <c r="B211" s="131"/>
      <c r="C211" s="131"/>
      <c r="D211" s="132" t="s">
        <v>278</v>
      </c>
      <c r="E211" s="130">
        <v>2000</v>
      </c>
      <c r="F211" s="130"/>
      <c r="G211" s="130">
        <f>SUM(E211:F211)</f>
        <v>2000</v>
      </c>
      <c r="H211" s="130"/>
      <c r="I211" s="130">
        <f>SUM(G211:H211)</f>
        <v>2000</v>
      </c>
    </row>
    <row r="212" spans="1:9" s="96" customFormat="1" ht="21" customHeight="1">
      <c r="A212" s="131"/>
      <c r="B212" s="131"/>
      <c r="C212" s="131"/>
      <c r="D212" s="132" t="s">
        <v>269</v>
      </c>
      <c r="E212" s="130">
        <v>2120</v>
      </c>
      <c r="F212" s="130"/>
      <c r="G212" s="130">
        <f>SUM(E212:F212)</f>
        <v>2120</v>
      </c>
      <c r="H212" s="130"/>
      <c r="I212" s="130">
        <f>SUM(G212:H212)</f>
        <v>2120</v>
      </c>
    </row>
    <row r="213" spans="1:9" s="24" customFormat="1" ht="21" customHeight="1">
      <c r="A213" s="124"/>
      <c r="B213" s="124"/>
      <c r="C213" s="125">
        <v>4430</v>
      </c>
      <c r="D213" s="138" t="s">
        <v>96</v>
      </c>
      <c r="E213" s="127">
        <f>SUM(E214:E229)</f>
        <v>1635</v>
      </c>
      <c r="F213" s="127">
        <f>SUM(F214:F229)</f>
        <v>0</v>
      </c>
      <c r="G213" s="127">
        <f>SUM(G214:G229)</f>
        <v>1635</v>
      </c>
      <c r="H213" s="127">
        <f>SUM(H214:H229)</f>
        <v>0</v>
      </c>
      <c r="I213" s="127">
        <f>SUM(I214:I229)</f>
        <v>1635</v>
      </c>
    </row>
    <row r="214" spans="1:9" s="24" customFormat="1" ht="21" customHeight="1">
      <c r="A214" s="128"/>
      <c r="B214" s="128"/>
      <c r="C214" s="128"/>
      <c r="D214" s="129" t="s">
        <v>270</v>
      </c>
      <c r="E214" s="130">
        <v>220</v>
      </c>
      <c r="F214" s="130"/>
      <c r="G214" s="130">
        <f>SUM(E214:F214)</f>
        <v>220</v>
      </c>
      <c r="H214" s="130"/>
      <c r="I214" s="130">
        <f>SUM(G214:H214)</f>
        <v>220</v>
      </c>
    </row>
    <row r="215" spans="1:9" s="24" customFormat="1" ht="21" customHeight="1">
      <c r="A215" s="128"/>
      <c r="B215" s="128"/>
      <c r="C215" s="128"/>
      <c r="D215" s="129" t="s">
        <v>271</v>
      </c>
      <c r="E215" s="130">
        <v>120</v>
      </c>
      <c r="F215" s="130"/>
      <c r="G215" s="130">
        <f aca="true" t="shared" si="20" ref="G215:G229">SUM(E215:F215)</f>
        <v>120</v>
      </c>
      <c r="H215" s="130"/>
      <c r="I215" s="130">
        <f aca="true" t="shared" si="21" ref="I215:I229">SUM(G215:H215)</f>
        <v>120</v>
      </c>
    </row>
    <row r="216" spans="1:9" s="24" customFormat="1" ht="21" customHeight="1">
      <c r="A216" s="128"/>
      <c r="B216" s="128"/>
      <c r="C216" s="128"/>
      <c r="D216" s="129" t="s">
        <v>260</v>
      </c>
      <c r="E216" s="130">
        <v>100</v>
      </c>
      <c r="F216" s="130"/>
      <c r="G216" s="130">
        <f t="shared" si="20"/>
        <v>100</v>
      </c>
      <c r="H216" s="130"/>
      <c r="I216" s="130">
        <f t="shared" si="21"/>
        <v>100</v>
      </c>
    </row>
    <row r="217" spans="1:9" s="24" customFormat="1" ht="21" customHeight="1">
      <c r="A217" s="128"/>
      <c r="B217" s="128"/>
      <c r="C217" s="128"/>
      <c r="D217" s="129" t="s">
        <v>272</v>
      </c>
      <c r="E217" s="130">
        <v>150</v>
      </c>
      <c r="F217" s="130"/>
      <c r="G217" s="130">
        <f t="shared" si="20"/>
        <v>150</v>
      </c>
      <c r="H217" s="130"/>
      <c r="I217" s="130">
        <f t="shared" si="21"/>
        <v>150</v>
      </c>
    </row>
    <row r="218" spans="1:9" s="24" customFormat="1" ht="21" customHeight="1">
      <c r="A218" s="128"/>
      <c r="B218" s="128"/>
      <c r="C218" s="128"/>
      <c r="D218" s="129" t="s">
        <v>261</v>
      </c>
      <c r="E218" s="130">
        <v>80</v>
      </c>
      <c r="F218" s="130"/>
      <c r="G218" s="130">
        <f t="shared" si="20"/>
        <v>80</v>
      </c>
      <c r="H218" s="130"/>
      <c r="I218" s="130">
        <f t="shared" si="21"/>
        <v>80</v>
      </c>
    </row>
    <row r="219" spans="1:9" s="24" customFormat="1" ht="21" customHeight="1">
      <c r="A219" s="128"/>
      <c r="B219" s="128"/>
      <c r="C219" s="128"/>
      <c r="D219" s="129" t="s">
        <v>262</v>
      </c>
      <c r="E219" s="130">
        <v>100</v>
      </c>
      <c r="F219" s="130"/>
      <c r="G219" s="130">
        <f t="shared" si="20"/>
        <v>100</v>
      </c>
      <c r="H219" s="130"/>
      <c r="I219" s="130">
        <f t="shared" si="21"/>
        <v>100</v>
      </c>
    </row>
    <row r="220" spans="1:9" s="24" customFormat="1" ht="21" customHeight="1">
      <c r="A220" s="128"/>
      <c r="B220" s="128"/>
      <c r="C220" s="128"/>
      <c r="D220" s="129" t="s">
        <v>263</v>
      </c>
      <c r="E220" s="130">
        <v>70</v>
      </c>
      <c r="F220" s="130"/>
      <c r="G220" s="130">
        <f t="shared" si="20"/>
        <v>70</v>
      </c>
      <c r="H220" s="130"/>
      <c r="I220" s="130">
        <f t="shared" si="21"/>
        <v>70</v>
      </c>
    </row>
    <row r="221" spans="1:9" s="24" customFormat="1" ht="21" customHeight="1">
      <c r="A221" s="128"/>
      <c r="B221" s="128"/>
      <c r="C221" s="128"/>
      <c r="D221" s="129" t="s">
        <v>273</v>
      </c>
      <c r="E221" s="130">
        <v>50</v>
      </c>
      <c r="F221" s="130"/>
      <c r="G221" s="130">
        <f t="shared" si="20"/>
        <v>50</v>
      </c>
      <c r="H221" s="130"/>
      <c r="I221" s="130">
        <f t="shared" si="21"/>
        <v>50</v>
      </c>
    </row>
    <row r="222" spans="1:9" s="24" customFormat="1" ht="21" customHeight="1">
      <c r="A222" s="128"/>
      <c r="B222" s="128"/>
      <c r="C222" s="128"/>
      <c r="D222" s="129" t="s">
        <v>264</v>
      </c>
      <c r="E222" s="130">
        <v>150</v>
      </c>
      <c r="F222" s="130"/>
      <c r="G222" s="130">
        <f t="shared" si="20"/>
        <v>150</v>
      </c>
      <c r="H222" s="130"/>
      <c r="I222" s="130">
        <f t="shared" si="21"/>
        <v>150</v>
      </c>
    </row>
    <row r="223" spans="1:9" s="24" customFormat="1" ht="21" customHeight="1">
      <c r="A223" s="128"/>
      <c r="B223" s="128"/>
      <c r="C223" s="128"/>
      <c r="D223" s="129" t="s">
        <v>265</v>
      </c>
      <c r="E223" s="130">
        <v>15</v>
      </c>
      <c r="F223" s="130"/>
      <c r="G223" s="130">
        <f t="shared" si="20"/>
        <v>15</v>
      </c>
      <c r="H223" s="130"/>
      <c r="I223" s="130">
        <f t="shared" si="21"/>
        <v>15</v>
      </c>
    </row>
    <row r="224" spans="1:9" s="24" customFormat="1" ht="21" customHeight="1">
      <c r="A224" s="128"/>
      <c r="B224" s="128"/>
      <c r="C224" s="128"/>
      <c r="D224" s="129" t="s">
        <v>267</v>
      </c>
      <c r="E224" s="130">
        <v>150</v>
      </c>
      <c r="F224" s="130"/>
      <c r="G224" s="130">
        <f t="shared" si="20"/>
        <v>150</v>
      </c>
      <c r="H224" s="130"/>
      <c r="I224" s="130">
        <f t="shared" si="21"/>
        <v>150</v>
      </c>
    </row>
    <row r="225" spans="1:9" s="24" customFormat="1" ht="21" customHeight="1">
      <c r="A225" s="128"/>
      <c r="B225" s="128"/>
      <c r="C225" s="128"/>
      <c r="D225" s="129" t="s">
        <v>274</v>
      </c>
      <c r="E225" s="148">
        <v>100</v>
      </c>
      <c r="F225" s="148"/>
      <c r="G225" s="130">
        <f t="shared" si="20"/>
        <v>100</v>
      </c>
      <c r="H225" s="148"/>
      <c r="I225" s="130">
        <f t="shared" si="21"/>
        <v>100</v>
      </c>
    </row>
    <row r="226" spans="1:9" s="24" customFormat="1" ht="21" customHeight="1">
      <c r="A226" s="128"/>
      <c r="B226" s="128"/>
      <c r="C226" s="128"/>
      <c r="D226" s="129" t="s">
        <v>275</v>
      </c>
      <c r="E226" s="130">
        <v>80</v>
      </c>
      <c r="F226" s="130"/>
      <c r="G226" s="130">
        <f t="shared" si="20"/>
        <v>80</v>
      </c>
      <c r="H226" s="130"/>
      <c r="I226" s="130">
        <f t="shared" si="21"/>
        <v>80</v>
      </c>
    </row>
    <row r="227" spans="1:9" s="24" customFormat="1" ht="21" customHeight="1">
      <c r="A227" s="128"/>
      <c r="B227" s="128"/>
      <c r="C227" s="128"/>
      <c r="D227" s="129" t="s">
        <v>278</v>
      </c>
      <c r="E227" s="130">
        <v>100</v>
      </c>
      <c r="F227" s="130"/>
      <c r="G227" s="130">
        <f t="shared" si="20"/>
        <v>100</v>
      </c>
      <c r="H227" s="130"/>
      <c r="I227" s="130">
        <f t="shared" si="21"/>
        <v>100</v>
      </c>
    </row>
    <row r="228" spans="1:9" s="24" customFormat="1" ht="21" customHeight="1">
      <c r="A228" s="128"/>
      <c r="B228" s="128"/>
      <c r="C228" s="128"/>
      <c r="D228" s="129" t="s">
        <v>269</v>
      </c>
      <c r="E228" s="130">
        <v>50</v>
      </c>
      <c r="F228" s="130"/>
      <c r="G228" s="130">
        <f t="shared" si="20"/>
        <v>50</v>
      </c>
      <c r="H228" s="130"/>
      <c r="I228" s="130">
        <f t="shared" si="21"/>
        <v>50</v>
      </c>
    </row>
    <row r="229" spans="1:9" s="24" customFormat="1" ht="21" customHeight="1">
      <c r="A229" s="128"/>
      <c r="B229" s="128"/>
      <c r="C229" s="128"/>
      <c r="D229" s="129" t="s">
        <v>279</v>
      </c>
      <c r="E229" s="130">
        <v>100</v>
      </c>
      <c r="F229" s="130"/>
      <c r="G229" s="130">
        <f t="shared" si="20"/>
        <v>100</v>
      </c>
      <c r="H229" s="130"/>
      <c r="I229" s="130">
        <f t="shared" si="21"/>
        <v>100</v>
      </c>
    </row>
    <row r="230" spans="1:9" s="7" customFormat="1" ht="21" customHeight="1">
      <c r="A230" s="117" t="s">
        <v>144</v>
      </c>
      <c r="B230" s="118"/>
      <c r="C230" s="118"/>
      <c r="D230" s="119" t="s">
        <v>67</v>
      </c>
      <c r="E230" s="120">
        <f>SUM(E231)</f>
        <v>15290</v>
      </c>
      <c r="F230" s="120">
        <f>SUM(F231)</f>
        <v>0</v>
      </c>
      <c r="G230" s="120">
        <f>SUM(G231)</f>
        <v>15290</v>
      </c>
      <c r="H230" s="120">
        <f>SUM(H231)</f>
        <v>0</v>
      </c>
      <c r="I230" s="120">
        <f>SUM(I231)</f>
        <v>15290</v>
      </c>
    </row>
    <row r="231" spans="1:9" s="24" customFormat="1" ht="21" customHeight="1">
      <c r="A231" s="125"/>
      <c r="B231" s="133">
        <v>92605</v>
      </c>
      <c r="C231" s="125"/>
      <c r="D231" s="126" t="s">
        <v>68</v>
      </c>
      <c r="E231" s="127">
        <f>SUM(E232,E240,E242)</f>
        <v>15290</v>
      </c>
      <c r="F231" s="127">
        <f>SUM(F232,F240,F242)</f>
        <v>0</v>
      </c>
      <c r="G231" s="127">
        <f>SUM(G232,G240,G242)</f>
        <v>15290</v>
      </c>
      <c r="H231" s="127">
        <f>SUM(H232,H240,H242)</f>
        <v>0</v>
      </c>
      <c r="I231" s="127">
        <f>SUM(I232,I240,I242)</f>
        <v>15290</v>
      </c>
    </row>
    <row r="232" spans="1:9" s="24" customFormat="1" ht="21" customHeight="1">
      <c r="A232" s="125"/>
      <c r="B232" s="124"/>
      <c r="C232" s="124" t="s">
        <v>277</v>
      </c>
      <c r="D232" s="126" t="s">
        <v>94</v>
      </c>
      <c r="E232" s="127">
        <f>SUM(E233:E239)</f>
        <v>9590</v>
      </c>
      <c r="F232" s="127">
        <f>SUM(F233:F239)</f>
        <v>0</v>
      </c>
      <c r="G232" s="127">
        <f>SUM(G233:G239)</f>
        <v>9590</v>
      </c>
      <c r="H232" s="127">
        <f>SUM(H233:H239)</f>
        <v>0</v>
      </c>
      <c r="I232" s="127">
        <f>SUM(I233:I239)</f>
        <v>9590</v>
      </c>
    </row>
    <row r="233" spans="1:9" s="24" customFormat="1" ht="21" customHeight="1">
      <c r="A233" s="128"/>
      <c r="B233" s="128"/>
      <c r="C233" s="128"/>
      <c r="D233" s="129" t="s">
        <v>272</v>
      </c>
      <c r="E233" s="130">
        <v>1300</v>
      </c>
      <c r="F233" s="130"/>
      <c r="G233" s="130">
        <f>SUM(E233:F233)</f>
        <v>1300</v>
      </c>
      <c r="H233" s="130"/>
      <c r="I233" s="130">
        <f>SUM(G233:H233)</f>
        <v>1300</v>
      </c>
    </row>
    <row r="234" spans="1:9" s="24" customFormat="1" ht="21" customHeight="1">
      <c r="A234" s="128"/>
      <c r="B234" s="128"/>
      <c r="C234" s="128"/>
      <c r="D234" s="129" t="s">
        <v>263</v>
      </c>
      <c r="E234" s="130">
        <v>170</v>
      </c>
      <c r="F234" s="130"/>
      <c r="G234" s="130">
        <f aca="true" t="shared" si="22" ref="G234:G239">SUM(E234:F234)</f>
        <v>170</v>
      </c>
      <c r="H234" s="130"/>
      <c r="I234" s="130">
        <f aca="true" t="shared" si="23" ref="I234:I239">SUM(G234:H234)</f>
        <v>170</v>
      </c>
    </row>
    <row r="235" spans="1:9" s="24" customFormat="1" ht="21" customHeight="1">
      <c r="A235" s="128"/>
      <c r="B235" s="128"/>
      <c r="C235" s="128"/>
      <c r="D235" s="129" t="s">
        <v>262</v>
      </c>
      <c r="E235" s="130">
        <v>1000</v>
      </c>
      <c r="F235" s="130"/>
      <c r="G235" s="130">
        <f t="shared" si="22"/>
        <v>1000</v>
      </c>
      <c r="H235" s="130"/>
      <c r="I235" s="130">
        <f t="shared" si="23"/>
        <v>1000</v>
      </c>
    </row>
    <row r="236" spans="1:9" s="24" customFormat="1" ht="21" customHeight="1">
      <c r="A236" s="128"/>
      <c r="B236" s="128"/>
      <c r="C236" s="128"/>
      <c r="D236" s="129" t="s">
        <v>273</v>
      </c>
      <c r="E236" s="130">
        <v>1000</v>
      </c>
      <c r="F236" s="130"/>
      <c r="G236" s="130">
        <f t="shared" si="22"/>
        <v>1000</v>
      </c>
      <c r="H236" s="130"/>
      <c r="I236" s="130">
        <f t="shared" si="23"/>
        <v>1000</v>
      </c>
    </row>
    <row r="237" spans="1:9" s="24" customFormat="1" ht="21" customHeight="1">
      <c r="A237" s="128"/>
      <c r="B237" s="128"/>
      <c r="C237" s="128"/>
      <c r="D237" s="129" t="s">
        <v>264</v>
      </c>
      <c r="E237" s="130">
        <v>1500</v>
      </c>
      <c r="F237" s="130"/>
      <c r="G237" s="130">
        <f t="shared" si="22"/>
        <v>1500</v>
      </c>
      <c r="H237" s="130"/>
      <c r="I237" s="130">
        <f t="shared" si="23"/>
        <v>1500</v>
      </c>
    </row>
    <row r="238" spans="1:9" s="24" customFormat="1" ht="21" customHeight="1">
      <c r="A238" s="128"/>
      <c r="B238" s="128"/>
      <c r="C238" s="128"/>
      <c r="D238" s="129" t="s">
        <v>274</v>
      </c>
      <c r="E238" s="130">
        <v>3090</v>
      </c>
      <c r="F238" s="130"/>
      <c r="G238" s="130">
        <f t="shared" si="22"/>
        <v>3090</v>
      </c>
      <c r="H238" s="130"/>
      <c r="I238" s="130">
        <f t="shared" si="23"/>
        <v>3090</v>
      </c>
    </row>
    <row r="239" spans="1:9" s="24" customFormat="1" ht="21" customHeight="1">
      <c r="A239" s="128"/>
      <c r="B239" s="128"/>
      <c r="C239" s="128"/>
      <c r="D239" s="129" t="s">
        <v>278</v>
      </c>
      <c r="E239" s="130">
        <v>1530</v>
      </c>
      <c r="F239" s="130"/>
      <c r="G239" s="130">
        <f t="shared" si="22"/>
        <v>1530</v>
      </c>
      <c r="H239" s="130"/>
      <c r="I239" s="130">
        <f t="shared" si="23"/>
        <v>1530</v>
      </c>
    </row>
    <row r="240" spans="1:9" s="24" customFormat="1" ht="21" customHeight="1">
      <c r="A240" s="124"/>
      <c r="B240" s="124"/>
      <c r="C240" s="124" t="s">
        <v>284</v>
      </c>
      <c r="D240" s="126" t="s">
        <v>97</v>
      </c>
      <c r="E240" s="127">
        <f>SUM(E241:E241)</f>
        <v>1100</v>
      </c>
      <c r="F240" s="127">
        <f>SUM(F241:F241)</f>
        <v>0</v>
      </c>
      <c r="G240" s="127">
        <f>SUM(G241:G241)</f>
        <v>1100</v>
      </c>
      <c r="H240" s="127">
        <f>SUM(H241:H241)</f>
        <v>0</v>
      </c>
      <c r="I240" s="127">
        <f>SUM(I241:I241)</f>
        <v>1100</v>
      </c>
    </row>
    <row r="241" spans="1:9" s="24" customFormat="1" ht="21" customHeight="1">
      <c r="A241" s="128"/>
      <c r="B241" s="128"/>
      <c r="C241" s="128"/>
      <c r="D241" s="129" t="s">
        <v>267</v>
      </c>
      <c r="E241" s="130">
        <v>1100</v>
      </c>
      <c r="F241" s="130"/>
      <c r="G241" s="130">
        <f>SUM(E241:F241)</f>
        <v>1100</v>
      </c>
      <c r="H241" s="130"/>
      <c r="I241" s="130">
        <f>SUM(G241:H241)</f>
        <v>1100</v>
      </c>
    </row>
    <row r="242" spans="1:9" s="24" customFormat="1" ht="21" customHeight="1">
      <c r="A242" s="125"/>
      <c r="B242" s="124"/>
      <c r="C242" s="125">
        <v>4300</v>
      </c>
      <c r="D242" s="138" t="s">
        <v>81</v>
      </c>
      <c r="E242" s="127">
        <f>SUM(E243:E248)</f>
        <v>4600</v>
      </c>
      <c r="F242" s="127">
        <f>SUM(F243:F248)</f>
        <v>0</v>
      </c>
      <c r="G242" s="127">
        <f>SUM(G243:G248)</f>
        <v>4600</v>
      </c>
      <c r="H242" s="127">
        <f>SUM(H243:H248)</f>
        <v>0</v>
      </c>
      <c r="I242" s="127">
        <f>SUM(I243:I248)</f>
        <v>4600</v>
      </c>
    </row>
    <row r="243" spans="1:9" s="24" customFormat="1" ht="21" customHeight="1">
      <c r="A243" s="128"/>
      <c r="B243" s="128"/>
      <c r="C243" s="128"/>
      <c r="D243" s="129" t="s">
        <v>270</v>
      </c>
      <c r="E243" s="130">
        <v>600</v>
      </c>
      <c r="F243" s="130"/>
      <c r="G243" s="130">
        <f aca="true" t="shared" si="24" ref="G243:G248">SUM(E243:F243)</f>
        <v>600</v>
      </c>
      <c r="H243" s="130"/>
      <c r="I243" s="130">
        <f aca="true" t="shared" si="25" ref="I243:I248">SUM(G243:H243)</f>
        <v>600</v>
      </c>
    </row>
    <row r="244" spans="1:9" s="24" customFormat="1" ht="21" customHeight="1">
      <c r="A244" s="128"/>
      <c r="B244" s="128"/>
      <c r="C244" s="128"/>
      <c r="D244" s="129" t="s">
        <v>272</v>
      </c>
      <c r="E244" s="130">
        <v>1200</v>
      </c>
      <c r="F244" s="130"/>
      <c r="G244" s="130">
        <f t="shared" si="24"/>
        <v>1200</v>
      </c>
      <c r="H244" s="130"/>
      <c r="I244" s="130">
        <f t="shared" si="25"/>
        <v>1200</v>
      </c>
    </row>
    <row r="245" spans="1:9" s="24" customFormat="1" ht="21" customHeight="1">
      <c r="A245" s="128"/>
      <c r="B245" s="128"/>
      <c r="C245" s="128"/>
      <c r="D245" s="129" t="s">
        <v>261</v>
      </c>
      <c r="E245" s="130">
        <v>300</v>
      </c>
      <c r="F245" s="130"/>
      <c r="G245" s="130">
        <f t="shared" si="24"/>
        <v>300</v>
      </c>
      <c r="H245" s="130"/>
      <c r="I245" s="130">
        <f t="shared" si="25"/>
        <v>300</v>
      </c>
    </row>
    <row r="246" spans="1:9" s="24" customFormat="1" ht="21" customHeight="1">
      <c r="A246" s="128"/>
      <c r="B246" s="128"/>
      <c r="C246" s="128"/>
      <c r="D246" s="129" t="s">
        <v>273</v>
      </c>
      <c r="E246" s="130">
        <v>600</v>
      </c>
      <c r="F246" s="130"/>
      <c r="G246" s="130">
        <f t="shared" si="24"/>
        <v>600</v>
      </c>
      <c r="H246" s="130"/>
      <c r="I246" s="130">
        <f t="shared" si="25"/>
        <v>600</v>
      </c>
    </row>
    <row r="247" spans="1:9" s="24" customFormat="1" ht="21" customHeight="1">
      <c r="A247" s="128"/>
      <c r="B247" s="128"/>
      <c r="C247" s="128"/>
      <c r="D247" s="129" t="s">
        <v>264</v>
      </c>
      <c r="E247" s="130">
        <v>1200</v>
      </c>
      <c r="F247" s="130"/>
      <c r="G247" s="130">
        <f t="shared" si="24"/>
        <v>1200</v>
      </c>
      <c r="H247" s="130"/>
      <c r="I247" s="130">
        <f t="shared" si="25"/>
        <v>1200</v>
      </c>
    </row>
    <row r="248" spans="1:9" s="24" customFormat="1" ht="21" customHeight="1">
      <c r="A248" s="128"/>
      <c r="B248" s="128"/>
      <c r="C248" s="128"/>
      <c r="D248" s="129" t="s">
        <v>274</v>
      </c>
      <c r="E248" s="130">
        <v>700</v>
      </c>
      <c r="F248" s="130"/>
      <c r="G248" s="130">
        <f t="shared" si="24"/>
        <v>700</v>
      </c>
      <c r="H248" s="130"/>
      <c r="I248" s="130">
        <f t="shared" si="25"/>
        <v>700</v>
      </c>
    </row>
    <row r="249" spans="1:9" s="7" customFormat="1" ht="21" customHeight="1">
      <c r="A249" s="142"/>
      <c r="B249" s="142"/>
      <c r="C249" s="142"/>
      <c r="D249" s="143" t="s">
        <v>69</v>
      </c>
      <c r="E249" s="120">
        <f>SUM(E7,E37,E43,E48,E76,E85,E119,E133,E170,E230,E115)</f>
        <v>372000</v>
      </c>
      <c r="F249" s="120">
        <f>SUM(F7,F37,F43,F48,F76,F85,F119,F133,F170,F230,F115)</f>
        <v>-500</v>
      </c>
      <c r="G249" s="120">
        <f>SUM(G7,G37,G43,G48,G76,G85,G119,G133,G170,G230,G115)</f>
        <v>371500</v>
      </c>
      <c r="H249" s="120">
        <f>SUM(H7,H37,H43,H48,H76,H85,H119,H133,H170,H230,H115)</f>
        <v>0</v>
      </c>
      <c r="I249" s="120">
        <f>SUM(I7,I37,I43,I48,I76,I85,I119,I133,I170,I230,I115)</f>
        <v>371500</v>
      </c>
    </row>
    <row r="253" spans="5:9" ht="12.75">
      <c r="E253" s="144"/>
      <c r="F253" s="144"/>
      <c r="G253" s="144"/>
      <c r="H253" s="144"/>
      <c r="I253" s="144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2009-05-18T08:09:31Z</cp:lastPrinted>
  <dcterms:created xsi:type="dcterms:W3CDTF">2002-10-21T08:56:44Z</dcterms:created>
  <dcterms:modified xsi:type="dcterms:W3CDTF">2009-05-18T13:22:36Z</dcterms:modified>
  <cp:category/>
  <cp:version/>
  <cp:contentType/>
  <cp:contentStatus/>
</cp:coreProperties>
</file>