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for" sheetId="1" r:id="rId1"/>
    <sheet name="WPF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<sst xmlns="http://schemas.openxmlformats.org/spreadsheetml/2006/main" count="224" uniqueCount="126">
  <si>
    <t xml:space="preserve"> </t>
  </si>
  <si>
    <t>Informacja o relacji, o której mowa w art. 243 ustawy z dnia 27 sierpnia 2009 r. o fp</t>
  </si>
  <si>
    <t>wyszczególnienie</t>
  </si>
  <si>
    <t>dochody bieżące (Db)</t>
  </si>
  <si>
    <t>dochody majatkowe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</si>
  <si>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</si>
  <si>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</si>
  <si>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</si>
  <si>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</si>
  <si>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</si>
  <si>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poręczenia (P)</t>
  </si>
  <si>
    <t>zadłużenie na koniec roku (Z)</t>
  </si>
  <si>
    <t>Z / D</t>
  </si>
  <si>
    <t>(R +O+P)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</si>
  <si>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</si>
  <si>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</si>
  <si>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</si>
  <si>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</si>
  <si>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</si>
  <si>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</si>
  <si>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Załącznik do Uchwały Nr XXII/150/12</t>
  </si>
  <si>
    <t>Rady Miejskiej Trzcianki z dnia 19 marca 2012 r.</t>
  </si>
  <si>
    <t>Szczegółowy kształt i zakres danych budżetowych WPF</t>
  </si>
  <si>
    <t>Lp.</t>
  </si>
  <si>
    <t>Wyszczególnienie</t>
  </si>
  <si>
    <t>Rok 2012</t>
  </si>
  <si>
    <t>zmiana</t>
  </si>
  <si>
    <t>po zmianie</t>
  </si>
  <si>
    <r>
      <t>Rok 2013</t>
    </r>
    <r>
      <rPr>
        <b/>
        <sz val="9"/>
        <color indexed="8"/>
        <rFont val="Times New Roman"/>
        <family val="1"/>
      </rPr>
      <t xml:space="preserve"> </t>
    </r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</si>
  <si>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</si>
  <si>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</si>
  <si>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</si>
  <si>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</si>
  <si>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</si>
  <si>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</si>
  <si>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</si>
  <si>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</si>
  <si>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</si>
  <si>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</si>
  <si>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</si>
  <si>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</si>
  <si>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</si>
  <si>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</si>
  <si>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</si>
  <si>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</si>
  <si>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</si>
  <si>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</si>
  <si>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</si>
  <si>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Rok 2033</t>
  </si>
  <si>
    <t>Rok 2034</t>
  </si>
  <si>
    <t>Rok 2035</t>
  </si>
  <si>
    <t>Rok 2036</t>
  </si>
  <si>
    <t>Rok 2037</t>
  </si>
  <si>
    <t>Rok 2038</t>
  </si>
  <si>
    <t>Rok 2039</t>
  </si>
  <si>
    <t>Rok 2040</t>
  </si>
  <si>
    <t>Rok 2041</t>
  </si>
  <si>
    <t>Rok 2042</t>
  </si>
  <si>
    <t>Rok 2043</t>
  </si>
  <si>
    <t>Rok 2044</t>
  </si>
  <si>
    <t>Rok 2045</t>
  </si>
  <si>
    <t>Rok 2046</t>
  </si>
  <si>
    <t>Rok 2047</t>
  </si>
  <si>
    <t>Rok 2048</t>
  </si>
  <si>
    <t>Rok 2049</t>
  </si>
  <si>
    <t>Rok 2050</t>
  </si>
  <si>
    <t>Rok 2051</t>
  </si>
  <si>
    <t>Rok 2052</t>
  </si>
  <si>
    <t xml:space="preserve">Dochody ogółem[1], w tym: </t>
  </si>
  <si>
    <t>a</t>
  </si>
  <si>
    <t>dochody bieżące</t>
  </si>
  <si>
    <t>b</t>
  </si>
  <si>
    <t xml:space="preserve">dochody majątkowe,  w tym: </t>
  </si>
  <si>
    <t>c</t>
  </si>
  <si>
    <t>ze sprzedaży majątku</t>
  </si>
  <si>
    <t>Wydatki bieżące[2] (bez odsetek i prowizji od kredytów i pożyczek oraz wyemitowanych papierów wartościowych ), w tym:</t>
  </si>
  <si>
    <t>na wynagrodzenia i składki od nich naliczane[3]</t>
  </si>
  <si>
    <t>związane z funkcjonowaniem organów JST[4]</t>
  </si>
  <si>
    <t xml:space="preserve">  z tytułu gwarancji i poręczeń, w tym:</t>
  </si>
  <si>
    <t>d</t>
  </si>
  <si>
    <t>gwarancje i poręczenia podlegające wyłączeniu z limitów spłaty zobowiązań z art. 243 ufp/169sufp</t>
  </si>
  <si>
    <t>e</t>
  </si>
  <si>
    <t>wydatki bieżące objęte limitem art. 226 ust. 4 ufp[5]</t>
  </si>
  <si>
    <t>Wynik budżetu po wykonaniu wydatków bieżących (bez obsługi długu) (1-2) 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</si>
  <si>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</si>
  <si>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</si>
  <si>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Inne przychody niezwiązane z zaciągnięciem długu[6]</t>
  </si>
  <si>
    <t>Środki do dyspozycji (3+4+5)</t>
  </si>
  <si>
    <t>Spłata i obsługa długu, z tego: </t>
  </si>
  <si>
    <t>rozchody z tytułu spłaty rat kapitałowych oraz wykupu obligacji</t>
  </si>
  <si>
    <t>wydatki bieżące na obsługę długu</t>
  </si>
  <si>
    <t>Inne rozchody (bez spłaty długu np. udzielane pożyczki)</t>
  </si>
  <si>
    <t>Środki do dyspozycji na wydatki majątkowe (6-7-8)</t>
  </si>
  <si>
    <t>Wydatki majątkowe[7],  w tym:</t>
  </si>
  <si>
    <t>wydatki majątkowe objęte limitem art. 226 ust. 4 ufp</t>
  </si>
  <si>
    <t>Przychody (kredyty, pożyczki, emisje obligacji)[8]</t>
  </si>
  <si>
    <t>Wynik finansowy budżetu (9-10+11)</t>
  </si>
  <si>
    <t xml:space="preserve">Rok 2013 </t>
  </si>
  <si>
    <t>Kwota długu[10], w tym:</t>
  </si>
  <si>
    <t>łączna kwota wyłączeń z art. 243 ust. 3 pkt 1 ufp oraz z art. 170 ust. 3 sufp[11]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</si>
  <si>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</si>
  <si>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ufp[12]</t>
  </si>
  <si>
    <t xml:space="preserve">15. </t>
  </si>
  <si>
    <t>Planowana łączna kwota spłaty zobowiązań[13]</t>
  </si>
  <si>
    <t>Maksymalny dopuszczalny wskaźnik spłaty  z art. 243 ufp[14]</t>
  </si>
  <si>
    <t xml:space="preserve">    </t>
  </si>
  <si>
    <t>Spełnienie wskaźnika spłaty z art. 243 ufp po uwzględnieniu art. 244 ufp [15]</t>
  </si>
  <si>
    <t>niezgodny z art. 243**</t>
  </si>
  <si>
    <t>Zgodny z  art. 243 ufp</t>
  </si>
  <si>
    <t>Spłata zadłużenia/dochody ogółem (7-13a +2c –2d):1)  -max 15%  z art. 169 sufp[16]</t>
  </si>
  <si>
    <t>Zadłużenie/dochody ogółem (13 –13a):1) - max 60% z art. 170 sufp[17]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</si>
  <si>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</si>
  <si>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</si>
  <si>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</si>
  <si>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</si>
  <si>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</si>
  <si>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Sposób sfinansowania spłaty długu (kwota powinna być zgodna z kwotą wykazaną w poz. 7a),
z tego: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</si>
  <si>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</si>
  <si>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</si>
  <si>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</si>
  <si>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</si>
  <si>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</si>
  <si>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</si>
  <si>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</si>
  <si>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</si>
  <si>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sfinansowanie deficytu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</si>
</sst>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#,##0.00"/>
    <numFmt numFmtId="167" formatCode="#,##0"/>
    <numFmt numFmtId="168" formatCode="0.00%"/>
    <numFmt numFmtId="169" formatCode="0.000000"/>
    <numFmt numFmtId="170" formatCode="0.0000"/>
    <numFmt numFmtId="171" formatCode="#,##0.0000"/>
    <numFmt numFmtId="172" formatCode="#,##0.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 CE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color indexed="8"/>
      <name val="Czcionka tekstu podstawowego"/>
      <family val="2"/>
    </font>
    <font>
      <sz val="9"/>
      <name val="Czcionka tekstu podstawowego"/>
      <family val="2"/>
    </font>
    <font>
      <sz val="11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12"/>
      <name val="Times New Roman"/>
      <family val="1"/>
    </font>
    <font>
      <b/>
      <i/>
      <sz val="10"/>
      <name val="Times New Roman"/>
      <family val="1"/>
    </font>
    <font>
      <b/>
      <sz val="8"/>
      <name val="Czcionka tekstu podstawowego"/>
      <family val="2"/>
    </font>
    <font>
      <b/>
      <sz val="9"/>
      <name val="Czcionka tekstu podstawowego"/>
      <family val="2"/>
    </font>
    <font>
      <i/>
      <sz val="10"/>
      <name val="Times New Roman"/>
      <family val="1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>
      <alignment/>
      <protection/>
    </xf>
    <xf numFmtId="164" fontId="1" fillId="0" borderId="0">
      <alignment/>
      <protection/>
    </xf>
  </cellStyleXfs>
  <cellXfs count="23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>
      <alignment/>
      <protection/>
    </xf>
    <xf numFmtId="164" fontId="1" fillId="0" borderId="0" xfId="21" applyBorder="1">
      <alignment/>
      <protection/>
    </xf>
    <xf numFmtId="164" fontId="3" fillId="0" borderId="0" xfId="21" applyFont="1" applyFill="1" applyBorder="1">
      <alignment/>
      <protection/>
    </xf>
    <xf numFmtId="166" fontId="3" fillId="0" borderId="0" xfId="21" applyNumberFormat="1" applyFont="1" applyBorder="1" applyAlignment="1">
      <alignment/>
      <protection/>
    </xf>
    <xf numFmtId="167" fontId="4" fillId="0" borderId="0" xfId="21" applyNumberFormat="1" applyFont="1" applyBorder="1" applyAlignment="1">
      <alignment/>
      <protection/>
    </xf>
    <xf numFmtId="167" fontId="4" fillId="0" borderId="0" xfId="21" applyNumberFormat="1" applyFont="1" applyBorder="1" applyAlignment="1">
      <alignment horizontal="right"/>
      <protection/>
    </xf>
    <xf numFmtId="167" fontId="5" fillId="0" borderId="0" xfId="21" applyNumberFormat="1" applyFont="1" applyBorder="1">
      <alignment/>
      <protection/>
    </xf>
    <xf numFmtId="164" fontId="6" fillId="0" borderId="0" xfId="21" applyFont="1" applyBorder="1" applyAlignment="1">
      <alignment horizontal="left"/>
      <protection/>
    </xf>
    <xf numFmtId="166" fontId="3" fillId="0" borderId="0" xfId="21" applyNumberFormat="1" applyFont="1" applyFill="1" applyBorder="1" applyAlignment="1">
      <alignment/>
      <protection/>
    </xf>
    <xf numFmtId="167" fontId="3" fillId="0" borderId="0" xfId="21" applyNumberFormat="1" applyFont="1" applyFill="1" applyBorder="1" applyAlignment="1">
      <alignment/>
      <protection/>
    </xf>
    <xf numFmtId="167" fontId="3" fillId="0" borderId="0" xfId="21" applyNumberFormat="1" applyFont="1" applyBorder="1" applyAlignment="1">
      <alignment/>
      <protection/>
    </xf>
    <xf numFmtId="167" fontId="3" fillId="0" borderId="0" xfId="21" applyNumberFormat="1" applyFont="1" applyBorder="1" applyAlignment="1">
      <alignment horizontal="right"/>
      <protection/>
    </xf>
    <xf numFmtId="164" fontId="3" fillId="0" borderId="0" xfId="21" applyFont="1" applyFill="1" applyBorder="1" applyAlignment="1">
      <alignment horizontal="left"/>
      <protection/>
    </xf>
    <xf numFmtId="167" fontId="3" fillId="0" borderId="0" xfId="21" applyNumberFormat="1" applyFont="1" applyFill="1" applyBorder="1" applyAlignment="1">
      <alignment horizontal="right"/>
      <protection/>
    </xf>
    <xf numFmtId="167" fontId="5" fillId="0" borderId="0" xfId="21" applyNumberFormat="1" applyFont="1" applyBorder="1" applyAlignment="1">
      <alignment horizontal="right"/>
      <protection/>
    </xf>
    <xf numFmtId="167" fontId="3" fillId="0" borderId="0" xfId="21" applyNumberFormat="1" applyFont="1" applyFill="1" applyBorder="1" applyAlignment="1">
      <alignment horizontal="right"/>
      <protection/>
    </xf>
    <xf numFmtId="167" fontId="5" fillId="0" borderId="0" xfId="21" applyNumberFormat="1" applyFont="1" applyBorder="1" applyAlignment="1">
      <alignment horizontal="center"/>
      <protection/>
    </xf>
    <xf numFmtId="164" fontId="7" fillId="0" borderId="1" xfId="21" applyFont="1" applyBorder="1" applyAlignment="1">
      <alignment horizontal="center"/>
      <protection/>
    </xf>
    <xf numFmtId="164" fontId="7" fillId="0" borderId="2" xfId="21" applyFont="1" applyBorder="1" applyAlignment="1">
      <alignment horizontal="center"/>
      <protection/>
    </xf>
    <xf numFmtId="164" fontId="8" fillId="0" borderId="1" xfId="21" applyFont="1" applyBorder="1" applyAlignment="1">
      <alignment horizontal="center"/>
      <protection/>
    </xf>
    <xf numFmtId="164" fontId="8" fillId="0" borderId="1" xfId="21" applyFont="1" applyFill="1" applyBorder="1" applyAlignment="1">
      <alignment horizontal="center"/>
      <protection/>
    </xf>
    <xf numFmtId="164" fontId="3" fillId="0" borderId="3" xfId="21" applyFont="1" applyFill="1" applyBorder="1">
      <alignment/>
      <protection/>
    </xf>
    <xf numFmtId="166" fontId="3" fillId="0" borderId="4" xfId="21" applyNumberFormat="1" applyFont="1" applyBorder="1" applyAlignment="1">
      <alignment/>
      <protection/>
    </xf>
    <xf numFmtId="166" fontId="3" fillId="0" borderId="3" xfId="21" applyNumberFormat="1" applyFont="1" applyBorder="1" applyAlignment="1">
      <alignment/>
      <protection/>
    </xf>
    <xf numFmtId="167" fontId="3" fillId="0" borderId="4" xfId="21" applyNumberFormat="1" applyFont="1" applyBorder="1" applyAlignment="1">
      <alignment/>
      <protection/>
    </xf>
    <xf numFmtId="167" fontId="3" fillId="0" borderId="4" xfId="21" applyNumberFormat="1" applyFont="1" applyBorder="1" applyAlignment="1">
      <alignment horizontal="right"/>
      <protection/>
    </xf>
    <xf numFmtId="167" fontId="5" fillId="0" borderId="1" xfId="21" applyNumberFormat="1" applyFont="1" applyBorder="1">
      <alignment/>
      <protection/>
    </xf>
    <xf numFmtId="164" fontId="3" fillId="0" borderId="1" xfId="21" applyFont="1" applyFill="1" applyBorder="1">
      <alignment/>
      <protection/>
    </xf>
    <xf numFmtId="166" fontId="3" fillId="0" borderId="2" xfId="21" applyNumberFormat="1" applyFont="1" applyBorder="1" applyAlignment="1">
      <alignment/>
      <protection/>
    </xf>
    <xf numFmtId="166" fontId="3" fillId="0" borderId="1" xfId="21" applyNumberFormat="1" applyFont="1" applyBorder="1" applyAlignment="1">
      <alignment/>
      <protection/>
    </xf>
    <xf numFmtId="167" fontId="3" fillId="0" borderId="3" xfId="21" applyNumberFormat="1" applyFont="1" applyBorder="1" applyAlignment="1">
      <alignment/>
      <protection/>
    </xf>
    <xf numFmtId="167" fontId="3" fillId="0" borderId="1" xfId="21" applyNumberFormat="1" applyFont="1" applyBorder="1" applyAlignment="1">
      <alignment/>
      <protection/>
    </xf>
    <xf numFmtId="164" fontId="3" fillId="0" borderId="3" xfId="21" applyFont="1" applyFill="1" applyBorder="1" applyAlignment="1">
      <alignment vertical="center" wrapText="1"/>
      <protection/>
    </xf>
    <xf numFmtId="166" fontId="3" fillId="0" borderId="4" xfId="21" applyNumberFormat="1" applyFont="1" applyFill="1" applyBorder="1" applyAlignment="1">
      <alignment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4" xfId="21" applyNumberFormat="1" applyFont="1" applyBorder="1" applyAlignment="1">
      <alignment vertical="center" wrapText="1"/>
      <protection/>
    </xf>
    <xf numFmtId="167" fontId="3" fillId="0" borderId="4" xfId="21" applyNumberFormat="1" applyFont="1" applyBorder="1" applyAlignment="1">
      <alignment horizontal="right" vertical="center" wrapText="1"/>
      <protection/>
    </xf>
    <xf numFmtId="167" fontId="5" fillId="0" borderId="1" xfId="21" applyNumberFormat="1" applyFont="1" applyBorder="1" applyAlignment="1">
      <alignment vertical="center" wrapText="1"/>
      <protection/>
    </xf>
    <xf numFmtId="164" fontId="8" fillId="0" borderId="0" xfId="21" applyFont="1" applyBorder="1" applyAlignment="1">
      <alignment horizontal="center" vertical="center" wrapText="1"/>
      <protection/>
    </xf>
    <xf numFmtId="164" fontId="1" fillId="0" borderId="0" xfId="21" applyBorder="1" applyAlignment="1">
      <alignment vertical="center" wrapText="1"/>
      <protection/>
    </xf>
    <xf numFmtId="166" fontId="3" fillId="0" borderId="4" xfId="21" applyNumberFormat="1" applyFont="1" applyFill="1" applyBorder="1" applyAlignment="1">
      <alignment/>
      <protection/>
    </xf>
    <xf numFmtId="166" fontId="3" fillId="0" borderId="3" xfId="21" applyNumberFormat="1" applyFont="1" applyFill="1" applyBorder="1" applyAlignment="1">
      <alignment/>
      <protection/>
    </xf>
    <xf numFmtId="167" fontId="3" fillId="0" borderId="4" xfId="21" applyNumberFormat="1" applyFont="1" applyFill="1" applyBorder="1" applyAlignment="1">
      <alignment/>
      <protection/>
    </xf>
    <xf numFmtId="167" fontId="3" fillId="0" borderId="3" xfId="21" applyNumberFormat="1" applyFont="1" applyFill="1" applyBorder="1" applyAlignment="1">
      <alignment/>
      <protection/>
    </xf>
    <xf numFmtId="167" fontId="3" fillId="0" borderId="1" xfId="21" applyNumberFormat="1" applyFont="1" applyFill="1" applyBorder="1" applyAlignment="1">
      <alignment/>
      <protection/>
    </xf>
    <xf numFmtId="168" fontId="3" fillId="0" borderId="0" xfId="21" applyNumberFormat="1" applyFont="1" applyFill="1" applyBorder="1" applyAlignment="1">
      <alignment horizontal="right"/>
      <protection/>
    </xf>
    <xf numFmtId="167" fontId="3" fillId="0" borderId="3" xfId="21" applyNumberFormat="1" applyFont="1" applyFill="1" applyBorder="1">
      <alignment/>
      <protection/>
    </xf>
    <xf numFmtId="167" fontId="3" fillId="0" borderId="4" xfId="21" applyNumberFormat="1" applyFont="1" applyFill="1" applyBorder="1" applyAlignment="1">
      <alignment horizontal="right"/>
      <protection/>
    </xf>
    <xf numFmtId="167" fontId="3" fillId="0" borderId="3" xfId="21" applyNumberFormat="1" applyFont="1" applyFill="1" applyBorder="1" applyAlignment="1">
      <alignment horizontal="right"/>
      <protection/>
    </xf>
    <xf numFmtId="167" fontId="3" fillId="0" borderId="1" xfId="21" applyNumberFormat="1" applyFont="1" applyFill="1" applyBorder="1" applyAlignment="1">
      <alignment horizontal="right"/>
      <protection/>
    </xf>
    <xf numFmtId="167" fontId="3" fillId="0" borderId="4" xfId="21" applyNumberFormat="1" applyFont="1" applyFill="1" applyBorder="1" applyAlignment="1">
      <alignment horizontal="right"/>
      <protection/>
    </xf>
    <xf numFmtId="167" fontId="3" fillId="0" borderId="3" xfId="21" applyNumberFormat="1" applyFont="1" applyFill="1" applyBorder="1" applyAlignment="1">
      <alignment horizontal="right"/>
      <protection/>
    </xf>
    <xf numFmtId="167" fontId="3" fillId="0" borderId="1" xfId="21" applyNumberFormat="1" applyFont="1" applyFill="1" applyBorder="1" applyAlignment="1">
      <alignment horizontal="right"/>
      <protection/>
    </xf>
    <xf numFmtId="164" fontId="3" fillId="0" borderId="3" xfId="21" applyFont="1" applyFill="1" applyBorder="1" applyAlignment="1">
      <alignment horizontal="left"/>
      <protection/>
    </xf>
    <xf numFmtId="167" fontId="5" fillId="0" borderId="1" xfId="21" applyNumberFormat="1" applyFont="1" applyBorder="1" applyAlignment="1">
      <alignment horizontal="right"/>
      <protection/>
    </xf>
    <xf numFmtId="167" fontId="5" fillId="0" borderId="1" xfId="21" applyNumberFormat="1" applyFont="1" applyBorder="1" applyAlignment="1">
      <alignment horizontal="center"/>
      <protection/>
    </xf>
    <xf numFmtId="167" fontId="2" fillId="0" borderId="1" xfId="21" applyNumberFormat="1" applyFont="1" applyBorder="1" applyAlignment="1">
      <alignment horizontal="center"/>
      <protection/>
    </xf>
    <xf numFmtId="164" fontId="2" fillId="0" borderId="1" xfId="21" applyFont="1" applyBorder="1" applyAlignment="1">
      <alignment horizontal="center"/>
      <protection/>
    </xf>
    <xf numFmtId="166" fontId="3" fillId="0" borderId="2" xfId="21" applyNumberFormat="1" applyFont="1" applyFill="1" applyBorder="1" applyAlignment="1">
      <alignment/>
      <protection/>
    </xf>
    <xf numFmtId="166" fontId="3" fillId="0" borderId="1" xfId="21" applyNumberFormat="1" applyFont="1" applyFill="1" applyBorder="1" applyAlignment="1">
      <alignment/>
      <protection/>
    </xf>
    <xf numFmtId="167" fontId="3" fillId="0" borderId="2" xfId="21" applyNumberFormat="1" applyFont="1" applyFill="1" applyBorder="1" applyAlignment="1">
      <alignment/>
      <protection/>
    </xf>
    <xf numFmtId="167" fontId="3" fillId="0" borderId="2" xfId="21" applyNumberFormat="1" applyFont="1" applyFill="1" applyBorder="1" applyAlignment="1">
      <alignment horizontal="right"/>
      <protection/>
    </xf>
    <xf numFmtId="167" fontId="2" fillId="0" borderId="1" xfId="21" applyNumberFormat="1" applyFont="1" applyBorder="1">
      <alignment/>
      <protection/>
    </xf>
    <xf numFmtId="164" fontId="2" fillId="0" borderId="1" xfId="21" applyFont="1" applyBorder="1">
      <alignment/>
      <protection/>
    </xf>
    <xf numFmtId="167" fontId="9" fillId="0" borderId="0" xfId="21" applyNumberFormat="1" applyFont="1">
      <alignment/>
      <protection/>
    </xf>
    <xf numFmtId="169" fontId="9" fillId="0" borderId="0" xfId="21" applyNumberFormat="1" applyFont="1">
      <alignment/>
      <protection/>
    </xf>
    <xf numFmtId="167" fontId="3" fillId="0" borderId="1" xfId="21" applyNumberFormat="1" applyFont="1" applyFill="1" applyBorder="1">
      <alignment/>
      <protection/>
    </xf>
    <xf numFmtId="167" fontId="5" fillId="0" borderId="1" xfId="21" applyNumberFormat="1" applyFont="1" applyFill="1" applyBorder="1">
      <alignment/>
      <protection/>
    </xf>
    <xf numFmtId="168" fontId="9" fillId="0" borderId="0" xfId="21" applyNumberFormat="1" applyFont="1">
      <alignment/>
      <protection/>
    </xf>
    <xf numFmtId="167" fontId="8" fillId="0" borderId="1" xfId="21" applyNumberFormat="1" applyFont="1" applyBorder="1" applyAlignment="1">
      <alignment horizontal="center"/>
      <protection/>
    </xf>
    <xf numFmtId="168" fontId="3" fillId="0" borderId="4" xfId="21" applyNumberFormat="1" applyFont="1" applyFill="1" applyBorder="1" applyAlignment="1">
      <alignment horizontal="right"/>
      <protection/>
    </xf>
    <xf numFmtId="168" fontId="3" fillId="0" borderId="3" xfId="21" applyNumberFormat="1" applyFont="1" applyFill="1" applyBorder="1" applyAlignment="1">
      <alignment horizontal="right"/>
      <protection/>
    </xf>
    <xf numFmtId="168" fontId="3" fillId="0" borderId="1" xfId="21" applyNumberFormat="1" applyFont="1" applyFill="1" applyBorder="1" applyAlignment="1">
      <alignment horizontal="right"/>
      <protection/>
    </xf>
    <xf numFmtId="170" fontId="10" fillId="0" borderId="0" xfId="21" applyNumberFormat="1" applyFont="1">
      <alignment/>
      <protection/>
    </xf>
    <xf numFmtId="168" fontId="3" fillId="0" borderId="2" xfId="21" applyNumberFormat="1" applyFont="1" applyFill="1" applyBorder="1" applyAlignment="1">
      <alignment horizontal="right"/>
      <protection/>
    </xf>
    <xf numFmtId="168" fontId="10" fillId="0" borderId="0" xfId="21" applyNumberFormat="1" applyFont="1">
      <alignment/>
      <protection/>
    </xf>
    <xf numFmtId="170" fontId="7" fillId="0" borderId="0" xfId="21" applyNumberFormat="1" applyFont="1" applyFill="1" applyBorder="1">
      <alignment/>
      <protection/>
    </xf>
    <xf numFmtId="170" fontId="9" fillId="0" borderId="0" xfId="21" applyNumberFormat="1" applyFont="1">
      <alignment/>
      <protection/>
    </xf>
    <xf numFmtId="164" fontId="7" fillId="0" borderId="0" xfId="21" applyFont="1" applyFill="1" applyBorder="1">
      <alignment/>
      <protection/>
    </xf>
    <xf numFmtId="164" fontId="9" fillId="0" borderId="0" xfId="21" applyFont="1">
      <alignment/>
      <protection/>
    </xf>
    <xf numFmtId="164" fontId="9" fillId="0" borderId="0" xfId="21" applyFont="1" applyFill="1">
      <alignment/>
      <protection/>
    </xf>
    <xf numFmtId="167" fontId="1" fillId="0" borderId="0" xfId="21" applyNumberFormat="1">
      <alignment/>
      <protection/>
    </xf>
    <xf numFmtId="167" fontId="2" fillId="0" borderId="0" xfId="21" applyNumberFormat="1" applyFont="1">
      <alignment/>
      <protection/>
    </xf>
    <xf numFmtId="164" fontId="11" fillId="0" borderId="0" xfId="21" applyFont="1" applyAlignment="1">
      <alignment vertical="center"/>
      <protection/>
    </xf>
    <xf numFmtId="164" fontId="12" fillId="0" borderId="0" xfId="21" applyFont="1" applyAlignment="1">
      <alignment vertical="center"/>
      <protection/>
    </xf>
    <xf numFmtId="164" fontId="11" fillId="0" borderId="0" xfId="21" applyFont="1" applyFill="1" applyAlignment="1">
      <alignment vertical="center"/>
      <protection/>
    </xf>
    <xf numFmtId="167" fontId="11" fillId="0" borderId="0" xfId="21" applyNumberFormat="1" applyFont="1" applyFill="1" applyAlignment="1">
      <alignment vertical="center"/>
      <protection/>
    </xf>
    <xf numFmtId="164" fontId="1" fillId="0" borderId="0" xfId="21" applyFill="1" applyAlignment="1">
      <alignment vertical="center"/>
      <protection/>
    </xf>
    <xf numFmtId="164" fontId="13" fillId="0" borderId="0" xfId="21" applyFont="1" applyFill="1" applyAlignment="1">
      <alignment vertical="center"/>
      <protection/>
    </xf>
    <xf numFmtId="164" fontId="14" fillId="0" borderId="0" xfId="21" applyFont="1" applyFill="1" applyAlignment="1">
      <alignment horizontal="right" vertical="center"/>
      <protection/>
    </xf>
    <xf numFmtId="164" fontId="3" fillId="0" borderId="0" xfId="21" applyFont="1" applyFill="1" applyAlignment="1">
      <alignment horizontal="right" vertical="center"/>
      <protection/>
    </xf>
    <xf numFmtId="164" fontId="2" fillId="0" borderId="0" xfId="21" applyFont="1" applyAlignment="1">
      <alignment vertical="center"/>
      <protection/>
    </xf>
    <xf numFmtId="164" fontId="15" fillId="0" borderId="0" xfId="21" applyFont="1" applyAlignment="1">
      <alignment vertical="center"/>
      <protection/>
    </xf>
    <xf numFmtId="166" fontId="11" fillId="0" borderId="0" xfId="21" applyNumberFormat="1" applyFont="1" applyFill="1" applyAlignment="1">
      <alignment vertical="center"/>
      <protection/>
    </xf>
    <xf numFmtId="166" fontId="2" fillId="0" borderId="0" xfId="21" applyNumberFormat="1" applyFont="1" applyFill="1" applyAlignment="1">
      <alignment vertical="center"/>
      <protection/>
    </xf>
    <xf numFmtId="164" fontId="15" fillId="0" borderId="0" xfId="21" applyFont="1" applyAlignment="1">
      <alignment horizontal="left" vertical="center"/>
      <protection/>
    </xf>
    <xf numFmtId="164" fontId="14" fillId="0" borderId="0" xfId="21" applyFont="1" applyAlignment="1">
      <alignment vertical="center"/>
      <protection/>
    </xf>
    <xf numFmtId="164" fontId="16" fillId="0" borderId="0" xfId="21" applyFont="1" applyAlignment="1">
      <alignment horizontal="left" vertical="center"/>
      <protection/>
    </xf>
    <xf numFmtId="164" fontId="17" fillId="0" borderId="0" xfId="21" applyFont="1" applyAlignment="1">
      <alignment horizontal="left" vertical="center"/>
      <protection/>
    </xf>
    <xf numFmtId="167" fontId="18" fillId="2" borderId="5" xfId="21" applyNumberFormat="1" applyFont="1" applyFill="1" applyBorder="1" applyAlignment="1">
      <alignment horizontal="center" vertical="center" wrapText="1"/>
      <protection/>
    </xf>
    <xf numFmtId="167" fontId="19" fillId="2" borderId="5" xfId="21" applyNumberFormat="1" applyFont="1" applyFill="1" applyBorder="1" applyAlignment="1">
      <alignment horizontal="center" vertical="center" wrapText="1"/>
      <protection/>
    </xf>
    <xf numFmtId="167" fontId="18" fillId="0" borderId="1" xfId="21" applyNumberFormat="1" applyFont="1" applyFill="1" applyBorder="1" applyAlignment="1">
      <alignment horizontal="center" vertical="center" wrapText="1"/>
      <protection/>
    </xf>
    <xf numFmtId="167" fontId="19" fillId="0" borderId="1" xfId="21" applyNumberFormat="1" applyFont="1" applyFill="1" applyBorder="1" applyAlignment="1">
      <alignment horizontal="center" vertical="center" wrapText="1"/>
      <protection/>
    </xf>
    <xf numFmtId="167" fontId="20" fillId="0" borderId="1" xfId="21" applyNumberFormat="1" applyFont="1" applyFill="1" applyBorder="1" applyAlignment="1">
      <alignment horizontal="center" vertical="center" wrapText="1"/>
      <protection/>
    </xf>
    <xf numFmtId="167" fontId="21" fillId="0" borderId="1" xfId="21" applyNumberFormat="1" applyFont="1" applyFill="1" applyBorder="1" applyAlignment="1">
      <alignment horizontal="center" vertical="center" wrapText="1"/>
      <protection/>
    </xf>
    <xf numFmtId="167" fontId="7" fillId="0" borderId="1" xfId="21" applyNumberFormat="1" applyFont="1" applyFill="1" applyBorder="1" applyAlignment="1">
      <alignment horizontal="right" vertical="center" wrapText="1"/>
      <protection/>
    </xf>
    <xf numFmtId="167" fontId="7" fillId="0" borderId="1" xfId="21" applyNumberFormat="1" applyFont="1" applyFill="1" applyBorder="1" applyAlignment="1">
      <alignment horizontal="right" vertical="center"/>
      <protection/>
    </xf>
    <xf numFmtId="167" fontId="22" fillId="0" borderId="0" xfId="21" applyNumberFormat="1" applyFont="1" applyAlignment="1">
      <alignment vertical="center"/>
      <protection/>
    </xf>
    <xf numFmtId="167" fontId="23" fillId="0" borderId="0" xfId="21" applyNumberFormat="1" applyFont="1" applyAlignment="1">
      <alignment vertical="center"/>
      <protection/>
    </xf>
    <xf numFmtId="164" fontId="24" fillId="0" borderId="6" xfId="21" applyFont="1" applyBorder="1" applyAlignment="1">
      <alignment horizontal="center" vertical="center" wrapText="1"/>
      <protection/>
    </xf>
    <xf numFmtId="164" fontId="25" fillId="0" borderId="6" xfId="20" applyNumberFormat="1" applyFont="1" applyFill="1" applyBorder="1" applyAlignment="1" applyProtection="1">
      <alignment horizontal="justify" vertical="center" wrapText="1"/>
      <protection/>
    </xf>
    <xf numFmtId="167" fontId="24" fillId="0" borderId="1" xfId="21" applyNumberFormat="1" applyFont="1" applyFill="1" applyBorder="1" applyAlignment="1">
      <alignment horizontal="right" vertical="center" wrapText="1"/>
      <protection/>
    </xf>
    <xf numFmtId="167" fontId="27" fillId="0" borderId="1" xfId="21" applyNumberFormat="1" applyFont="1" applyFill="1" applyBorder="1" applyAlignment="1">
      <alignment horizontal="right" vertical="center" wrapText="1"/>
      <protection/>
    </xf>
    <xf numFmtId="167" fontId="28" fillId="0" borderId="1" xfId="21" applyNumberFormat="1" applyFont="1" applyFill="1" applyBorder="1" applyAlignment="1">
      <alignment horizontal="right" vertical="center" wrapText="1"/>
      <protection/>
    </xf>
    <xf numFmtId="167" fontId="3" fillId="0" borderId="1" xfId="21" applyNumberFormat="1" applyFont="1" applyFill="1" applyBorder="1" applyAlignment="1">
      <alignment horizontal="right" vertical="center" wrapText="1"/>
      <protection/>
    </xf>
    <xf numFmtId="164" fontId="24" fillId="0" borderId="7" xfId="21" applyFont="1" applyBorder="1" applyAlignment="1">
      <alignment horizontal="center" vertical="center" wrapText="1"/>
      <protection/>
    </xf>
    <xf numFmtId="164" fontId="4" fillId="0" borderId="7" xfId="21" applyFont="1" applyBorder="1" applyAlignment="1">
      <alignment horizontal="justify" vertical="center" wrapText="1"/>
      <protection/>
    </xf>
    <xf numFmtId="167" fontId="4" fillId="0" borderId="1" xfId="21" applyNumberFormat="1" applyFont="1" applyFill="1" applyBorder="1" applyAlignment="1">
      <alignment horizontal="right" vertical="center" wrapText="1"/>
      <protection/>
    </xf>
    <xf numFmtId="164" fontId="24" fillId="0" borderId="8" xfId="21" applyFont="1" applyBorder="1" applyAlignment="1">
      <alignment horizontal="center" vertical="center" wrapText="1"/>
      <protection/>
    </xf>
    <xf numFmtId="164" fontId="4" fillId="0" borderId="8" xfId="21" applyFont="1" applyBorder="1" applyAlignment="1">
      <alignment horizontal="justify" vertical="center" wrapText="1"/>
      <protection/>
    </xf>
    <xf numFmtId="164" fontId="25" fillId="0" borderId="6" xfId="20" applyNumberFormat="1" applyFont="1" applyFill="1" applyBorder="1" applyAlignment="1" applyProtection="1">
      <alignment vertical="center" wrapText="1"/>
      <protection/>
    </xf>
    <xf numFmtId="164" fontId="25" fillId="0" borderId="7" xfId="20" applyNumberFormat="1" applyFont="1" applyFill="1" applyBorder="1" applyAlignment="1" applyProtection="1">
      <alignment horizontal="justify" vertical="center" wrapText="1"/>
      <protection/>
    </xf>
    <xf numFmtId="164" fontId="4" fillId="0" borderId="7" xfId="21" applyFont="1" applyBorder="1" applyAlignment="1">
      <alignment horizontal="left" vertical="center" wrapText="1"/>
      <protection/>
    </xf>
    <xf numFmtId="166" fontId="24" fillId="0" borderId="1" xfId="21" applyNumberFormat="1" applyFont="1" applyFill="1" applyBorder="1" applyAlignment="1">
      <alignment horizontal="right" vertical="center" wrapText="1"/>
      <protection/>
    </xf>
    <xf numFmtId="166" fontId="27" fillId="0" borderId="1" xfId="21" applyNumberFormat="1" applyFont="1" applyFill="1" applyBorder="1" applyAlignment="1">
      <alignment horizontal="right" vertical="center" wrapText="1"/>
      <protection/>
    </xf>
    <xf numFmtId="166" fontId="28" fillId="0" borderId="1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horizontal="right" vertical="center" wrapText="1"/>
      <protection/>
    </xf>
    <xf numFmtId="164" fontId="2" fillId="0" borderId="0" xfId="21" applyFont="1" applyAlignment="1">
      <alignment horizontal="right" vertical="center"/>
      <protection/>
    </xf>
    <xf numFmtId="164" fontId="11" fillId="0" borderId="0" xfId="21" applyFont="1" applyAlignment="1">
      <alignment horizontal="right" vertical="center"/>
      <protection/>
    </xf>
    <xf numFmtId="164" fontId="4" fillId="0" borderId="7" xfId="21" applyFont="1" applyBorder="1" applyAlignment="1">
      <alignment horizontal="justify" vertical="center"/>
      <protection/>
    </xf>
    <xf numFmtId="164" fontId="25" fillId="0" borderId="8" xfId="20" applyNumberFormat="1" applyFont="1" applyFill="1" applyBorder="1" applyAlignment="1" applyProtection="1">
      <alignment horizontal="justify" vertical="center" wrapText="1"/>
      <protection/>
    </xf>
    <xf numFmtId="164" fontId="24" fillId="0" borderId="1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justify" vertical="center" wrapText="1"/>
      <protection/>
    </xf>
    <xf numFmtId="164" fontId="4" fillId="0" borderId="6" xfId="21" applyFont="1" applyBorder="1" applyAlignment="1">
      <alignment horizontal="justify" vertical="center" wrapText="1"/>
      <protection/>
    </xf>
    <xf numFmtId="164" fontId="4" fillId="0" borderId="8" xfId="21" applyFont="1" applyBorder="1" applyAlignment="1">
      <alignment vertical="center" wrapText="1"/>
      <protection/>
    </xf>
    <xf numFmtId="164" fontId="25" fillId="0" borderId="1" xfId="20" applyNumberFormat="1" applyFont="1" applyFill="1" applyBorder="1" applyAlignment="1" applyProtection="1">
      <alignment horizontal="justify" vertical="center" wrapText="1"/>
      <protection/>
    </xf>
    <xf numFmtId="166" fontId="4" fillId="0" borderId="1" xfId="21" applyNumberFormat="1" applyFont="1" applyFill="1" applyBorder="1" applyAlignment="1">
      <alignment horizontal="right" vertical="center" wrapText="1"/>
      <protection/>
    </xf>
    <xf numFmtId="166" fontId="29" fillId="0" borderId="1" xfId="21" applyNumberFormat="1" applyFont="1" applyFill="1" applyBorder="1" applyAlignment="1">
      <alignment horizontal="right" vertical="center" wrapText="1"/>
      <protection/>
    </xf>
    <xf numFmtId="167" fontId="29" fillId="0" borderId="1" xfId="21" applyNumberFormat="1" applyFont="1" applyFill="1" applyBorder="1" applyAlignment="1">
      <alignment horizontal="right" vertical="center" wrapText="1"/>
      <protection/>
    </xf>
    <xf numFmtId="164" fontId="30" fillId="0" borderId="1" xfId="20" applyNumberFormat="1" applyFont="1" applyFill="1" applyBorder="1" applyAlignment="1" applyProtection="1">
      <alignment horizontal="justify" vertical="center" wrapText="1"/>
      <protection/>
    </xf>
    <xf numFmtId="164" fontId="19" fillId="2" borderId="5" xfId="21" applyFont="1" applyFill="1" applyBorder="1" applyAlignment="1">
      <alignment horizontal="center" vertical="center" wrapText="1"/>
      <protection/>
    </xf>
    <xf numFmtId="164" fontId="19" fillId="0" borderId="1" xfId="21" applyFont="1" applyFill="1" applyBorder="1" applyAlignment="1">
      <alignment horizontal="center" vertical="center" wrapText="1"/>
      <protection/>
    </xf>
    <xf numFmtId="164" fontId="21" fillId="0" borderId="1" xfId="21" applyFont="1" applyFill="1" applyBorder="1" applyAlignment="1">
      <alignment horizontal="center" vertical="center" wrapText="1"/>
      <protection/>
    </xf>
    <xf numFmtId="164" fontId="31" fillId="0" borderId="1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right" vertical="center" wrapText="1"/>
      <protection/>
    </xf>
    <xf numFmtId="164" fontId="32" fillId="0" borderId="0" xfId="21" applyFont="1" applyAlignment="1">
      <alignment vertical="center"/>
      <protection/>
    </xf>
    <xf numFmtId="164" fontId="33" fillId="0" borderId="0" xfId="21" applyFont="1" applyAlignment="1">
      <alignment vertical="center"/>
      <protection/>
    </xf>
    <xf numFmtId="166" fontId="34" fillId="0" borderId="1" xfId="21" applyNumberFormat="1" applyFont="1" applyFill="1" applyBorder="1" applyAlignment="1">
      <alignment horizontal="right" vertical="center" wrapText="1"/>
      <protection/>
    </xf>
    <xf numFmtId="167" fontId="24" fillId="0" borderId="1" xfId="21" applyNumberFormat="1" applyFont="1" applyFill="1" applyBorder="1" applyAlignment="1">
      <alignment horizontal="justify" vertical="center" wrapText="1"/>
      <protection/>
    </xf>
    <xf numFmtId="167" fontId="24" fillId="0" borderId="1" xfId="21" applyNumberFormat="1" applyFont="1" applyFill="1" applyBorder="1" applyAlignment="1">
      <alignment horizontal="center" vertical="center" wrapText="1"/>
      <protection/>
    </xf>
    <xf numFmtId="167" fontId="27" fillId="0" borderId="1" xfId="21" applyNumberFormat="1" applyFont="1" applyFill="1" applyBorder="1" applyAlignment="1">
      <alignment horizontal="center" vertical="center" wrapText="1"/>
      <protection/>
    </xf>
    <xf numFmtId="167" fontId="29" fillId="0" borderId="1" xfId="21" applyNumberFormat="1" applyFont="1" applyFill="1" applyBorder="1" applyAlignment="1">
      <alignment horizontal="center" vertical="center" wrapText="1"/>
      <protection/>
    </xf>
    <xf numFmtId="167" fontId="28" fillId="0" borderId="1" xfId="21" applyNumberFormat="1" applyFont="1" applyFill="1" applyBorder="1" applyAlignment="1">
      <alignment horizontal="center" vertical="center" wrapText="1"/>
      <protection/>
    </xf>
    <xf numFmtId="167" fontId="3" fillId="0" borderId="9" xfId="21" applyNumberFormat="1" applyFont="1" applyFill="1" applyBorder="1" applyAlignment="1">
      <alignment horizontal="right" vertical="center" wrapText="1"/>
      <protection/>
    </xf>
    <xf numFmtId="167" fontId="3" fillId="0" borderId="10" xfId="21" applyNumberFormat="1" applyFont="1" applyFill="1" applyBorder="1" applyAlignment="1">
      <alignment horizontal="right" vertical="center" wrapText="1"/>
      <protection/>
    </xf>
    <xf numFmtId="167" fontId="3" fillId="0" borderId="11" xfId="21" applyNumberFormat="1" applyFont="1" applyFill="1" applyBorder="1" applyAlignment="1">
      <alignment horizontal="right" vertical="center" wrapText="1"/>
      <protection/>
    </xf>
    <xf numFmtId="167" fontId="3" fillId="0" borderId="4" xfId="21" applyNumberFormat="1" applyFont="1" applyFill="1" applyBorder="1" applyAlignment="1">
      <alignment horizontal="right" vertical="center" wrapText="1"/>
      <protection/>
    </xf>
    <xf numFmtId="167" fontId="3" fillId="0" borderId="3" xfId="21" applyNumberFormat="1" applyFont="1" applyFill="1" applyBorder="1" applyAlignment="1">
      <alignment horizontal="right" vertical="center" wrapText="1"/>
      <protection/>
    </xf>
    <xf numFmtId="167" fontId="3" fillId="0" borderId="12" xfId="21" applyNumberFormat="1" applyFont="1" applyFill="1" applyBorder="1" applyAlignment="1">
      <alignment horizontal="right" vertical="center" wrapText="1"/>
      <protection/>
    </xf>
    <xf numFmtId="164" fontId="25" fillId="0" borderId="1" xfId="20" applyNumberFormat="1" applyFont="1" applyFill="1" applyBorder="1" applyAlignment="1" applyProtection="1">
      <alignment vertical="center" wrapText="1"/>
      <protection/>
    </xf>
    <xf numFmtId="171" fontId="24" fillId="0" borderId="1" xfId="21" applyNumberFormat="1" applyFont="1" applyFill="1" applyBorder="1" applyAlignment="1">
      <alignment vertical="center" wrapText="1"/>
      <protection/>
    </xf>
    <xf numFmtId="167" fontId="24" fillId="0" borderId="1" xfId="21" applyNumberFormat="1" applyFont="1" applyFill="1" applyBorder="1" applyAlignment="1">
      <alignment vertical="center" wrapText="1"/>
      <protection/>
    </xf>
    <xf numFmtId="171" fontId="27" fillId="0" borderId="1" xfId="21" applyNumberFormat="1" applyFont="1" applyFill="1" applyBorder="1" applyAlignment="1">
      <alignment vertical="center" wrapText="1"/>
      <protection/>
    </xf>
    <xf numFmtId="171" fontId="3" fillId="0" borderId="1" xfId="21" applyNumberFormat="1" applyFont="1" applyFill="1" applyBorder="1" applyAlignment="1">
      <alignment horizontal="right" vertical="center" wrapText="1"/>
      <protection/>
    </xf>
    <xf numFmtId="172" fontId="3" fillId="0" borderId="1" xfId="21" applyNumberFormat="1" applyFont="1" applyFill="1" applyBorder="1" applyAlignment="1">
      <alignment horizontal="right" vertical="center" wrapText="1"/>
      <protection/>
    </xf>
    <xf numFmtId="167" fontId="3" fillId="0" borderId="2" xfId="21" applyNumberFormat="1" applyFont="1" applyFill="1" applyBorder="1" applyAlignment="1">
      <alignment horizontal="right" vertical="center" wrapText="1"/>
      <protection/>
    </xf>
    <xf numFmtId="167" fontId="3" fillId="0" borderId="13" xfId="21" applyNumberFormat="1" applyFont="1" applyFill="1" applyBorder="1" applyAlignment="1">
      <alignment horizontal="right" vertical="center" wrapText="1"/>
      <protection/>
    </xf>
    <xf numFmtId="170" fontId="24" fillId="0" borderId="6" xfId="21" applyNumberFormat="1" applyFont="1" applyBorder="1" applyAlignment="1">
      <alignment horizontal="center" vertical="center" wrapText="1"/>
      <protection/>
    </xf>
    <xf numFmtId="170" fontId="25" fillId="0" borderId="6" xfId="20" applyNumberFormat="1" applyFont="1" applyFill="1" applyBorder="1" applyAlignment="1" applyProtection="1">
      <alignment horizontal="justify" vertical="center" wrapText="1"/>
      <protection/>
    </xf>
    <xf numFmtId="170" fontId="4" fillId="0" borderId="1" xfId="21" applyNumberFormat="1" applyFont="1" applyFill="1" applyBorder="1" applyAlignment="1">
      <alignment horizontal="center" vertical="center" wrapText="1"/>
      <protection/>
    </xf>
    <xf numFmtId="171" fontId="4" fillId="0" borderId="1" xfId="21" applyNumberFormat="1" applyFont="1" applyFill="1" applyBorder="1" applyAlignment="1">
      <alignment horizontal="center" vertical="center" wrapText="1"/>
      <protection/>
    </xf>
    <xf numFmtId="170" fontId="28" fillId="0" borderId="1" xfId="21" applyNumberFormat="1" applyFont="1" applyFill="1" applyBorder="1" applyAlignment="1">
      <alignment horizontal="center" vertical="center" wrapText="1"/>
      <protection/>
    </xf>
    <xf numFmtId="170" fontId="28" fillId="0" borderId="1" xfId="21" applyNumberFormat="1" applyFont="1" applyFill="1" applyBorder="1" applyAlignment="1">
      <alignment horizontal="right" vertical="center" wrapText="1"/>
      <protection/>
    </xf>
    <xf numFmtId="170" fontId="3" fillId="0" borderId="1" xfId="21" applyNumberFormat="1" applyFont="1" applyFill="1" applyBorder="1" applyAlignment="1">
      <alignment horizontal="right" vertical="center" wrapText="1"/>
      <protection/>
    </xf>
    <xf numFmtId="170" fontId="3" fillId="0" borderId="14" xfId="21" applyNumberFormat="1" applyFont="1" applyFill="1" applyBorder="1" applyAlignment="1">
      <alignment horizontal="right" vertical="center" wrapText="1"/>
      <protection/>
    </xf>
    <xf numFmtId="170" fontId="3" fillId="0" borderId="6" xfId="21" applyNumberFormat="1" applyFont="1" applyFill="1" applyBorder="1" applyAlignment="1">
      <alignment horizontal="right" vertical="center" wrapText="1"/>
      <protection/>
    </xf>
    <xf numFmtId="170" fontId="3" fillId="0" borderId="15" xfId="21" applyNumberFormat="1" applyFont="1" applyFill="1" applyBorder="1" applyAlignment="1">
      <alignment horizontal="right" vertical="center" wrapText="1"/>
      <protection/>
    </xf>
    <xf numFmtId="170" fontId="2" fillId="0" borderId="0" xfId="21" applyNumberFormat="1" applyFont="1" applyAlignment="1">
      <alignment vertical="center"/>
      <protection/>
    </xf>
    <xf numFmtId="170" fontId="11" fillId="0" borderId="0" xfId="21" applyNumberFormat="1" applyFont="1" applyAlignment="1">
      <alignment vertical="center"/>
      <protection/>
    </xf>
    <xf numFmtId="170" fontId="24" fillId="0" borderId="8" xfId="21" applyNumberFormat="1" applyFont="1" applyBorder="1" applyAlignment="1">
      <alignment horizontal="center" vertical="center" wrapText="1"/>
      <protection/>
    </xf>
    <xf numFmtId="170" fontId="25" fillId="0" borderId="8" xfId="20" applyNumberFormat="1" applyFont="1" applyFill="1" applyBorder="1" applyAlignment="1" applyProtection="1">
      <alignment horizontal="justify" vertical="center" wrapText="1"/>
      <protection/>
    </xf>
    <xf numFmtId="166" fontId="24" fillId="0" borderId="1" xfId="21" applyNumberFormat="1" applyFont="1" applyFill="1" applyBorder="1" applyAlignment="1">
      <alignment horizontal="center" vertical="center" wrapText="1"/>
      <protection/>
    </xf>
    <xf numFmtId="167" fontId="24" fillId="0" borderId="1" xfId="21" applyNumberFormat="1" applyFont="1" applyFill="1" applyBorder="1" applyAlignment="1">
      <alignment horizontal="center" vertical="center" wrapText="1"/>
      <protection/>
    </xf>
    <xf numFmtId="166" fontId="27" fillId="0" borderId="1" xfId="21" applyNumberFormat="1" applyFont="1" applyFill="1" applyBorder="1" applyAlignment="1">
      <alignment horizontal="center" vertical="center" wrapText="1"/>
      <protection/>
    </xf>
    <xf numFmtId="166" fontId="27" fillId="0" borderId="1" xfId="21" applyNumberFormat="1" applyFont="1" applyFill="1" applyBorder="1" applyAlignment="1">
      <alignment horizontal="center" vertical="center" wrapText="1"/>
      <protection/>
    </xf>
    <xf numFmtId="166" fontId="28" fillId="0" borderId="1" xfId="21" applyNumberFormat="1" applyFont="1" applyFill="1" applyBorder="1" applyAlignment="1">
      <alignment horizontal="center" vertical="center" wrapText="1"/>
      <protection/>
    </xf>
    <xf numFmtId="166" fontId="3" fillId="0" borderId="1" xfId="21" applyNumberFormat="1" applyFont="1" applyFill="1" applyBorder="1" applyAlignment="1">
      <alignment horizontal="right" vertical="center" wrapText="1"/>
      <protection/>
    </xf>
    <xf numFmtId="168" fontId="4" fillId="0" borderId="1" xfId="21" applyNumberFormat="1" applyFont="1" applyFill="1" applyBorder="1" applyAlignment="1">
      <alignment horizontal="right" vertical="center" wrapText="1"/>
      <protection/>
    </xf>
    <xf numFmtId="168" fontId="28" fillId="0" borderId="1" xfId="21" applyNumberFormat="1" applyFont="1" applyFill="1" applyBorder="1" applyAlignment="1">
      <alignment horizontal="right" vertical="center" wrapText="1"/>
      <protection/>
    </xf>
    <xf numFmtId="168" fontId="34" fillId="0" borderId="1" xfId="21" applyNumberFormat="1" applyFont="1" applyFill="1" applyBorder="1" applyAlignment="1">
      <alignment horizontal="right" vertical="center" wrapText="1"/>
      <protection/>
    </xf>
    <xf numFmtId="168" fontId="3" fillId="0" borderId="1" xfId="21" applyNumberFormat="1" applyFont="1" applyFill="1" applyBorder="1" applyAlignment="1">
      <alignment horizontal="right" vertical="center" wrapText="1"/>
      <protection/>
    </xf>
    <xf numFmtId="168" fontId="3" fillId="0" borderId="16" xfId="21" applyNumberFormat="1" applyFont="1" applyFill="1" applyBorder="1" applyAlignment="1">
      <alignment horizontal="right" vertical="center" wrapText="1"/>
      <protection/>
    </xf>
    <xf numFmtId="167" fontId="3" fillId="0" borderId="16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horizontal="right" vertical="center" wrapText="1"/>
      <protection/>
    </xf>
    <xf numFmtId="166" fontId="3" fillId="0" borderId="17" xfId="21" applyNumberFormat="1" applyFont="1" applyFill="1" applyBorder="1" applyAlignment="1">
      <alignment horizontal="right" vertical="center" wrapText="1"/>
      <protection/>
    </xf>
    <xf numFmtId="166" fontId="3" fillId="0" borderId="18" xfId="21" applyNumberFormat="1" applyFont="1" applyFill="1" applyBorder="1" applyAlignment="1">
      <alignment horizontal="right" vertical="center" wrapText="1"/>
      <protection/>
    </xf>
    <xf numFmtId="166" fontId="3" fillId="0" borderId="19" xfId="21" applyNumberFormat="1" applyFont="1" applyFill="1" applyBorder="1" applyAlignment="1">
      <alignment horizontal="right" vertical="center" wrapText="1"/>
      <protection/>
    </xf>
    <xf numFmtId="166" fontId="3" fillId="0" borderId="20" xfId="21" applyNumberFormat="1" applyFont="1" applyFill="1" applyBorder="1" applyAlignment="1">
      <alignment horizontal="right" vertical="center" wrapText="1"/>
      <protection/>
    </xf>
    <xf numFmtId="166" fontId="3" fillId="0" borderId="21" xfId="21" applyNumberFormat="1" applyFont="1" applyFill="1" applyBorder="1" applyAlignment="1">
      <alignment horizontal="right" vertical="center" wrapText="1"/>
      <protection/>
    </xf>
    <xf numFmtId="167" fontId="5" fillId="0" borderId="1" xfId="21" applyNumberFormat="1" applyFont="1" applyFill="1" applyBorder="1" applyAlignment="1">
      <alignment horizontal="right" vertical="center" wrapText="1"/>
      <protection/>
    </xf>
    <xf numFmtId="164" fontId="24" fillId="0" borderId="22" xfId="21" applyFont="1" applyBorder="1" applyAlignment="1">
      <alignment vertical="center"/>
      <protection/>
    </xf>
    <xf numFmtId="164" fontId="4" fillId="0" borderId="22" xfId="21" applyFont="1" applyBorder="1" applyAlignment="1">
      <alignment horizontal="justify" vertical="center" wrapText="1"/>
      <protection/>
    </xf>
    <xf numFmtId="164" fontId="24" fillId="0" borderId="1" xfId="21" applyFont="1" applyFill="1" applyBorder="1" applyAlignment="1">
      <alignment horizontal="justify" vertical="center" wrapText="1"/>
      <protection/>
    </xf>
    <xf numFmtId="164" fontId="35" fillId="0" borderId="1" xfId="21" applyFont="1" applyFill="1" applyBorder="1" applyAlignment="1">
      <alignment horizontal="justify" vertical="center" wrapText="1"/>
      <protection/>
    </xf>
    <xf numFmtId="164" fontId="4" fillId="0" borderId="1" xfId="21" applyFont="1" applyFill="1" applyBorder="1" applyAlignment="1">
      <alignment horizontal="justify" vertical="center" wrapText="1"/>
      <protection/>
    </xf>
    <xf numFmtId="164" fontId="3" fillId="0" borderId="1" xfId="2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right" vertical="center"/>
      <protection/>
    </xf>
    <xf numFmtId="164" fontId="24" fillId="0" borderId="3" xfId="21" applyFont="1" applyBorder="1" applyAlignment="1">
      <alignment vertical="center"/>
      <protection/>
    </xf>
    <xf numFmtId="164" fontId="4" fillId="0" borderId="3" xfId="21" applyFont="1" applyBorder="1" applyAlignment="1">
      <alignment horizontal="justify" vertical="center" wrapText="1"/>
      <protection/>
    </xf>
    <xf numFmtId="166" fontId="24" fillId="0" borderId="1" xfId="21" applyNumberFormat="1" applyFont="1" applyFill="1" applyBorder="1" applyAlignment="1">
      <alignment horizontal="center" vertical="center" wrapText="1"/>
      <protection/>
    </xf>
    <xf numFmtId="166" fontId="35" fillId="0" borderId="1" xfId="21" applyNumberFormat="1" applyFont="1" applyFill="1" applyBorder="1" applyAlignment="1">
      <alignment horizontal="center" vertical="center" wrapText="1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64" fontId="24" fillId="0" borderId="0" xfId="21" applyFont="1" applyBorder="1" applyAlignment="1">
      <alignment vertical="center"/>
      <protection/>
    </xf>
    <xf numFmtId="164" fontId="4" fillId="0" borderId="0" xfId="21" applyFont="1" applyBorder="1" applyAlignment="1">
      <alignment horizontal="justify" vertical="center" wrapText="1"/>
      <protection/>
    </xf>
    <xf numFmtId="166" fontId="24" fillId="0" borderId="0" xfId="21" applyNumberFormat="1" applyFont="1" applyFill="1" applyBorder="1" applyAlignment="1">
      <alignment horizontal="center" vertical="center" wrapText="1"/>
      <protection/>
    </xf>
    <xf numFmtId="167" fontId="24" fillId="0" borderId="0" xfId="21" applyNumberFormat="1" applyFont="1" applyFill="1" applyBorder="1" applyAlignment="1">
      <alignment horizontal="center" vertical="center" wrapText="1"/>
      <protection/>
    </xf>
    <xf numFmtId="166" fontId="35" fillId="0" borderId="0" xfId="21" applyNumberFormat="1" applyFont="1" applyFill="1" applyBorder="1" applyAlignment="1">
      <alignment horizontal="center" vertical="center" wrapText="1"/>
      <protection/>
    </xf>
    <xf numFmtId="166" fontId="4" fillId="0" borderId="0" xfId="21" applyNumberFormat="1" applyFont="1" applyFill="1" applyBorder="1" applyAlignment="1">
      <alignment horizontal="center" vertical="center" wrapText="1"/>
      <protection/>
    </xf>
    <xf numFmtId="166" fontId="3" fillId="0" borderId="0" xfId="21" applyNumberFormat="1" applyFont="1" applyFill="1" applyBorder="1" applyAlignment="1">
      <alignment horizontal="right" vertical="center" wrapText="1"/>
      <protection/>
    </xf>
    <xf numFmtId="166" fontId="5" fillId="0" borderId="0" xfId="21" applyNumberFormat="1" applyFont="1" applyFill="1" applyBorder="1" applyAlignment="1">
      <alignment horizontal="right" vertical="center" wrapText="1"/>
      <protection/>
    </xf>
    <xf numFmtId="167" fontId="2" fillId="0" borderId="0" xfId="21" applyNumberFormat="1" applyFont="1" applyFill="1" applyAlignment="1">
      <alignment vertical="center"/>
      <protection/>
    </xf>
    <xf numFmtId="171" fontId="2" fillId="0" borderId="0" xfId="21" applyNumberFormat="1" applyFont="1" applyFill="1" applyAlignment="1">
      <alignment vertical="center"/>
      <protection/>
    </xf>
    <xf numFmtId="164" fontId="24" fillId="0" borderId="0" xfId="21" applyFont="1" applyFill="1" applyAlignment="1">
      <alignment horizontal="justify" vertical="center" wrapText="1"/>
      <protection/>
    </xf>
    <xf numFmtId="164" fontId="4" fillId="0" borderId="0" xfId="21" applyFont="1" applyFill="1" applyAlignment="1">
      <alignment horizontal="justify" vertical="center" wrapText="1"/>
      <protection/>
    </xf>
    <xf numFmtId="164" fontId="3" fillId="0" borderId="0" xfId="21" applyFont="1" applyFill="1" applyAlignment="1">
      <alignment horizontal="right" vertical="center" wrapText="1"/>
      <protection/>
    </xf>
    <xf numFmtId="164" fontId="3" fillId="0" borderId="0" xfId="21" applyFont="1" applyFill="1" applyAlignment="1">
      <alignment vertical="center"/>
      <protection/>
    </xf>
    <xf numFmtId="164" fontId="28" fillId="0" borderId="0" xfId="21" applyFont="1" applyFill="1" applyAlignment="1">
      <alignment vertical="center"/>
      <protection/>
    </xf>
    <xf numFmtId="164" fontId="2" fillId="0" borderId="0" xfId="21" applyFont="1" applyFill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2" TargetMode="External" /><Relationship Id="rId3" Type="http://schemas.openxmlformats.org/officeDocument/2006/relationships/hyperlink" Target="_edn3" TargetMode="External" /><Relationship Id="rId4" Type="http://schemas.openxmlformats.org/officeDocument/2006/relationships/hyperlink" Target="_edn4" TargetMode="External" /><Relationship Id="rId5" Type="http://schemas.openxmlformats.org/officeDocument/2006/relationships/hyperlink" Target="_edn5" TargetMode="External" /><Relationship Id="rId6" Type="http://schemas.openxmlformats.org/officeDocument/2006/relationships/hyperlink" Target="_edn6" TargetMode="External" /><Relationship Id="rId7" Type="http://schemas.openxmlformats.org/officeDocument/2006/relationships/hyperlink" Target="_edn7" TargetMode="External" /><Relationship Id="rId8" Type="http://schemas.openxmlformats.org/officeDocument/2006/relationships/hyperlink" Target="_edn8" TargetMode="External" /><Relationship Id="rId9" Type="http://schemas.openxmlformats.org/officeDocument/2006/relationships/hyperlink" Target="_edn9" TargetMode="External" /><Relationship Id="rId10" Type="http://schemas.openxmlformats.org/officeDocument/2006/relationships/hyperlink" Target="_edn10" TargetMode="External" /><Relationship Id="rId11" Type="http://schemas.openxmlformats.org/officeDocument/2006/relationships/hyperlink" Target="_edn11" TargetMode="External" /><Relationship Id="rId12" Type="http://schemas.openxmlformats.org/officeDocument/2006/relationships/hyperlink" Target="_edn12" TargetMode="External" /><Relationship Id="rId13" Type="http://schemas.openxmlformats.org/officeDocument/2006/relationships/hyperlink" Target="_edn13" TargetMode="External" /><Relationship Id="rId14" Type="http://schemas.openxmlformats.org/officeDocument/2006/relationships/hyperlink" Target="_edn14" TargetMode="External" /><Relationship Id="rId15" Type="http://schemas.openxmlformats.org/officeDocument/2006/relationships/hyperlink" Target="_edn15" TargetMode="External" /><Relationship Id="rId16" Type="http://schemas.openxmlformats.org/officeDocument/2006/relationships/hyperlink" Target="_edn16" TargetMode="External" /><Relationship Id="rId17" Type="http://schemas.openxmlformats.org/officeDocument/2006/relationships/hyperlink" Target="_edn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7"/>
  <sheetViews>
    <sheetView workbookViewId="0" topLeftCell="A1">
      <selection activeCell="P69" sqref="P69"/>
    </sheetView>
  </sheetViews>
  <sheetFormatPr defaultColWidth="10.28125" defaultRowHeight="12.75"/>
  <cols>
    <col min="1" max="1" width="16.7109375" style="1" customWidth="1"/>
    <col min="2" max="2" width="10.140625" style="1" customWidth="1"/>
    <col min="3" max="3" width="11.00390625" style="1" customWidth="1"/>
    <col min="4" max="4" width="10.57421875" style="1" customWidth="1"/>
    <col min="5" max="44" width="9.140625" style="1" customWidth="1"/>
    <col min="45" max="45" width="9.28125" style="1" customWidth="1"/>
    <col min="46" max="16384" width="10.140625" style="1" customWidth="1"/>
  </cols>
  <sheetData>
    <row r="1" spans="1:46" ht="13.5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2:46" s="3" customFormat="1" ht="13.5">
      <c r="B2" s="4"/>
      <c r="C2" s="5"/>
      <c r="D2" s="5"/>
      <c r="E2" s="5"/>
      <c r="F2" s="6"/>
      <c r="G2" s="6"/>
      <c r="H2" s="7"/>
      <c r="I2" s="8"/>
      <c r="J2" s="8"/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8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2:46" s="3" customFormat="1" ht="13.5">
      <c r="B4" s="4"/>
      <c r="C4" s="10"/>
      <c r="D4" s="10"/>
      <c r="E4" s="10"/>
      <c r="F4" s="11"/>
      <c r="G4" s="12"/>
      <c r="H4" s="13"/>
      <c r="I4" s="8"/>
      <c r="J4" s="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8"/>
    </row>
    <row r="5" spans="2:46" s="3" customFormat="1" ht="13.5">
      <c r="B5" s="4"/>
      <c r="C5" s="10"/>
      <c r="D5" s="10"/>
      <c r="E5" s="10"/>
      <c r="F5" s="11"/>
      <c r="G5" s="11"/>
      <c r="H5" s="11"/>
      <c r="I5" s="11"/>
      <c r="J5" s="11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1"/>
    </row>
    <row r="6" spans="2:46" s="3" customFormat="1" ht="13.5">
      <c r="B6" s="14"/>
      <c r="C6" s="10"/>
      <c r="D6" s="10"/>
      <c r="E6" s="10"/>
      <c r="F6" s="11"/>
      <c r="G6" s="11"/>
      <c r="H6" s="15"/>
      <c r="I6" s="16"/>
      <c r="J6" s="17"/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8"/>
    </row>
    <row r="7" spans="1:46" s="3" customFormat="1" ht="13.5">
      <c r="A7" s="19" t="s">
        <v>2</v>
      </c>
      <c r="B7" s="20">
        <v>2009</v>
      </c>
      <c r="C7" s="19">
        <v>2010</v>
      </c>
      <c r="D7" s="19">
        <v>2011</v>
      </c>
      <c r="E7" s="19">
        <v>2012</v>
      </c>
      <c r="F7" s="19">
        <v>2013</v>
      </c>
      <c r="G7" s="21">
        <v>2014</v>
      </c>
      <c r="H7" s="21">
        <v>2015</v>
      </c>
      <c r="I7" s="21">
        <v>2016</v>
      </c>
      <c r="J7" s="21">
        <v>2017</v>
      </c>
      <c r="K7" s="21">
        <v>2018</v>
      </c>
      <c r="L7" s="21">
        <v>2019</v>
      </c>
      <c r="M7" s="21">
        <v>2020</v>
      </c>
      <c r="N7" s="21">
        <v>2021</v>
      </c>
      <c r="O7" s="21">
        <v>2022</v>
      </c>
      <c r="P7" s="21">
        <v>2023</v>
      </c>
      <c r="Q7" s="21">
        <v>2024</v>
      </c>
      <c r="R7" s="21">
        <v>2025</v>
      </c>
      <c r="S7" s="21">
        <v>2026</v>
      </c>
      <c r="T7" s="21">
        <v>2027</v>
      </c>
      <c r="U7" s="22">
        <v>2028</v>
      </c>
      <c r="V7" s="22">
        <v>2029</v>
      </c>
      <c r="W7" s="22">
        <v>2030</v>
      </c>
      <c r="X7" s="22">
        <v>2031</v>
      </c>
      <c r="Y7" s="22">
        <v>2032</v>
      </c>
      <c r="Z7" s="22">
        <v>2033</v>
      </c>
      <c r="AA7" s="22">
        <v>2034</v>
      </c>
      <c r="AB7" s="22">
        <v>2035</v>
      </c>
      <c r="AC7" s="22">
        <v>2036</v>
      </c>
      <c r="AD7" s="22">
        <v>2037</v>
      </c>
      <c r="AE7" s="22">
        <v>2038</v>
      </c>
      <c r="AF7" s="22">
        <v>2039</v>
      </c>
      <c r="AG7" s="22">
        <v>2040</v>
      </c>
      <c r="AH7" s="22">
        <v>2041</v>
      </c>
      <c r="AI7" s="22">
        <v>2042</v>
      </c>
      <c r="AJ7" s="22">
        <v>2043</v>
      </c>
      <c r="AK7" s="22">
        <v>2044</v>
      </c>
      <c r="AL7" s="22">
        <v>2045</v>
      </c>
      <c r="AM7" s="22">
        <v>2046</v>
      </c>
      <c r="AN7" s="22">
        <v>2047</v>
      </c>
      <c r="AO7" s="22">
        <v>2048</v>
      </c>
      <c r="AP7" s="22">
        <v>2049</v>
      </c>
      <c r="AQ7" s="22">
        <v>2050</v>
      </c>
      <c r="AR7" s="22">
        <v>2051</v>
      </c>
      <c r="AS7" s="22">
        <v>2052</v>
      </c>
      <c r="AT7" s="8"/>
    </row>
    <row r="8" spans="1:46" s="3" customFormat="1" ht="13.5">
      <c r="A8" s="23" t="s">
        <v>3</v>
      </c>
      <c r="B8" s="24">
        <v>54154690.01</v>
      </c>
      <c r="C8" s="25">
        <v>57678198.57</v>
      </c>
      <c r="D8" s="25">
        <v>60999081.54</v>
      </c>
      <c r="E8" s="26">
        <v>60645099</v>
      </c>
      <c r="F8" s="27">
        <f>59662670+3137499</f>
        <v>62800169</v>
      </c>
      <c r="G8" s="28">
        <f>61880918+3137499</f>
        <v>65018417</v>
      </c>
      <c r="H8" s="28">
        <f>63427941+3137499</f>
        <v>66565440</v>
      </c>
      <c r="I8" s="28">
        <f>65013639+3137499</f>
        <v>68151138</v>
      </c>
      <c r="J8" s="28">
        <f>66638980+3137499</f>
        <v>69776479</v>
      </c>
      <c r="K8" s="28">
        <v>70012579</v>
      </c>
      <c r="L8" s="28">
        <v>70012579</v>
      </c>
      <c r="M8" s="28">
        <v>71762893</v>
      </c>
      <c r="N8" s="28">
        <v>76368280</v>
      </c>
      <c r="O8" s="28">
        <v>78277487</v>
      </c>
      <c r="P8" s="28">
        <v>80234424</v>
      </c>
      <c r="Q8" s="28">
        <v>82240285</v>
      </c>
      <c r="R8" s="28">
        <v>83885091</v>
      </c>
      <c r="S8" s="28">
        <v>85562793</v>
      </c>
      <c r="T8" s="28">
        <v>87274048</v>
      </c>
      <c r="U8" s="28">
        <v>89019529</v>
      </c>
      <c r="V8" s="28">
        <v>90799920</v>
      </c>
      <c r="W8" s="28">
        <v>92615918</v>
      </c>
      <c r="X8" s="28">
        <v>93078998</v>
      </c>
      <c r="Y8" s="28">
        <v>93544393</v>
      </c>
      <c r="Z8" s="28">
        <v>94012115</v>
      </c>
      <c r="AA8" s="28">
        <v>94482175</v>
      </c>
      <c r="AB8" s="28">
        <v>94954586</v>
      </c>
      <c r="AC8" s="28">
        <v>95429359</v>
      </c>
      <c r="AD8" s="28">
        <v>95906506</v>
      </c>
      <c r="AE8" s="28">
        <v>96386039</v>
      </c>
      <c r="AF8" s="28">
        <v>96867969</v>
      </c>
      <c r="AG8" s="28">
        <v>97352309</v>
      </c>
      <c r="AH8" s="28">
        <v>97839070</v>
      </c>
      <c r="AI8" s="28">
        <v>98328266</v>
      </c>
      <c r="AJ8" s="28">
        <v>98819907</v>
      </c>
      <c r="AK8" s="28">
        <v>99314006</v>
      </c>
      <c r="AL8" s="28">
        <v>99810576</v>
      </c>
      <c r="AM8" s="28">
        <v>100309629</v>
      </c>
      <c r="AN8" s="28">
        <v>100811177</v>
      </c>
      <c r="AO8" s="28">
        <v>101315233</v>
      </c>
      <c r="AP8" s="28">
        <v>101821809</v>
      </c>
      <c r="AQ8" s="28">
        <v>102330919</v>
      </c>
      <c r="AR8" s="28">
        <v>102842573</v>
      </c>
      <c r="AS8" s="28">
        <v>103356786</v>
      </c>
      <c r="AT8" s="8"/>
    </row>
    <row r="9" spans="1:46" s="3" customFormat="1" ht="13.5">
      <c r="A9" s="29" t="s">
        <v>4</v>
      </c>
      <c r="B9" s="30">
        <v>1627693.46</v>
      </c>
      <c r="C9" s="31">
        <v>3035219.43</v>
      </c>
      <c r="D9" s="31">
        <v>662740.89</v>
      </c>
      <c r="E9" s="26">
        <v>2490099</v>
      </c>
      <c r="F9" s="32">
        <f aca="true" t="shared" si="0" ref="F9:AS9">F10</f>
        <v>2900000</v>
      </c>
      <c r="G9" s="33">
        <f t="shared" si="0"/>
        <v>2100000</v>
      </c>
      <c r="H9" s="33">
        <f t="shared" si="0"/>
        <v>1900000</v>
      </c>
      <c r="I9" s="26">
        <f t="shared" si="0"/>
        <v>1978000</v>
      </c>
      <c r="J9" s="32">
        <f t="shared" si="0"/>
        <v>2017560</v>
      </c>
      <c r="K9" s="32">
        <f t="shared" si="0"/>
        <v>2057911</v>
      </c>
      <c r="L9" s="32">
        <f t="shared" si="0"/>
        <v>4221485</v>
      </c>
      <c r="M9" s="32">
        <f t="shared" si="0"/>
        <v>4305915</v>
      </c>
      <c r="N9" s="32">
        <f t="shared" si="0"/>
        <v>4392033</v>
      </c>
      <c r="O9" s="32">
        <f t="shared" si="0"/>
        <v>4479874</v>
      </c>
      <c r="P9" s="32">
        <f t="shared" si="0"/>
        <v>4569472</v>
      </c>
      <c r="Q9" s="32">
        <f t="shared" si="0"/>
        <v>4660861</v>
      </c>
      <c r="R9" s="33">
        <f t="shared" si="0"/>
        <v>4754078</v>
      </c>
      <c r="S9" s="33">
        <f t="shared" si="0"/>
        <v>4849160</v>
      </c>
      <c r="T9" s="33">
        <f t="shared" si="0"/>
        <v>4946143</v>
      </c>
      <c r="U9" s="33">
        <f t="shared" si="0"/>
        <v>5045066</v>
      </c>
      <c r="V9" s="26">
        <f t="shared" si="0"/>
        <v>5145967</v>
      </c>
      <c r="W9" s="32">
        <f t="shared" si="0"/>
        <v>5248887</v>
      </c>
      <c r="X9" s="32">
        <f t="shared" si="0"/>
        <v>5327620</v>
      </c>
      <c r="Y9" s="32">
        <f t="shared" si="0"/>
        <v>5354258</v>
      </c>
      <c r="Z9" s="32">
        <f t="shared" si="0"/>
        <v>5381029</v>
      </c>
      <c r="AA9" s="32">
        <f t="shared" si="0"/>
        <v>5407934</v>
      </c>
      <c r="AB9" s="32">
        <f t="shared" si="0"/>
        <v>5434974</v>
      </c>
      <c r="AC9" s="32">
        <f t="shared" si="0"/>
        <v>5462149</v>
      </c>
      <c r="AD9" s="33">
        <f t="shared" si="0"/>
        <v>5489460</v>
      </c>
      <c r="AE9" s="33">
        <f t="shared" si="0"/>
        <v>5516907</v>
      </c>
      <c r="AF9" s="33">
        <f t="shared" si="0"/>
        <v>5544491</v>
      </c>
      <c r="AG9" s="33">
        <f t="shared" si="0"/>
        <v>5572214</v>
      </c>
      <c r="AH9" s="26">
        <f t="shared" si="0"/>
        <v>5600075</v>
      </c>
      <c r="AI9" s="32">
        <f t="shared" si="0"/>
        <v>5628075</v>
      </c>
      <c r="AJ9" s="32">
        <f t="shared" si="0"/>
        <v>5656216</v>
      </c>
      <c r="AK9" s="32">
        <v>5684497</v>
      </c>
      <c r="AL9" s="32">
        <f t="shared" si="0"/>
        <v>5712919</v>
      </c>
      <c r="AM9" s="32">
        <f t="shared" si="0"/>
        <v>5741484</v>
      </c>
      <c r="AN9" s="32">
        <f t="shared" si="0"/>
        <v>5770191</v>
      </c>
      <c r="AO9" s="33">
        <f t="shared" si="0"/>
        <v>5799042</v>
      </c>
      <c r="AP9" s="33">
        <f t="shared" si="0"/>
        <v>5828037</v>
      </c>
      <c r="AQ9" s="33">
        <f t="shared" si="0"/>
        <v>5857178</v>
      </c>
      <c r="AR9" s="26">
        <f t="shared" si="0"/>
        <v>5886464</v>
      </c>
      <c r="AS9" s="32">
        <f t="shared" si="0"/>
        <v>5915896</v>
      </c>
      <c r="AT9" s="8"/>
    </row>
    <row r="10" spans="1:46" s="41" customFormat="1" ht="21.75">
      <c r="A10" s="34" t="s">
        <v>5</v>
      </c>
      <c r="B10" s="35">
        <v>1302232.11</v>
      </c>
      <c r="C10" s="36">
        <v>1787374.05</v>
      </c>
      <c r="D10" s="36">
        <v>360034.75</v>
      </c>
      <c r="E10" s="37">
        <v>2037000</v>
      </c>
      <c r="F10" s="38">
        <v>2900000</v>
      </c>
      <c r="G10" s="39">
        <v>2100000</v>
      </c>
      <c r="H10" s="39">
        <v>1900000</v>
      </c>
      <c r="I10" s="39">
        <v>1978000</v>
      </c>
      <c r="J10" s="39">
        <v>2017560</v>
      </c>
      <c r="K10" s="39">
        <v>2057911</v>
      </c>
      <c r="L10" s="39">
        <v>4221485</v>
      </c>
      <c r="M10" s="39">
        <v>4305915</v>
      </c>
      <c r="N10" s="39">
        <v>4392033</v>
      </c>
      <c r="O10" s="39">
        <v>4479874</v>
      </c>
      <c r="P10" s="39">
        <v>4569472</v>
      </c>
      <c r="Q10" s="39">
        <v>4660861</v>
      </c>
      <c r="R10" s="39">
        <v>4754078</v>
      </c>
      <c r="S10" s="39">
        <v>4849160</v>
      </c>
      <c r="T10" s="39">
        <v>4946143</v>
      </c>
      <c r="U10" s="39">
        <v>5045066</v>
      </c>
      <c r="V10" s="39">
        <v>5145967</v>
      </c>
      <c r="W10" s="39">
        <v>5248887</v>
      </c>
      <c r="X10" s="39">
        <v>5327620</v>
      </c>
      <c r="Y10" s="39">
        <v>5354258</v>
      </c>
      <c r="Z10" s="39">
        <v>5381029</v>
      </c>
      <c r="AA10" s="39">
        <v>5407934</v>
      </c>
      <c r="AB10" s="39">
        <v>5434974</v>
      </c>
      <c r="AC10" s="39">
        <v>5462149</v>
      </c>
      <c r="AD10" s="39">
        <v>5489460</v>
      </c>
      <c r="AE10" s="39">
        <v>5516907</v>
      </c>
      <c r="AF10" s="39">
        <v>5544491</v>
      </c>
      <c r="AG10" s="39">
        <v>5572214</v>
      </c>
      <c r="AH10" s="39">
        <v>5600075</v>
      </c>
      <c r="AI10" s="39">
        <v>5628075</v>
      </c>
      <c r="AJ10" s="39">
        <v>5656216</v>
      </c>
      <c r="AK10" s="39">
        <v>5684497</v>
      </c>
      <c r="AL10" s="39">
        <v>5712919</v>
      </c>
      <c r="AM10" s="39">
        <v>5741484</v>
      </c>
      <c r="AN10" s="39">
        <v>5770191</v>
      </c>
      <c r="AO10" s="39">
        <v>5799042</v>
      </c>
      <c r="AP10" s="39">
        <v>5828037</v>
      </c>
      <c r="AQ10" s="39">
        <v>5857178</v>
      </c>
      <c r="AR10" s="39">
        <v>5886464</v>
      </c>
      <c r="AS10" s="39">
        <v>5915896</v>
      </c>
      <c r="AT10" s="40"/>
    </row>
    <row r="11" spans="1:46" s="3" customFormat="1" ht="13.5">
      <c r="A11" s="23" t="s">
        <v>6</v>
      </c>
      <c r="B11" s="42">
        <f aca="true" t="shared" si="1" ref="B11:AS11">B8+B9</f>
        <v>55782383.47</v>
      </c>
      <c r="C11" s="43">
        <f t="shared" si="1"/>
        <v>60713418</v>
      </c>
      <c r="D11" s="43">
        <f t="shared" si="1"/>
        <v>61661822.43</v>
      </c>
      <c r="E11" s="44">
        <f t="shared" si="1"/>
        <v>63135198</v>
      </c>
      <c r="F11" s="45">
        <f t="shared" si="1"/>
        <v>65700169</v>
      </c>
      <c r="G11" s="46">
        <f t="shared" si="1"/>
        <v>67118417</v>
      </c>
      <c r="H11" s="46">
        <f t="shared" si="1"/>
        <v>68465440</v>
      </c>
      <c r="I11" s="44">
        <f t="shared" si="1"/>
        <v>70129138</v>
      </c>
      <c r="J11" s="45">
        <f t="shared" si="1"/>
        <v>71794039</v>
      </c>
      <c r="K11" s="45">
        <f t="shared" si="1"/>
        <v>72070490</v>
      </c>
      <c r="L11" s="45">
        <f t="shared" si="1"/>
        <v>74234064</v>
      </c>
      <c r="M11" s="45">
        <f t="shared" si="1"/>
        <v>76068808</v>
      </c>
      <c r="N11" s="45">
        <f t="shared" si="1"/>
        <v>80760313</v>
      </c>
      <c r="O11" s="45">
        <f t="shared" si="1"/>
        <v>82757361</v>
      </c>
      <c r="P11" s="45">
        <f t="shared" si="1"/>
        <v>84803896</v>
      </c>
      <c r="Q11" s="45">
        <f t="shared" si="1"/>
        <v>86901146</v>
      </c>
      <c r="R11" s="46">
        <f t="shared" si="1"/>
        <v>88639169</v>
      </c>
      <c r="S11" s="46">
        <f t="shared" si="1"/>
        <v>90411953</v>
      </c>
      <c r="T11" s="46">
        <f t="shared" si="1"/>
        <v>92220191</v>
      </c>
      <c r="U11" s="46">
        <f t="shared" si="1"/>
        <v>94064595</v>
      </c>
      <c r="V11" s="44">
        <f t="shared" si="1"/>
        <v>95945887</v>
      </c>
      <c r="W11" s="45">
        <f t="shared" si="1"/>
        <v>97864805</v>
      </c>
      <c r="X11" s="45">
        <f t="shared" si="1"/>
        <v>98406618</v>
      </c>
      <c r="Y11" s="45">
        <f t="shared" si="1"/>
        <v>98898651</v>
      </c>
      <c r="Z11" s="45">
        <f t="shared" si="1"/>
        <v>99393144</v>
      </c>
      <c r="AA11" s="45">
        <f t="shared" si="1"/>
        <v>99890109</v>
      </c>
      <c r="AB11" s="45">
        <f t="shared" si="1"/>
        <v>100389560</v>
      </c>
      <c r="AC11" s="45">
        <f t="shared" si="1"/>
        <v>100891508</v>
      </c>
      <c r="AD11" s="46">
        <f t="shared" si="1"/>
        <v>101395966</v>
      </c>
      <c r="AE11" s="46">
        <f t="shared" si="1"/>
        <v>101902946</v>
      </c>
      <c r="AF11" s="46">
        <f t="shared" si="1"/>
        <v>102412460</v>
      </c>
      <c r="AG11" s="46">
        <f t="shared" si="1"/>
        <v>102924523</v>
      </c>
      <c r="AH11" s="44">
        <f t="shared" si="1"/>
        <v>103439145</v>
      </c>
      <c r="AI11" s="45">
        <f t="shared" si="1"/>
        <v>103956341</v>
      </c>
      <c r="AJ11" s="45">
        <f t="shared" si="1"/>
        <v>104476123</v>
      </c>
      <c r="AK11" s="45">
        <f t="shared" si="1"/>
        <v>104998503</v>
      </c>
      <c r="AL11" s="45">
        <f t="shared" si="1"/>
        <v>105523495</v>
      </c>
      <c r="AM11" s="45">
        <f t="shared" si="1"/>
        <v>106051113</v>
      </c>
      <c r="AN11" s="45">
        <f t="shared" si="1"/>
        <v>106581368</v>
      </c>
      <c r="AO11" s="45">
        <f t="shared" si="1"/>
        <v>107114275</v>
      </c>
      <c r="AP11" s="45">
        <f t="shared" si="1"/>
        <v>107649846</v>
      </c>
      <c r="AQ11" s="45">
        <f t="shared" si="1"/>
        <v>108188097</v>
      </c>
      <c r="AR11" s="45">
        <f t="shared" si="1"/>
        <v>108729037</v>
      </c>
      <c r="AS11" s="45">
        <f t="shared" si="1"/>
        <v>109272682</v>
      </c>
      <c r="AT11" s="47"/>
    </row>
    <row r="12" spans="1:46" s="3" customFormat="1" ht="13.5">
      <c r="A12" s="48" t="s">
        <v>7</v>
      </c>
      <c r="B12" s="44">
        <v>51055135.56</v>
      </c>
      <c r="C12" s="42">
        <v>55564597.45</v>
      </c>
      <c r="D12" s="43">
        <v>58845203.72</v>
      </c>
      <c r="E12" s="44">
        <v>55648625</v>
      </c>
      <c r="F12" s="45">
        <v>57337499</v>
      </c>
      <c r="G12" s="45">
        <v>59766435</v>
      </c>
      <c r="H12" s="45">
        <v>60613387</v>
      </c>
      <c r="I12" s="45">
        <v>60362387</v>
      </c>
      <c r="J12" s="45">
        <v>63489507</v>
      </c>
      <c r="K12" s="45">
        <v>66994867</v>
      </c>
      <c r="L12" s="49">
        <v>64945930</v>
      </c>
      <c r="M12" s="50">
        <v>66244848</v>
      </c>
      <c r="N12" s="50">
        <v>67569745</v>
      </c>
      <c r="O12" s="50">
        <v>68921140</v>
      </c>
      <c r="P12" s="50">
        <v>70299563</v>
      </c>
      <c r="Q12" s="50">
        <v>71705554</v>
      </c>
      <c r="R12" s="51">
        <v>73139665</v>
      </c>
      <c r="S12" s="51">
        <v>74602459</v>
      </c>
      <c r="T12" s="51">
        <v>76094508</v>
      </c>
      <c r="U12" s="51">
        <v>77616398</v>
      </c>
      <c r="V12" s="49">
        <v>79168726</v>
      </c>
      <c r="W12" s="50">
        <v>80752100</v>
      </c>
      <c r="X12" s="50">
        <v>81155861</v>
      </c>
      <c r="Y12" s="50">
        <v>81561400</v>
      </c>
      <c r="Z12" s="50">
        <v>81969448</v>
      </c>
      <c r="AA12" s="50">
        <v>82379296</v>
      </c>
      <c r="AB12" s="50">
        <v>82791192</v>
      </c>
      <c r="AC12" s="50">
        <v>83205148</v>
      </c>
      <c r="AD12" s="51">
        <v>83621174</v>
      </c>
      <c r="AE12" s="51">
        <v>84039280</v>
      </c>
      <c r="AF12" s="51">
        <v>84459476</v>
      </c>
      <c r="AG12" s="51">
        <v>84881773</v>
      </c>
      <c r="AH12" s="49">
        <v>85306182</v>
      </c>
      <c r="AI12" s="50">
        <v>85732713</v>
      </c>
      <c r="AJ12" s="52">
        <v>86161377</v>
      </c>
      <c r="AK12" s="53">
        <v>86592184</v>
      </c>
      <c r="AL12" s="53">
        <v>87025145</v>
      </c>
      <c r="AM12" s="53">
        <v>87460270</v>
      </c>
      <c r="AN12" s="53">
        <v>87897572</v>
      </c>
      <c r="AO12" s="54">
        <v>88337059</v>
      </c>
      <c r="AP12" s="54">
        <v>88778745</v>
      </c>
      <c r="AQ12" s="54">
        <v>89222638</v>
      </c>
      <c r="AR12" s="52">
        <v>89668752</v>
      </c>
      <c r="AS12" s="53">
        <v>90117095</v>
      </c>
      <c r="AT12" s="47"/>
    </row>
    <row r="13" spans="1:46" ht="13.5">
      <c r="A13" s="55" t="s">
        <v>8</v>
      </c>
      <c r="B13" s="42">
        <v>385435.21</v>
      </c>
      <c r="C13" s="43">
        <v>831230.33</v>
      </c>
      <c r="D13" s="43">
        <v>951039.19</v>
      </c>
      <c r="E13" s="44">
        <v>1029466</v>
      </c>
      <c r="F13" s="49">
        <v>714970</v>
      </c>
      <c r="G13" s="56">
        <v>404468</v>
      </c>
      <c r="H13" s="54">
        <v>375888</v>
      </c>
      <c r="I13" s="56">
        <v>268888</v>
      </c>
      <c r="J13" s="56">
        <v>216888</v>
      </c>
      <c r="K13" s="56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9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2"/>
    </row>
    <row r="14" spans="1:46" ht="13.5">
      <c r="A14" s="23" t="s">
        <v>9</v>
      </c>
      <c r="B14" s="60">
        <v>3723000</v>
      </c>
      <c r="C14" s="61">
        <v>4428727</v>
      </c>
      <c r="D14" s="61">
        <v>6431700</v>
      </c>
      <c r="E14" s="62">
        <v>5111700</v>
      </c>
      <c r="F14" s="63">
        <v>6547700</v>
      </c>
      <c r="G14" s="28">
        <f>3759100</f>
        <v>3759100</v>
      </c>
      <c r="H14" s="28">
        <f>3949800+781886</f>
        <v>4731686</v>
      </c>
      <c r="I14" s="28">
        <v>1200000</v>
      </c>
      <c r="J14" s="28">
        <v>800000</v>
      </c>
      <c r="K14" s="28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64"/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/>
      <c r="AD14" s="65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66"/>
    </row>
    <row r="15" spans="1:46" ht="13.5">
      <c r="A15" s="48" t="s">
        <v>10</v>
      </c>
      <c r="B15" s="44">
        <v>0</v>
      </c>
      <c r="C15" s="45">
        <v>0</v>
      </c>
      <c r="D15" s="42">
        <v>0</v>
      </c>
      <c r="E15" s="62">
        <v>169553</v>
      </c>
      <c r="F15" s="63">
        <v>295173</v>
      </c>
      <c r="G15" s="28">
        <v>189282</v>
      </c>
      <c r="H15" s="28">
        <v>282813</v>
      </c>
      <c r="I15" s="28">
        <v>356813</v>
      </c>
      <c r="J15" s="28">
        <v>246428</v>
      </c>
      <c r="K15" s="28">
        <v>134813</v>
      </c>
      <c r="L15" s="28">
        <v>134813</v>
      </c>
      <c r="M15" s="28">
        <v>134813</v>
      </c>
      <c r="N15" s="28">
        <v>134813</v>
      </c>
      <c r="O15" s="28">
        <v>134813</v>
      </c>
      <c r="P15" s="28">
        <v>134813</v>
      </c>
      <c r="Q15" s="57">
        <v>134813</v>
      </c>
      <c r="R15" s="57">
        <v>134813</v>
      </c>
      <c r="S15" s="57">
        <v>134813</v>
      </c>
      <c r="T15" s="57">
        <v>134813</v>
      </c>
      <c r="U15" s="28">
        <v>134813</v>
      </c>
      <c r="V15" s="28">
        <v>134813</v>
      </c>
      <c r="W15" s="28">
        <v>134813</v>
      </c>
      <c r="X15" s="28">
        <v>134813</v>
      </c>
      <c r="Y15" s="28">
        <v>134816</v>
      </c>
      <c r="Z15" s="28">
        <v>134813</v>
      </c>
      <c r="AA15" s="28">
        <v>134813</v>
      </c>
      <c r="AB15" s="28">
        <v>96315</v>
      </c>
      <c r="AC15" s="28">
        <v>96315</v>
      </c>
      <c r="AD15" s="28">
        <v>96315</v>
      </c>
      <c r="AE15" s="28">
        <v>96315</v>
      </c>
      <c r="AF15" s="28">
        <v>96315</v>
      </c>
      <c r="AG15" s="28">
        <v>96315</v>
      </c>
      <c r="AH15" s="28">
        <v>96315</v>
      </c>
      <c r="AI15" s="28">
        <v>96315</v>
      </c>
      <c r="AJ15" s="28">
        <v>25184</v>
      </c>
      <c r="AK15" s="28">
        <v>25184</v>
      </c>
      <c r="AL15" s="28">
        <v>25184</v>
      </c>
      <c r="AM15" s="28">
        <v>25184</v>
      </c>
      <c r="AN15" s="28">
        <v>25184</v>
      </c>
      <c r="AO15" s="28">
        <v>25184</v>
      </c>
      <c r="AP15" s="28">
        <v>25184</v>
      </c>
      <c r="AQ15" s="28">
        <v>25184</v>
      </c>
      <c r="AR15" s="28">
        <v>25184</v>
      </c>
      <c r="AS15" s="28">
        <v>25184</v>
      </c>
      <c r="AT15" s="67"/>
    </row>
    <row r="16" spans="1:46" ht="13.5">
      <c r="A16" s="68" t="s">
        <v>11</v>
      </c>
      <c r="B16" s="44">
        <v>15448927</v>
      </c>
      <c r="C16" s="45">
        <v>19850200</v>
      </c>
      <c r="D16" s="45">
        <v>19768300</v>
      </c>
      <c r="E16" s="45">
        <v>17038486</v>
      </c>
      <c r="F16" s="63">
        <v>10490786</v>
      </c>
      <c r="G16" s="28">
        <v>6731686</v>
      </c>
      <c r="H16" s="28">
        <v>2000000</v>
      </c>
      <c r="I16" s="28">
        <v>800000</v>
      </c>
      <c r="J16" s="28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69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/>
      <c r="AD16" s="64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70"/>
    </row>
    <row r="17" spans="1:46" ht="13.5">
      <c r="A17" s="23"/>
      <c r="B17" s="20">
        <v>2009</v>
      </c>
      <c r="C17" s="19">
        <v>2010</v>
      </c>
      <c r="D17" s="19">
        <v>2011</v>
      </c>
      <c r="E17" s="19">
        <v>2012</v>
      </c>
      <c r="F17" s="19">
        <v>2013</v>
      </c>
      <c r="G17" s="71">
        <v>2014</v>
      </c>
      <c r="H17" s="21">
        <v>2015</v>
      </c>
      <c r="I17" s="21">
        <v>2016</v>
      </c>
      <c r="J17" s="21">
        <v>2017</v>
      </c>
      <c r="K17" s="21">
        <v>2018</v>
      </c>
      <c r="L17" s="21">
        <v>2019</v>
      </c>
      <c r="M17" s="21">
        <v>2020</v>
      </c>
      <c r="N17" s="21">
        <v>2021</v>
      </c>
      <c r="O17" s="21">
        <v>2022</v>
      </c>
      <c r="P17" s="21">
        <v>2023</v>
      </c>
      <c r="Q17" s="21">
        <v>2024</v>
      </c>
      <c r="R17" s="21">
        <v>2025</v>
      </c>
      <c r="S17" s="21">
        <v>2026</v>
      </c>
      <c r="T17" s="21">
        <v>2027</v>
      </c>
      <c r="U17" s="22">
        <v>2028</v>
      </c>
      <c r="V17" s="22">
        <v>2029</v>
      </c>
      <c r="W17" s="22">
        <v>2030</v>
      </c>
      <c r="X17" s="22">
        <v>2031</v>
      </c>
      <c r="Y17" s="22">
        <v>2032</v>
      </c>
      <c r="Z17" s="22">
        <v>2033</v>
      </c>
      <c r="AA17" s="22">
        <v>2034</v>
      </c>
      <c r="AB17" s="21">
        <v>2035</v>
      </c>
      <c r="AC17" s="21">
        <v>2036</v>
      </c>
      <c r="AD17" s="21">
        <v>2037</v>
      </c>
      <c r="AE17" s="21">
        <v>2038</v>
      </c>
      <c r="AF17" s="21">
        <v>2039</v>
      </c>
      <c r="AG17" s="21">
        <v>2040</v>
      </c>
      <c r="AH17" s="21">
        <v>2041</v>
      </c>
      <c r="AI17" s="21">
        <v>2042</v>
      </c>
      <c r="AJ17" s="21">
        <f>AJ7</f>
        <v>2043</v>
      </c>
      <c r="AK17" s="21">
        <f aca="true" t="shared" si="2" ref="AK17:AS17">AK7</f>
        <v>2044</v>
      </c>
      <c r="AL17" s="21">
        <f t="shared" si="2"/>
        <v>2045</v>
      </c>
      <c r="AM17" s="21">
        <f t="shared" si="2"/>
        <v>2046</v>
      </c>
      <c r="AN17" s="21">
        <f t="shared" si="2"/>
        <v>2047</v>
      </c>
      <c r="AO17" s="21">
        <f t="shared" si="2"/>
        <v>2048</v>
      </c>
      <c r="AP17" s="21">
        <f t="shared" si="2"/>
        <v>2049</v>
      </c>
      <c r="AQ17" s="21">
        <f t="shared" si="2"/>
        <v>2050</v>
      </c>
      <c r="AR17" s="21">
        <f t="shared" si="2"/>
        <v>2051</v>
      </c>
      <c r="AS17" s="21">
        <f t="shared" si="2"/>
        <v>2052</v>
      </c>
      <c r="AT17" s="2"/>
    </row>
    <row r="18" spans="1:46" ht="13.5">
      <c r="A18" s="29" t="s">
        <v>12</v>
      </c>
      <c r="B18" s="72">
        <f aca="true" t="shared" si="3" ref="B18:AS18">+B16/B11</f>
        <v>0.27694992646394356</v>
      </c>
      <c r="C18" s="73">
        <f t="shared" si="3"/>
        <v>0.3269491432684617</v>
      </c>
      <c r="D18" s="73">
        <f t="shared" si="3"/>
        <v>0.32059221120883113</v>
      </c>
      <c r="E18" s="73">
        <f t="shared" si="3"/>
        <v>0.2698730112480205</v>
      </c>
      <c r="F18" s="73">
        <f t="shared" si="3"/>
        <v>0.1596766973308699</v>
      </c>
      <c r="G18" s="74">
        <f t="shared" si="3"/>
        <v>0.10029566102549767</v>
      </c>
      <c r="H18" s="74">
        <f t="shared" si="3"/>
        <v>0.029211818400641257</v>
      </c>
      <c r="I18" s="72">
        <f t="shared" si="3"/>
        <v>0.011407526497759035</v>
      </c>
      <c r="J18" s="73">
        <f t="shared" si="3"/>
        <v>0</v>
      </c>
      <c r="K18" s="73">
        <f t="shared" si="3"/>
        <v>0</v>
      </c>
      <c r="L18" s="73">
        <f t="shared" si="3"/>
        <v>0</v>
      </c>
      <c r="M18" s="73">
        <f t="shared" si="3"/>
        <v>0</v>
      </c>
      <c r="N18" s="73">
        <f t="shared" si="3"/>
        <v>0</v>
      </c>
      <c r="O18" s="73">
        <f t="shared" si="3"/>
        <v>0</v>
      </c>
      <c r="P18" s="73">
        <f t="shared" si="3"/>
        <v>0</v>
      </c>
      <c r="Q18" s="73">
        <f t="shared" si="3"/>
        <v>0</v>
      </c>
      <c r="R18" s="74">
        <f t="shared" si="3"/>
        <v>0</v>
      </c>
      <c r="S18" s="74">
        <f t="shared" si="3"/>
        <v>0</v>
      </c>
      <c r="T18" s="74">
        <f t="shared" si="3"/>
        <v>0</v>
      </c>
      <c r="U18" s="74">
        <f t="shared" si="3"/>
        <v>0</v>
      </c>
      <c r="V18" s="72">
        <f t="shared" si="3"/>
        <v>0</v>
      </c>
      <c r="W18" s="73">
        <f t="shared" si="3"/>
        <v>0</v>
      </c>
      <c r="X18" s="73">
        <f t="shared" si="3"/>
        <v>0</v>
      </c>
      <c r="Y18" s="73">
        <f t="shared" si="3"/>
        <v>0</v>
      </c>
      <c r="Z18" s="73">
        <f t="shared" si="3"/>
        <v>0</v>
      </c>
      <c r="AA18" s="73">
        <f t="shared" si="3"/>
        <v>0</v>
      </c>
      <c r="AB18" s="73">
        <f t="shared" si="3"/>
        <v>0</v>
      </c>
      <c r="AC18" s="73">
        <f t="shared" si="3"/>
        <v>0</v>
      </c>
      <c r="AD18" s="74">
        <f t="shared" si="3"/>
        <v>0</v>
      </c>
      <c r="AE18" s="74">
        <f t="shared" si="3"/>
        <v>0</v>
      </c>
      <c r="AF18" s="74">
        <f t="shared" si="3"/>
        <v>0</v>
      </c>
      <c r="AG18" s="74">
        <f t="shared" si="3"/>
        <v>0</v>
      </c>
      <c r="AH18" s="72">
        <f t="shared" si="3"/>
        <v>0</v>
      </c>
      <c r="AI18" s="73">
        <f t="shared" si="3"/>
        <v>0</v>
      </c>
      <c r="AJ18" s="73">
        <f t="shared" si="3"/>
        <v>0</v>
      </c>
      <c r="AK18" s="73">
        <f t="shared" si="3"/>
        <v>0</v>
      </c>
      <c r="AL18" s="73">
        <f t="shared" si="3"/>
        <v>0</v>
      </c>
      <c r="AM18" s="73">
        <f t="shared" si="3"/>
        <v>0</v>
      </c>
      <c r="AN18" s="73">
        <f t="shared" si="3"/>
        <v>0</v>
      </c>
      <c r="AO18" s="74">
        <f t="shared" si="3"/>
        <v>0</v>
      </c>
      <c r="AP18" s="74">
        <f t="shared" si="3"/>
        <v>0</v>
      </c>
      <c r="AQ18" s="74">
        <f t="shared" si="3"/>
        <v>0</v>
      </c>
      <c r="AR18" s="72">
        <f t="shared" si="3"/>
        <v>0</v>
      </c>
      <c r="AS18" s="73">
        <f t="shared" si="3"/>
        <v>0</v>
      </c>
      <c r="AT18" s="75"/>
    </row>
    <row r="19" spans="1:46" ht="13.5">
      <c r="A19" s="29" t="s">
        <v>13</v>
      </c>
      <c r="B19" s="76">
        <f aca="true" t="shared" si="4" ref="B19:AS19">(B14+B13+B15)/B11</f>
        <v>0.07365112342697823</v>
      </c>
      <c r="C19" s="74">
        <f t="shared" si="4"/>
        <v>0.08663582949653732</v>
      </c>
      <c r="D19" s="74">
        <f t="shared" si="4"/>
        <v>0.11972950034652421</v>
      </c>
      <c r="E19" s="74">
        <f t="shared" si="4"/>
        <v>0.09995563805787067</v>
      </c>
      <c r="F19" s="74">
        <f t="shared" si="4"/>
        <v>0.11503536619517676</v>
      </c>
      <c r="G19" s="74">
        <f t="shared" si="4"/>
        <v>0.06485328758573075</v>
      </c>
      <c r="H19" s="74">
        <f t="shared" si="4"/>
        <v>0.07873150307658872</v>
      </c>
      <c r="I19" s="76">
        <f t="shared" si="4"/>
        <v>0.02603341566810646</v>
      </c>
      <c r="J19" s="74">
        <f t="shared" si="4"/>
        <v>0.017596391254711272</v>
      </c>
      <c r="K19" s="74">
        <f t="shared" si="4"/>
        <v>0.001870571436381243</v>
      </c>
      <c r="L19" s="74">
        <f t="shared" si="4"/>
        <v>0.0018160530723469485</v>
      </c>
      <c r="M19" s="74">
        <f t="shared" si="4"/>
        <v>0.0017722507233188143</v>
      </c>
      <c r="N19" s="74">
        <f t="shared" si="4"/>
        <v>0.0016692976412808107</v>
      </c>
      <c r="O19" s="74">
        <f t="shared" si="4"/>
        <v>0.0016290152123144672</v>
      </c>
      <c r="P19" s="74">
        <f t="shared" si="4"/>
        <v>0.0015897029070456857</v>
      </c>
      <c r="Q19" s="74">
        <f t="shared" si="4"/>
        <v>0.0015513374242498482</v>
      </c>
      <c r="R19" s="74">
        <f t="shared" si="4"/>
        <v>0.0015209190420095206</v>
      </c>
      <c r="S19" s="74">
        <f t="shared" si="4"/>
        <v>0.001491097089784135</v>
      </c>
      <c r="T19" s="74">
        <f t="shared" si="4"/>
        <v>0.0014618599087481829</v>
      </c>
      <c r="U19" s="74">
        <f t="shared" si="4"/>
        <v>0.0014331959862262736</v>
      </c>
      <c r="V19" s="76">
        <f t="shared" si="4"/>
        <v>0.0014050941026789402</v>
      </c>
      <c r="W19" s="74">
        <f t="shared" si="4"/>
        <v>0.0013775432342607744</v>
      </c>
      <c r="X19" s="74">
        <f t="shared" si="4"/>
        <v>0.0013699586749338342</v>
      </c>
      <c r="Y19" s="74">
        <f t="shared" si="4"/>
        <v>0.0013631732954577913</v>
      </c>
      <c r="Z19" s="74">
        <f t="shared" si="4"/>
        <v>0.0013563611590755194</v>
      </c>
      <c r="AA19" s="74">
        <f t="shared" si="4"/>
        <v>0.0013496131033353862</v>
      </c>
      <c r="AB19" s="74">
        <f t="shared" si="4"/>
        <v>0.0009594125126158537</v>
      </c>
      <c r="AC19" s="74">
        <f t="shared" si="4"/>
        <v>0.0009546393141432677</v>
      </c>
      <c r="AD19" s="74">
        <f t="shared" si="4"/>
        <v>0.0009498898605098352</v>
      </c>
      <c r="AE19" s="74">
        <f t="shared" si="4"/>
        <v>0.0009451640387315201</v>
      </c>
      <c r="AF19" s="74">
        <f t="shared" si="4"/>
        <v>0.0009404617367847623</v>
      </c>
      <c r="AG19" s="74">
        <f t="shared" si="4"/>
        <v>0.0009357828163070525</v>
      </c>
      <c r="AH19" s="76">
        <f t="shared" si="4"/>
        <v>0.0009311271859410671</v>
      </c>
      <c r="AI19" s="74">
        <f t="shared" si="4"/>
        <v>0.0009264947099282766</v>
      </c>
      <c r="AJ19" s="74">
        <f t="shared" si="4"/>
        <v>0.00024105029241944592</v>
      </c>
      <c r="AK19" s="74">
        <f t="shared" si="4"/>
        <v>0.00023985103863814134</v>
      </c>
      <c r="AL19" s="74">
        <f t="shared" si="4"/>
        <v>0.00023865775105345023</v>
      </c>
      <c r="AM19" s="74">
        <f t="shared" si="4"/>
        <v>0.00023747039788257572</v>
      </c>
      <c r="AN19" s="74">
        <f t="shared" si="4"/>
        <v>0.0002362889543695855</v>
      </c>
      <c r="AO19" s="74">
        <f t="shared" si="4"/>
        <v>0.00023511338708122703</v>
      </c>
      <c r="AP19" s="74">
        <f t="shared" si="4"/>
        <v>0.00023394366955248593</v>
      </c>
      <c r="AQ19" s="74">
        <f t="shared" si="4"/>
        <v>0.00023277976689062198</v>
      </c>
      <c r="AR19" s="76">
        <f t="shared" si="4"/>
        <v>0.00023162165963081232</v>
      </c>
      <c r="AS19" s="74">
        <f t="shared" si="4"/>
        <v>0.0002304693134556723</v>
      </c>
      <c r="AT19" s="77"/>
    </row>
    <row r="20" spans="1:46" ht="13.5">
      <c r="A20" s="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77"/>
    </row>
    <row r="21" spans="1:46" ht="13.5">
      <c r="A21" s="4"/>
      <c r="B21" s="47"/>
      <c r="C21" s="47"/>
      <c r="D21" s="15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77"/>
    </row>
    <row r="22" spans="1:46" ht="13.5">
      <c r="A22" s="4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77"/>
    </row>
    <row r="23" spans="1:46" ht="13.5">
      <c r="A23" s="4" t="s">
        <v>14</v>
      </c>
      <c r="B23" s="66">
        <f>+B8+B10-B12-B13</f>
        <v>4016351.349999995</v>
      </c>
      <c r="C23" s="66">
        <f>+C8+C10-C12-C13</f>
        <v>3069744.8399999943</v>
      </c>
      <c r="D23" s="66">
        <f>+D8+D10-D12-D13</f>
        <v>1562873.3800000004</v>
      </c>
      <c r="E23" s="66">
        <f aca="true" t="shared" si="5" ref="E23:AS23">+E8+E10-E12-E13</f>
        <v>6004008</v>
      </c>
      <c r="F23" s="66">
        <f t="shared" si="5"/>
        <v>7647700</v>
      </c>
      <c r="G23" s="66">
        <f t="shared" si="5"/>
        <v>6947514</v>
      </c>
      <c r="H23" s="66">
        <f t="shared" si="5"/>
        <v>7476165</v>
      </c>
      <c r="I23" s="66">
        <f t="shared" si="5"/>
        <v>9497863</v>
      </c>
      <c r="J23" s="66">
        <f t="shared" si="5"/>
        <v>8087644</v>
      </c>
      <c r="K23" s="66">
        <f t="shared" si="5"/>
        <v>5075623</v>
      </c>
      <c r="L23" s="66">
        <f t="shared" si="5"/>
        <v>9288134</v>
      </c>
      <c r="M23" s="66">
        <f t="shared" si="5"/>
        <v>9823960</v>
      </c>
      <c r="N23" s="66">
        <f t="shared" si="5"/>
        <v>13190568</v>
      </c>
      <c r="O23" s="66">
        <f t="shared" si="5"/>
        <v>13836221</v>
      </c>
      <c r="P23" s="66">
        <f t="shared" si="5"/>
        <v>14504333</v>
      </c>
      <c r="Q23" s="66">
        <f t="shared" si="5"/>
        <v>15195592</v>
      </c>
      <c r="R23" s="66">
        <f t="shared" si="5"/>
        <v>15499504</v>
      </c>
      <c r="S23" s="66">
        <f t="shared" si="5"/>
        <v>15809494</v>
      </c>
      <c r="T23" s="66">
        <f t="shared" si="5"/>
        <v>16125683</v>
      </c>
      <c r="U23" s="66">
        <f t="shared" si="5"/>
        <v>16448197</v>
      </c>
      <c r="V23" s="66">
        <f t="shared" si="5"/>
        <v>16777161</v>
      </c>
      <c r="W23" s="66">
        <f t="shared" si="5"/>
        <v>17112705</v>
      </c>
      <c r="X23" s="66">
        <f t="shared" si="5"/>
        <v>17250757</v>
      </c>
      <c r="Y23" s="66">
        <f t="shared" si="5"/>
        <v>17337251</v>
      </c>
      <c r="Z23" s="66">
        <f t="shared" si="5"/>
        <v>17423696</v>
      </c>
      <c r="AA23" s="66">
        <f t="shared" si="5"/>
        <v>17510813</v>
      </c>
      <c r="AB23" s="66">
        <f t="shared" si="5"/>
        <v>17598368</v>
      </c>
      <c r="AC23" s="66">
        <f t="shared" si="5"/>
        <v>17686360</v>
      </c>
      <c r="AD23" s="66">
        <f t="shared" si="5"/>
        <v>17774792</v>
      </c>
      <c r="AE23" s="66">
        <f t="shared" si="5"/>
        <v>17863666</v>
      </c>
      <c r="AF23" s="66">
        <f t="shared" si="5"/>
        <v>17952984</v>
      </c>
      <c r="AG23" s="66">
        <f t="shared" si="5"/>
        <v>18042750</v>
      </c>
      <c r="AH23" s="66">
        <f t="shared" si="5"/>
        <v>18132963</v>
      </c>
      <c r="AI23" s="66">
        <f t="shared" si="5"/>
        <v>18223628</v>
      </c>
      <c r="AJ23" s="66">
        <f t="shared" si="5"/>
        <v>18314746</v>
      </c>
      <c r="AK23" s="66">
        <f t="shared" si="5"/>
        <v>18406319</v>
      </c>
      <c r="AL23" s="66">
        <f t="shared" si="5"/>
        <v>18498350</v>
      </c>
      <c r="AM23" s="66">
        <f t="shared" si="5"/>
        <v>18590843</v>
      </c>
      <c r="AN23" s="66">
        <f t="shared" si="5"/>
        <v>18683796</v>
      </c>
      <c r="AO23" s="66">
        <f t="shared" si="5"/>
        <v>18777216</v>
      </c>
      <c r="AP23" s="66">
        <f t="shared" si="5"/>
        <v>18871101</v>
      </c>
      <c r="AQ23" s="66">
        <f t="shared" si="5"/>
        <v>18965459</v>
      </c>
      <c r="AR23" s="66">
        <f t="shared" si="5"/>
        <v>19060285</v>
      </c>
      <c r="AS23" s="66">
        <f t="shared" si="5"/>
        <v>19155587</v>
      </c>
      <c r="AT23" s="66"/>
    </row>
    <row r="24" spans="1:46" ht="13.5">
      <c r="A24" s="4" t="s">
        <v>15</v>
      </c>
      <c r="B24" s="67">
        <f aca="true" t="shared" si="6" ref="B24:AS24">+B23/B11</f>
        <v>0.07200035387803043</v>
      </c>
      <c r="C24" s="67">
        <f t="shared" si="6"/>
        <v>0.05056122585620191</v>
      </c>
      <c r="D24" s="67">
        <f t="shared" si="6"/>
        <v>0.025345883699337823</v>
      </c>
      <c r="E24" s="67">
        <f t="shared" si="6"/>
        <v>0.09509763476151607</v>
      </c>
      <c r="F24" s="67">
        <f t="shared" si="6"/>
        <v>0.1164030491306651</v>
      </c>
      <c r="G24" s="67">
        <f t="shared" si="6"/>
        <v>0.10351129109615323</v>
      </c>
      <c r="H24" s="67">
        <f t="shared" si="6"/>
        <v>0.10919618715661507</v>
      </c>
      <c r="I24" s="67">
        <f t="shared" si="6"/>
        <v>0.1354339048057314</v>
      </c>
      <c r="J24" s="67">
        <f t="shared" si="6"/>
        <v>0.11265063384997744</v>
      </c>
      <c r="K24" s="67">
        <f t="shared" si="6"/>
        <v>0.07042581505967282</v>
      </c>
      <c r="L24" s="67">
        <f t="shared" si="6"/>
        <v>0.1251195677499214</v>
      </c>
      <c r="M24" s="67">
        <f t="shared" si="6"/>
        <v>0.12914570713399373</v>
      </c>
      <c r="N24" s="67">
        <f t="shared" si="6"/>
        <v>0.16332982760975678</v>
      </c>
      <c r="O24" s="67">
        <f t="shared" si="6"/>
        <v>0.16719021526073072</v>
      </c>
      <c r="P24" s="67">
        <f t="shared" si="6"/>
        <v>0.17103380486198416</v>
      </c>
      <c r="Q24" s="67">
        <f t="shared" si="6"/>
        <v>0.17486066294223554</v>
      </c>
      <c r="R24" s="67">
        <f t="shared" si="6"/>
        <v>0.17486066458948865</v>
      </c>
      <c r="S24" s="67">
        <f t="shared" si="6"/>
        <v>0.17486066250554283</v>
      </c>
      <c r="T24" s="67">
        <f t="shared" si="6"/>
        <v>0.17486065497305248</v>
      </c>
      <c r="U24" s="67">
        <f t="shared" si="6"/>
        <v>0.1748606582529803</v>
      </c>
      <c r="V24" s="67">
        <f t="shared" si="6"/>
        <v>0.17486065869608355</v>
      </c>
      <c r="W24" s="67">
        <f t="shared" si="6"/>
        <v>0.1748606662017055</v>
      </c>
      <c r="X24" s="67">
        <f t="shared" si="6"/>
        <v>0.17530078109177577</v>
      </c>
      <c r="Y24" s="67">
        <f t="shared" si="6"/>
        <v>0.1753032101519767</v>
      </c>
      <c r="Z24" s="67">
        <f t="shared" si="6"/>
        <v>0.17530078332163435</v>
      </c>
      <c r="AA24" s="67">
        <f t="shared" si="6"/>
        <v>0.17530076976890674</v>
      </c>
      <c r="AB24" s="67">
        <f t="shared" si="6"/>
        <v>0.17530077828810087</v>
      </c>
      <c r="AC24" s="67">
        <f t="shared" si="6"/>
        <v>0.17530077952645925</v>
      </c>
      <c r="AD24" s="67">
        <f t="shared" si="6"/>
        <v>0.17530078070364258</v>
      </c>
      <c r="AE24" s="67">
        <f t="shared" si="6"/>
        <v>0.1753007808037267</v>
      </c>
      <c r="AF24" s="67">
        <f t="shared" si="6"/>
        <v>0.17530077883101333</v>
      </c>
      <c r="AG24" s="67">
        <f t="shared" si="6"/>
        <v>0.17530078813190128</v>
      </c>
      <c r="AH24" s="67">
        <f t="shared" si="6"/>
        <v>0.17530078192351647</v>
      </c>
      <c r="AI24" s="67">
        <f t="shared" si="6"/>
        <v>0.1753007832393793</v>
      </c>
      <c r="AJ24" s="67">
        <f t="shared" si="6"/>
        <v>0.17530078140437888</v>
      </c>
      <c r="AK24" s="67">
        <f t="shared" si="6"/>
        <v>0.17530077547867515</v>
      </c>
      <c r="AL24" s="67">
        <f t="shared" si="6"/>
        <v>0.17530077069566355</v>
      </c>
      <c r="AM24" s="67">
        <f t="shared" si="6"/>
        <v>0.17530078161461635</v>
      </c>
      <c r="AN24" s="67">
        <f t="shared" si="6"/>
        <v>0.1753007711441647</v>
      </c>
      <c r="AO24" s="67">
        <f t="shared" si="6"/>
        <v>0.17530078040485267</v>
      </c>
      <c r="AP24" s="67">
        <f t="shared" si="6"/>
        <v>0.17530077098298869</v>
      </c>
      <c r="AQ24" s="67">
        <f t="shared" si="6"/>
        <v>0.17530079117668554</v>
      </c>
      <c r="AR24" s="67">
        <f t="shared" si="6"/>
        <v>0.17530078004829566</v>
      </c>
      <c r="AS24" s="67">
        <f t="shared" si="6"/>
        <v>0.17530078560714746</v>
      </c>
      <c r="AT24" s="66"/>
    </row>
    <row r="25" spans="1:46" ht="13.5">
      <c r="A25" s="4" t="s">
        <v>16</v>
      </c>
      <c r="B25" s="70">
        <f aca="true" t="shared" si="7" ref="B25:AS25">+B24</f>
        <v>0.07200035387803043</v>
      </c>
      <c r="C25" s="70">
        <f t="shared" si="7"/>
        <v>0.05056122585620191</v>
      </c>
      <c r="D25" s="70">
        <f t="shared" si="7"/>
        <v>0.025345883699337823</v>
      </c>
      <c r="E25" s="70">
        <f t="shared" si="7"/>
        <v>0.09509763476151607</v>
      </c>
      <c r="F25" s="70">
        <f t="shared" si="7"/>
        <v>0.1164030491306651</v>
      </c>
      <c r="G25" s="70">
        <f t="shared" si="7"/>
        <v>0.10351129109615323</v>
      </c>
      <c r="H25" s="70">
        <f t="shared" si="7"/>
        <v>0.10919618715661507</v>
      </c>
      <c r="I25" s="70">
        <f t="shared" si="7"/>
        <v>0.1354339048057314</v>
      </c>
      <c r="J25" s="70">
        <f t="shared" si="7"/>
        <v>0.11265063384997744</v>
      </c>
      <c r="K25" s="70">
        <f t="shared" si="7"/>
        <v>0.07042581505967282</v>
      </c>
      <c r="L25" s="70">
        <f t="shared" si="7"/>
        <v>0.1251195677499214</v>
      </c>
      <c r="M25" s="70">
        <f t="shared" si="7"/>
        <v>0.12914570713399373</v>
      </c>
      <c r="N25" s="70">
        <f t="shared" si="7"/>
        <v>0.16332982760975678</v>
      </c>
      <c r="O25" s="70">
        <f t="shared" si="7"/>
        <v>0.16719021526073072</v>
      </c>
      <c r="P25" s="70">
        <f t="shared" si="7"/>
        <v>0.17103380486198416</v>
      </c>
      <c r="Q25" s="70">
        <f t="shared" si="7"/>
        <v>0.17486066294223554</v>
      </c>
      <c r="R25" s="70">
        <f t="shared" si="7"/>
        <v>0.17486066458948865</v>
      </c>
      <c r="S25" s="70">
        <f t="shared" si="7"/>
        <v>0.17486066250554283</v>
      </c>
      <c r="T25" s="70">
        <f t="shared" si="7"/>
        <v>0.17486065497305248</v>
      </c>
      <c r="U25" s="70">
        <f t="shared" si="7"/>
        <v>0.1748606582529803</v>
      </c>
      <c r="V25" s="70">
        <f t="shared" si="7"/>
        <v>0.17486065869608355</v>
      </c>
      <c r="W25" s="70">
        <f t="shared" si="7"/>
        <v>0.1748606662017055</v>
      </c>
      <c r="X25" s="70">
        <f t="shared" si="7"/>
        <v>0.17530078109177577</v>
      </c>
      <c r="Y25" s="70">
        <f t="shared" si="7"/>
        <v>0.1753032101519767</v>
      </c>
      <c r="Z25" s="70">
        <f t="shared" si="7"/>
        <v>0.17530078332163435</v>
      </c>
      <c r="AA25" s="70">
        <f t="shared" si="7"/>
        <v>0.17530076976890674</v>
      </c>
      <c r="AB25" s="70">
        <f t="shared" si="7"/>
        <v>0.17530077828810087</v>
      </c>
      <c r="AC25" s="70">
        <f t="shared" si="7"/>
        <v>0.17530077952645925</v>
      </c>
      <c r="AD25" s="70">
        <f t="shared" si="7"/>
        <v>0.17530078070364258</v>
      </c>
      <c r="AE25" s="70">
        <f t="shared" si="7"/>
        <v>0.1753007808037267</v>
      </c>
      <c r="AF25" s="70">
        <f t="shared" si="7"/>
        <v>0.17530077883101333</v>
      </c>
      <c r="AG25" s="70">
        <f t="shared" si="7"/>
        <v>0.17530078813190128</v>
      </c>
      <c r="AH25" s="70">
        <f t="shared" si="7"/>
        <v>0.17530078192351647</v>
      </c>
      <c r="AI25" s="70">
        <f t="shared" si="7"/>
        <v>0.1753007832393793</v>
      </c>
      <c r="AJ25" s="70">
        <f t="shared" si="7"/>
        <v>0.17530078140437888</v>
      </c>
      <c r="AK25" s="70">
        <f t="shared" si="7"/>
        <v>0.17530077547867515</v>
      </c>
      <c r="AL25" s="70">
        <f t="shared" si="7"/>
        <v>0.17530077069566355</v>
      </c>
      <c r="AM25" s="70">
        <f t="shared" si="7"/>
        <v>0.17530078161461635</v>
      </c>
      <c r="AN25" s="70">
        <f t="shared" si="7"/>
        <v>0.1753007711441647</v>
      </c>
      <c r="AO25" s="70">
        <f t="shared" si="7"/>
        <v>0.17530078040485267</v>
      </c>
      <c r="AP25" s="70">
        <f t="shared" si="7"/>
        <v>0.17530077098298869</v>
      </c>
      <c r="AQ25" s="70">
        <f t="shared" si="7"/>
        <v>0.17530079117668554</v>
      </c>
      <c r="AR25" s="70">
        <f t="shared" si="7"/>
        <v>0.17530078004829566</v>
      </c>
      <c r="AS25" s="70">
        <f t="shared" si="7"/>
        <v>0.17530078560714746</v>
      </c>
      <c r="AT25" s="66"/>
    </row>
    <row r="26" spans="1:46" ht="13.5">
      <c r="A26" s="4"/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66"/>
    </row>
    <row r="27" spans="1:46" ht="13.5">
      <c r="A27" s="78" t="s">
        <v>17</v>
      </c>
      <c r="B27" s="79"/>
      <c r="C27" s="75"/>
      <c r="D27" s="75" t="e">
        <f>(+"#REF!+B25+C25)/3")</f>
        <v>#NAME?</v>
      </c>
      <c r="E27" s="75">
        <f aca="true" t="shared" si="8" ref="E27:I27">(+B25+C25+D25)/3</f>
        <v>0.04930248781119006</v>
      </c>
      <c r="F27" s="75">
        <f t="shared" si="8"/>
        <v>0.0570015814390186</v>
      </c>
      <c r="G27" s="75">
        <f t="shared" si="8"/>
        <v>0.07894885586383966</v>
      </c>
      <c r="H27" s="75">
        <f t="shared" si="8"/>
        <v>0.10500399166277814</v>
      </c>
      <c r="I27" s="75">
        <f t="shared" si="8"/>
        <v>0.10970350912781113</v>
      </c>
      <c r="J27" s="75">
        <f>(+G25+H25+I25)/3</f>
        <v>0.11604712768616658</v>
      </c>
      <c r="K27" s="75">
        <f>(+H25+I25+J25)/3</f>
        <v>0.11909357527077463</v>
      </c>
      <c r="L27" s="75">
        <f>(+I25+J25+K25)/3</f>
        <v>0.10617011790512722</v>
      </c>
      <c r="M27" s="75">
        <f>(+K25+J25+L25)/3</f>
        <v>0.10273200555319055</v>
      </c>
      <c r="N27" s="75">
        <f>(+K25+L25+M25)/3</f>
        <v>0.10823036331452933</v>
      </c>
      <c r="O27" s="75">
        <f aca="true" t="shared" si="9" ref="O27:AS27">(+L25+M25+N25)/3</f>
        <v>0.13919836749789063</v>
      </c>
      <c r="P27" s="75">
        <f t="shared" si="9"/>
        <v>0.15322191666816043</v>
      </c>
      <c r="Q27" s="75">
        <f t="shared" si="9"/>
        <v>0.1671846159108239</v>
      </c>
      <c r="R27" s="75">
        <f t="shared" si="9"/>
        <v>0.17102822768831683</v>
      </c>
      <c r="S27" s="75">
        <f t="shared" si="9"/>
        <v>0.17358504413123613</v>
      </c>
      <c r="T27" s="75">
        <f t="shared" si="9"/>
        <v>0.17486066334575567</v>
      </c>
      <c r="U27" s="75">
        <f t="shared" si="9"/>
        <v>0.17486066068936132</v>
      </c>
      <c r="V27" s="75">
        <f t="shared" si="9"/>
        <v>0.17486065857719188</v>
      </c>
      <c r="W27" s="75">
        <f t="shared" si="9"/>
        <v>0.1748606573073721</v>
      </c>
      <c r="X27" s="75">
        <f t="shared" si="9"/>
        <v>0.17486066105025644</v>
      </c>
      <c r="Y27" s="75">
        <f t="shared" si="9"/>
        <v>0.17500736866318825</v>
      </c>
      <c r="Z27" s="75">
        <f t="shared" si="9"/>
        <v>0.17515488581515268</v>
      </c>
      <c r="AA27" s="75">
        <f t="shared" si="9"/>
        <v>0.1753015915217956</v>
      </c>
      <c r="AB27" s="75">
        <f t="shared" si="9"/>
        <v>0.17530158774750593</v>
      </c>
      <c r="AC27" s="75">
        <f t="shared" si="9"/>
        <v>0.17530077712621397</v>
      </c>
      <c r="AD27" s="75">
        <f t="shared" si="9"/>
        <v>0.17530077586115564</v>
      </c>
      <c r="AE27" s="75">
        <f t="shared" si="9"/>
        <v>0.17530077950606757</v>
      </c>
      <c r="AF27" s="75">
        <f t="shared" si="9"/>
        <v>0.1753007803446095</v>
      </c>
      <c r="AG27" s="75">
        <f t="shared" si="9"/>
        <v>0.17530078011279424</v>
      </c>
      <c r="AH27" s="75">
        <f t="shared" si="9"/>
        <v>0.17530078258888046</v>
      </c>
      <c r="AI27" s="75">
        <f t="shared" si="9"/>
        <v>0.1753007829621437</v>
      </c>
      <c r="AJ27" s="75">
        <f t="shared" si="9"/>
        <v>0.17530078443159902</v>
      </c>
      <c r="AK27" s="75">
        <f t="shared" si="9"/>
        <v>0.17530078218909154</v>
      </c>
      <c r="AL27" s="75">
        <f t="shared" si="9"/>
        <v>0.1753007800408111</v>
      </c>
      <c r="AM27" s="75">
        <f t="shared" si="9"/>
        <v>0.17530077585957252</v>
      </c>
      <c r="AN27" s="75">
        <f t="shared" si="9"/>
        <v>0.17530077592965168</v>
      </c>
      <c r="AO27" s="75">
        <f t="shared" si="9"/>
        <v>0.17530077448481488</v>
      </c>
      <c r="AP27" s="75">
        <f t="shared" si="9"/>
        <v>0.17530077772121122</v>
      </c>
      <c r="AQ27" s="75">
        <f t="shared" si="9"/>
        <v>0.17530077417733536</v>
      </c>
      <c r="AR27" s="75">
        <f t="shared" si="9"/>
        <v>0.17530078085484227</v>
      </c>
      <c r="AS27" s="75">
        <f t="shared" si="9"/>
        <v>0.17530078073598995</v>
      </c>
      <c r="AT27" s="2"/>
    </row>
    <row r="28" spans="1:46" ht="13.5">
      <c r="A28" s="80" t="s">
        <v>16</v>
      </c>
      <c r="B28" s="67"/>
      <c r="C28" s="77"/>
      <c r="D28" s="77" t="e">
        <f aca="true" t="shared" si="10" ref="D28:AS28">+D27</f>
        <v>#NAME?</v>
      </c>
      <c r="E28" s="77">
        <f t="shared" si="10"/>
        <v>0.04930248781119006</v>
      </c>
      <c r="F28" s="77">
        <f t="shared" si="10"/>
        <v>0.0570015814390186</v>
      </c>
      <c r="G28" s="77">
        <f t="shared" si="10"/>
        <v>0.07894885586383966</v>
      </c>
      <c r="H28" s="77">
        <f t="shared" si="10"/>
        <v>0.10500399166277814</v>
      </c>
      <c r="I28" s="77">
        <f t="shared" si="10"/>
        <v>0.10970350912781113</v>
      </c>
      <c r="J28" s="77">
        <f t="shared" si="10"/>
        <v>0.11604712768616658</v>
      </c>
      <c r="K28" s="77">
        <f t="shared" si="10"/>
        <v>0.11909357527077463</v>
      </c>
      <c r="L28" s="77">
        <f t="shared" si="10"/>
        <v>0.10617011790512722</v>
      </c>
      <c r="M28" s="77">
        <f t="shared" si="10"/>
        <v>0.10273200555319055</v>
      </c>
      <c r="N28" s="77">
        <f t="shared" si="10"/>
        <v>0.10823036331452933</v>
      </c>
      <c r="O28" s="77">
        <f t="shared" si="10"/>
        <v>0.13919836749789063</v>
      </c>
      <c r="P28" s="77">
        <f t="shared" si="10"/>
        <v>0.15322191666816043</v>
      </c>
      <c r="Q28" s="77">
        <f t="shared" si="10"/>
        <v>0.1671846159108239</v>
      </c>
      <c r="R28" s="77">
        <f t="shared" si="10"/>
        <v>0.17102822768831683</v>
      </c>
      <c r="S28" s="77">
        <f t="shared" si="10"/>
        <v>0.17358504413123613</v>
      </c>
      <c r="T28" s="77">
        <f t="shared" si="10"/>
        <v>0.17486066334575567</v>
      </c>
      <c r="U28" s="77">
        <f t="shared" si="10"/>
        <v>0.17486066068936132</v>
      </c>
      <c r="V28" s="77">
        <f t="shared" si="10"/>
        <v>0.17486065857719188</v>
      </c>
      <c r="W28" s="77">
        <f t="shared" si="10"/>
        <v>0.1748606573073721</v>
      </c>
      <c r="X28" s="77">
        <f t="shared" si="10"/>
        <v>0.17486066105025644</v>
      </c>
      <c r="Y28" s="77">
        <f t="shared" si="10"/>
        <v>0.17500736866318825</v>
      </c>
      <c r="Z28" s="77">
        <f t="shared" si="10"/>
        <v>0.17515488581515268</v>
      </c>
      <c r="AA28" s="77">
        <f t="shared" si="10"/>
        <v>0.1753015915217956</v>
      </c>
      <c r="AB28" s="77">
        <f t="shared" si="10"/>
        <v>0.17530158774750593</v>
      </c>
      <c r="AC28" s="77">
        <f t="shared" si="10"/>
        <v>0.17530077712621397</v>
      </c>
      <c r="AD28" s="77">
        <f t="shared" si="10"/>
        <v>0.17530077586115564</v>
      </c>
      <c r="AE28" s="77">
        <f t="shared" si="10"/>
        <v>0.17530077950606757</v>
      </c>
      <c r="AF28" s="77">
        <f t="shared" si="10"/>
        <v>0.1753007803446095</v>
      </c>
      <c r="AG28" s="77">
        <f t="shared" si="10"/>
        <v>0.17530078011279424</v>
      </c>
      <c r="AH28" s="77">
        <f t="shared" si="10"/>
        <v>0.17530078258888046</v>
      </c>
      <c r="AI28" s="77">
        <f t="shared" si="10"/>
        <v>0.1753007829621437</v>
      </c>
      <c r="AJ28" s="77">
        <f t="shared" si="10"/>
        <v>0.17530078443159902</v>
      </c>
      <c r="AK28" s="77">
        <f t="shared" si="10"/>
        <v>0.17530078218909154</v>
      </c>
      <c r="AL28" s="77">
        <f t="shared" si="10"/>
        <v>0.1753007800408111</v>
      </c>
      <c r="AM28" s="77">
        <f t="shared" si="10"/>
        <v>0.17530077585957252</v>
      </c>
      <c r="AN28" s="77">
        <f t="shared" si="10"/>
        <v>0.17530077592965168</v>
      </c>
      <c r="AO28" s="77">
        <f t="shared" si="10"/>
        <v>0.17530077448481488</v>
      </c>
      <c r="AP28" s="77">
        <f t="shared" si="10"/>
        <v>0.17530077772121122</v>
      </c>
      <c r="AQ28" s="77">
        <f t="shared" si="10"/>
        <v>0.17530077417733536</v>
      </c>
      <c r="AR28" s="77">
        <f t="shared" si="10"/>
        <v>0.17530078085484227</v>
      </c>
      <c r="AS28" s="77">
        <f t="shared" si="10"/>
        <v>0.17530078073598995</v>
      </c>
      <c r="AT28" s="2"/>
    </row>
    <row r="29" spans="1:45" ht="13.5">
      <c r="A29" s="81"/>
      <c r="B29" s="81"/>
      <c r="C29" s="81"/>
      <c r="D29" s="81"/>
      <c r="E29" s="81"/>
      <c r="F29" s="8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3.5">
      <c r="A30" s="82" t="s">
        <v>18</v>
      </c>
      <c r="B30" s="81"/>
      <c r="C30" s="66">
        <f aca="true" t="shared" si="11" ref="C30:AS30">+C27*C11</f>
        <v>0</v>
      </c>
      <c r="D30" s="66" t="e">
        <f t="shared" si="11"/>
        <v>#NAME?</v>
      </c>
      <c r="E30" s="66">
        <f t="shared" si="11"/>
        <v>3112722.329852071</v>
      </c>
      <c r="F30" s="66">
        <f t="shared" si="11"/>
        <v>3745013.5338107855</v>
      </c>
      <c r="G30" s="66">
        <f t="shared" si="11"/>
        <v>5298922.229542086</v>
      </c>
      <c r="H30" s="66">
        <f t="shared" si="11"/>
        <v>7189144.490948437</v>
      </c>
      <c r="I30" s="66">
        <f t="shared" si="11"/>
        <v>7693412.530708526</v>
      </c>
      <c r="J30" s="66">
        <f t="shared" si="11"/>
        <v>8331492.010938623</v>
      </c>
      <c r="K30" s="66">
        <f t="shared" si="11"/>
        <v>8583132.325616611</v>
      </c>
      <c r="L30" s="66">
        <f t="shared" si="11"/>
        <v>7881439.32745676</v>
      </c>
      <c r="M30" s="66">
        <f t="shared" si="11"/>
        <v>7814701.205880586</v>
      </c>
      <c r="N30" s="66">
        <f t="shared" si="11"/>
        <v>8740718.017385107</v>
      </c>
      <c r="O30" s="66">
        <f t="shared" si="11"/>
        <v>11519689.549633602</v>
      </c>
      <c r="P30" s="66">
        <f t="shared" si="11"/>
        <v>12993815.486047344</v>
      </c>
      <c r="Q30" s="66">
        <f t="shared" si="11"/>
        <v>14528534.716220431</v>
      </c>
      <c r="R30" s="66">
        <f t="shared" si="11"/>
        <v>15159799.977835195</v>
      </c>
      <c r="S30" s="66">
        <f t="shared" si="11"/>
        <v>15694162.851496246</v>
      </c>
      <c r="T30" s="66">
        <f t="shared" si="11"/>
        <v>16125683.772132287</v>
      </c>
      <c r="U30" s="66">
        <f t="shared" si="11"/>
        <v>16448197.229177194</v>
      </c>
      <c r="V30" s="66">
        <f t="shared" si="11"/>
        <v>16777160.988592833</v>
      </c>
      <c r="W30" s="66">
        <f t="shared" si="11"/>
        <v>17112704.129557796</v>
      </c>
      <c r="X30" s="66">
        <f t="shared" si="11"/>
        <v>17207446.275200065</v>
      </c>
      <c r="Y30" s="66">
        <f t="shared" si="11"/>
        <v>17307992.67584899</v>
      </c>
      <c r="Z30" s="66">
        <f t="shared" si="11"/>
        <v>17409194.788129028</v>
      </c>
      <c r="AA30" s="66">
        <f t="shared" si="11"/>
        <v>17510895.08498564</v>
      </c>
      <c r="AB30" s="66">
        <f t="shared" si="11"/>
        <v>17598449.26127351</v>
      </c>
      <c r="AC30" s="66">
        <f t="shared" si="11"/>
        <v>17686359.757835634</v>
      </c>
      <c r="AD30" s="66">
        <f t="shared" si="11"/>
        <v>17774791.508991357</v>
      </c>
      <c r="AE30" s="66">
        <f t="shared" si="11"/>
        <v>17863665.86776471</v>
      </c>
      <c r="AF30" s="66">
        <f t="shared" si="11"/>
        <v>17952984.155011106</v>
      </c>
      <c r="AG30" s="66">
        <f t="shared" si="11"/>
        <v>18042749.174637232</v>
      </c>
      <c r="AH30" s="66">
        <f t="shared" si="11"/>
        <v>18132963.068824682</v>
      </c>
      <c r="AI30" s="66">
        <f t="shared" si="11"/>
        <v>18223627.9711796</v>
      </c>
      <c r="AJ30" s="66">
        <f t="shared" si="11"/>
        <v>18314746.316272225</v>
      </c>
      <c r="AK30" s="66">
        <f t="shared" si="11"/>
        <v>18406319.704583675</v>
      </c>
      <c r="AL30" s="66">
        <f t="shared" si="11"/>
        <v>18498350.98613263</v>
      </c>
      <c r="AM30" s="66">
        <f t="shared" si="11"/>
        <v>18590842.389671195</v>
      </c>
      <c r="AN30" s="66">
        <f t="shared" si="11"/>
        <v>18683796.510043748</v>
      </c>
      <c r="AO30" s="66">
        <f t="shared" si="11"/>
        <v>18777215.365879443</v>
      </c>
      <c r="AP30" s="66">
        <f t="shared" si="11"/>
        <v>18871101.72536862</v>
      </c>
      <c r="AQ30" s="66">
        <f t="shared" si="11"/>
        <v>18965457.160872653</v>
      </c>
      <c r="AR30" s="66">
        <f t="shared" si="11"/>
        <v>19060285.087695036</v>
      </c>
      <c r="AS30" s="66">
        <f t="shared" si="11"/>
        <v>19155586.467715558</v>
      </c>
    </row>
    <row r="31" spans="1:45" ht="13.5">
      <c r="A31" s="82" t="s">
        <v>19</v>
      </c>
      <c r="B31" s="81"/>
      <c r="C31" s="66">
        <f aca="true" t="shared" si="12" ref="C31:AS31">0.15*C11</f>
        <v>9107012.7</v>
      </c>
      <c r="D31" s="66">
        <f t="shared" si="12"/>
        <v>9249273.3645</v>
      </c>
      <c r="E31" s="66">
        <f t="shared" si="12"/>
        <v>9470279.7</v>
      </c>
      <c r="F31" s="66">
        <f t="shared" si="12"/>
        <v>9855025.35</v>
      </c>
      <c r="G31" s="66">
        <f t="shared" si="12"/>
        <v>10067762.549999999</v>
      </c>
      <c r="H31" s="66">
        <f t="shared" si="12"/>
        <v>10269816</v>
      </c>
      <c r="I31" s="66">
        <f t="shared" si="12"/>
        <v>10519370.7</v>
      </c>
      <c r="J31" s="66">
        <f t="shared" si="12"/>
        <v>10769105.85</v>
      </c>
      <c r="K31" s="66">
        <f t="shared" si="12"/>
        <v>10810573.5</v>
      </c>
      <c r="L31" s="66">
        <f t="shared" si="12"/>
        <v>11135109.6</v>
      </c>
      <c r="M31" s="66">
        <f t="shared" si="12"/>
        <v>11410321.2</v>
      </c>
      <c r="N31" s="66">
        <f t="shared" si="12"/>
        <v>12114046.95</v>
      </c>
      <c r="O31" s="66">
        <f t="shared" si="12"/>
        <v>12413604.15</v>
      </c>
      <c r="P31" s="66">
        <f t="shared" si="12"/>
        <v>12720584.4</v>
      </c>
      <c r="Q31" s="66">
        <f t="shared" si="12"/>
        <v>13035171.9</v>
      </c>
      <c r="R31" s="66">
        <f t="shared" si="12"/>
        <v>13295875.35</v>
      </c>
      <c r="S31" s="66">
        <f t="shared" si="12"/>
        <v>13561792.95</v>
      </c>
      <c r="T31" s="66">
        <f t="shared" si="12"/>
        <v>13833028.65</v>
      </c>
      <c r="U31" s="66">
        <f t="shared" si="12"/>
        <v>14109689.25</v>
      </c>
      <c r="V31" s="66">
        <f t="shared" si="12"/>
        <v>14391883.049999999</v>
      </c>
      <c r="W31" s="66">
        <f t="shared" si="12"/>
        <v>14679720.75</v>
      </c>
      <c r="X31" s="66">
        <f t="shared" si="12"/>
        <v>14760992.7</v>
      </c>
      <c r="Y31" s="66">
        <f t="shared" si="12"/>
        <v>14834797.65</v>
      </c>
      <c r="Z31" s="66">
        <f t="shared" si="12"/>
        <v>14908971.6</v>
      </c>
      <c r="AA31" s="66">
        <f t="shared" si="12"/>
        <v>14983516.35</v>
      </c>
      <c r="AB31" s="66">
        <f t="shared" si="12"/>
        <v>15058434</v>
      </c>
      <c r="AC31" s="66">
        <f t="shared" si="12"/>
        <v>15133726.2</v>
      </c>
      <c r="AD31" s="66">
        <f t="shared" si="12"/>
        <v>15209394.899999999</v>
      </c>
      <c r="AE31" s="66">
        <f t="shared" si="12"/>
        <v>15285441.899999999</v>
      </c>
      <c r="AF31" s="66">
        <f t="shared" si="12"/>
        <v>15361869</v>
      </c>
      <c r="AG31" s="66">
        <f t="shared" si="12"/>
        <v>15438678.45</v>
      </c>
      <c r="AH31" s="66">
        <f t="shared" si="12"/>
        <v>15515871.75</v>
      </c>
      <c r="AI31" s="66">
        <f t="shared" si="12"/>
        <v>15593451.149999999</v>
      </c>
      <c r="AJ31" s="66">
        <f t="shared" si="12"/>
        <v>15671418.45</v>
      </c>
      <c r="AK31" s="66">
        <f t="shared" si="12"/>
        <v>15749775.45</v>
      </c>
      <c r="AL31" s="66">
        <f t="shared" si="12"/>
        <v>15828524.25</v>
      </c>
      <c r="AM31" s="66">
        <f t="shared" si="12"/>
        <v>15907666.95</v>
      </c>
      <c r="AN31" s="66">
        <f t="shared" si="12"/>
        <v>15987205.2</v>
      </c>
      <c r="AO31" s="66">
        <f t="shared" si="12"/>
        <v>16067141.25</v>
      </c>
      <c r="AP31" s="66">
        <f t="shared" si="12"/>
        <v>16147476.899999999</v>
      </c>
      <c r="AQ31" s="66">
        <f t="shared" si="12"/>
        <v>16228214.549999999</v>
      </c>
      <c r="AR31" s="66">
        <f t="shared" si="12"/>
        <v>16309355.549999999</v>
      </c>
      <c r="AS31" s="66">
        <f t="shared" si="12"/>
        <v>16390902.299999999</v>
      </c>
    </row>
    <row r="32" spans="1:45" ht="13.5">
      <c r="A32" s="82"/>
      <c r="B32" s="81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</row>
    <row r="33" spans="1:45" ht="13.5">
      <c r="A33" s="82"/>
      <c r="B33" s="81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</row>
    <row r="34" spans="1:45" ht="13.5">
      <c r="A34" s="82"/>
      <c r="B34" s="81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</row>
    <row r="35" spans="1:45" ht="13.5">
      <c r="A35" s="82"/>
      <c r="B35" s="81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</row>
    <row r="36" spans="1:45" ht="13.5">
      <c r="A36" s="82"/>
      <c r="B36" s="81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</row>
    <row r="37" spans="1:45" ht="13.5">
      <c r="A37" s="82"/>
      <c r="B37" s="81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</row>
    <row r="38" spans="1:45" ht="13.5">
      <c r="A38" s="82"/>
      <c r="B38" s="8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</row>
    <row r="39" spans="1:45" ht="13.5">
      <c r="A39" s="82"/>
      <c r="B39" s="81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</row>
    <row r="40" spans="3:45" ht="13.5">
      <c r="C40" s="83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</row>
    <row r="41" s="84" customFormat="1" ht="10.5">
      <c r="L41" s="66"/>
    </row>
    <row r="42" s="84" customFormat="1" ht="10.5"/>
    <row r="43" s="84" customFormat="1" ht="10.5"/>
    <row r="44" s="84" customFormat="1" ht="10.5"/>
    <row r="46" s="2" customFormat="1" ht="10.5"/>
    <row r="47" s="84" customFormat="1" ht="10.5"/>
    <row r="48" s="84" customFormat="1" ht="10.5"/>
    <row r="49" s="84" customFormat="1" ht="10.5"/>
    <row r="50" s="84" customFormat="1" ht="10.5"/>
    <row r="51" s="84" customFormat="1" ht="10.5"/>
    <row r="52" s="84" customFormat="1" ht="10.5"/>
    <row r="53" s="84" customFormat="1" ht="10.5"/>
    <row r="54" s="84" customFormat="1" ht="10.5"/>
    <row r="55" s="84" customFormat="1" ht="10.5"/>
    <row r="56" s="84" customFormat="1" ht="10.5"/>
    <row r="57" s="84" customFormat="1" ht="10.5"/>
    <row r="58" s="84" customFormat="1" ht="10.5"/>
    <row r="59" s="84" customFormat="1" ht="10.5"/>
    <row r="60" s="84" customFormat="1" ht="10.5"/>
    <row r="61" s="84" customFormat="1" ht="10.5"/>
    <row r="62" s="84" customFormat="1" ht="10.5"/>
    <row r="63" s="84" customFormat="1" ht="10.5"/>
    <row r="64" s="84" customFormat="1" ht="10.5"/>
    <row r="65" s="84" customFormat="1" ht="10.5"/>
    <row r="66" s="84" customFormat="1" ht="10.5"/>
    <row r="67" s="84" customFormat="1" ht="10.5"/>
    <row r="68" s="84" customFormat="1" ht="10.5"/>
    <row r="69" s="84" customFormat="1" ht="10.5"/>
    <row r="70" s="84" customFormat="1" ht="10.5"/>
    <row r="71" s="84" customFormat="1" ht="10.5"/>
    <row r="72" s="84" customFormat="1" ht="10.5"/>
    <row r="73" s="84" customFormat="1" ht="10.5"/>
    <row r="74" s="84" customFormat="1" ht="10.5"/>
    <row r="75" s="84" customFormat="1" ht="10.5"/>
    <row r="76" s="84" customFormat="1" ht="10.5"/>
    <row r="77" s="84" customFormat="1" ht="10.5"/>
    <row r="78" s="84" customFormat="1" ht="10.5"/>
    <row r="79" s="84" customFormat="1" ht="10.5"/>
    <row r="80" ht="13.5">
      <c r="M80" s="2"/>
    </row>
    <row r="81" spans="1:13" ht="13.5">
      <c r="A81" s="3"/>
      <c r="B81" s="4"/>
      <c r="C81" s="5"/>
      <c r="D81" s="5"/>
      <c r="E81" s="5"/>
      <c r="F81" s="6"/>
      <c r="G81" s="6"/>
      <c r="H81" s="7"/>
      <c r="I81" s="8"/>
      <c r="J81" s="8"/>
      <c r="K81" s="8"/>
      <c r="L81" s="2"/>
      <c r="M81" s="2"/>
    </row>
    <row r="82" spans="1:13" ht="13.5">
      <c r="A82" s="3"/>
      <c r="B82" s="4"/>
      <c r="C82" s="10"/>
      <c r="D82" s="10"/>
      <c r="E82" s="10"/>
      <c r="F82" s="11"/>
      <c r="G82" s="12"/>
      <c r="H82" s="13"/>
      <c r="I82" s="8"/>
      <c r="J82" s="8"/>
      <c r="K82" s="8"/>
      <c r="L82" s="2"/>
      <c r="M82" s="2"/>
    </row>
    <row r="83" spans="1:13" ht="13.5">
      <c r="A83" s="3"/>
      <c r="B83" s="4"/>
      <c r="C83" s="10"/>
      <c r="D83" s="10"/>
      <c r="E83" s="10"/>
      <c r="F83" s="11"/>
      <c r="G83" s="11"/>
      <c r="H83" s="11"/>
      <c r="I83" s="11"/>
      <c r="J83" s="11"/>
      <c r="K83" s="11"/>
      <c r="L83" s="2"/>
      <c r="M83" s="2"/>
    </row>
    <row r="84" spans="1:13" ht="13.5">
      <c r="A84" s="4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3.5">
      <c r="A85" s="4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3.5">
      <c r="A86" s="4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3.5">
      <c r="A87" s="4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3.5">
      <c r="A88" s="4"/>
      <c r="B88" s="67"/>
      <c r="C88" s="67"/>
      <c r="D88" s="67"/>
      <c r="E88" s="67"/>
      <c r="F88" s="67"/>
      <c r="G88" s="2"/>
      <c r="H88" s="2"/>
      <c r="I88" s="2"/>
      <c r="J88" s="2"/>
      <c r="K88" s="2"/>
      <c r="L88" s="2"/>
      <c r="M88" s="2"/>
    </row>
    <row r="89" spans="1:13" ht="13.5">
      <c r="A89" s="78"/>
      <c r="B89" s="79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ht="13.5">
      <c r="A90" s="80"/>
      <c r="B90" s="6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ht="13.5">
      <c r="A91" s="81"/>
      <c r="B91" s="81"/>
      <c r="C91" s="81"/>
      <c r="D91" s="81"/>
      <c r="E91" s="81"/>
      <c r="F91" s="81"/>
      <c r="G91" s="2"/>
      <c r="H91" s="2"/>
      <c r="I91" s="2"/>
      <c r="J91" s="2"/>
      <c r="K91" s="2"/>
      <c r="L91" s="2"/>
      <c r="M91" s="2"/>
    </row>
    <row r="92" spans="1:13" ht="13.5">
      <c r="A92" s="82"/>
      <c r="B92" s="81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3.5">
      <c r="A93" s="82"/>
      <c r="B93" s="81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3.5">
      <c r="A94" s="82"/>
      <c r="B94" s="81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3.5">
      <c r="A95" s="82"/>
      <c r="B95" s="81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3.5">
      <c r="A96" s="82"/>
      <c r="B96" s="81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3.5">
      <c r="A97" s="82"/>
      <c r="B97" s="81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</sheetData>
  <sheetProtection selectLockedCells="1" selectUnlockedCells="1"/>
  <mergeCells count="1">
    <mergeCell ref="A3:G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1">
      <selection activeCell="H2" sqref="H2"/>
    </sheetView>
  </sheetViews>
  <sheetFormatPr defaultColWidth="10.28125" defaultRowHeight="12.75"/>
  <cols>
    <col min="1" max="1" width="3.7109375" style="85" customWidth="1"/>
    <col min="2" max="2" width="51.00390625" style="86" customWidth="1"/>
    <col min="3" max="5" width="12.140625" style="87" customWidth="1"/>
    <col min="6" max="6" width="10.140625" style="87" customWidth="1"/>
    <col min="7" max="7" width="10.28125" style="87" customWidth="1"/>
    <col min="8" max="8" width="10.8515625" style="88" customWidth="1"/>
    <col min="9" max="9" width="10.421875" style="88" customWidth="1"/>
    <col min="10" max="10" width="11.7109375" style="87" customWidth="1"/>
    <col min="11" max="11" width="11.140625" style="89" customWidth="1"/>
    <col min="12" max="13" width="10.57421875" style="89" customWidth="1"/>
    <col min="14" max="16" width="9.8515625" style="89" customWidth="1"/>
    <col min="17" max="17" width="9.8515625" style="90" customWidth="1"/>
    <col min="18" max="18" width="10.28125" style="91" customWidth="1"/>
    <col min="19" max="19" width="10.00390625" style="91" customWidth="1"/>
    <col min="20" max="20" width="9.8515625" style="91" customWidth="1"/>
    <col min="21" max="22" width="10.57421875" style="91" customWidth="1"/>
    <col min="23" max="23" width="9.8515625" style="91" customWidth="1"/>
    <col min="24" max="24" width="10.57421875" style="92" customWidth="1"/>
    <col min="25" max="45" width="9.8515625" style="92" customWidth="1"/>
    <col min="46" max="46" width="10.00390625" style="93" customWidth="1"/>
    <col min="47" max="223" width="10.00390625" style="85" customWidth="1"/>
    <col min="224" max="224" width="2.7109375" style="85" customWidth="1"/>
    <col min="225" max="225" width="61.140625" style="85" customWidth="1"/>
    <col min="226" max="239" width="11.140625" style="85" customWidth="1"/>
    <col min="240" max="250" width="11.8515625" style="85" customWidth="1"/>
    <col min="251" max="251" width="3.7109375" style="85" customWidth="1"/>
    <col min="252" max="252" width="52.57421875" style="85" customWidth="1"/>
    <col min="253" max="253" width="11.421875" style="85" customWidth="1"/>
    <col min="254" max="16384" width="0" style="85" hidden="1" customWidth="1"/>
  </cols>
  <sheetData>
    <row r="1" spans="1:10" ht="13.5">
      <c r="A1" s="94"/>
      <c r="C1" s="94" t="s">
        <v>20</v>
      </c>
      <c r="D1" s="94"/>
      <c r="E1" s="94"/>
      <c r="F1" s="95"/>
      <c r="G1" s="96"/>
      <c r="H1" s="96"/>
      <c r="I1" s="95"/>
      <c r="J1" s="95"/>
    </row>
    <row r="2" spans="1:256" s="93" customFormat="1" ht="13.5">
      <c r="A2" s="97"/>
      <c r="B2" s="98"/>
      <c r="C2" s="97" t="s">
        <v>21</v>
      </c>
      <c r="D2" s="97"/>
      <c r="E2" s="97"/>
      <c r="F2" s="96"/>
      <c r="G2" s="96"/>
      <c r="H2" s="96"/>
      <c r="I2" s="96"/>
      <c r="J2" s="96"/>
      <c r="K2" s="89"/>
      <c r="L2" s="89"/>
      <c r="M2" s="89"/>
      <c r="N2" s="89"/>
      <c r="O2" s="89"/>
      <c r="P2" s="89"/>
      <c r="Q2" s="90"/>
      <c r="R2" s="91"/>
      <c r="S2" s="91"/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IQ2" s="85"/>
      <c r="IR2" s="85"/>
      <c r="IS2" s="85"/>
      <c r="IT2" s="85"/>
      <c r="IU2" s="85"/>
      <c r="IV2" s="85"/>
    </row>
    <row r="3" spans="1:10" ht="13.5">
      <c r="A3" s="99" t="s">
        <v>22</v>
      </c>
      <c r="B3" s="100"/>
      <c r="C3" s="95"/>
      <c r="D3" s="95"/>
      <c r="E3" s="95"/>
      <c r="F3" s="95"/>
      <c r="G3" s="95"/>
      <c r="H3" s="95"/>
      <c r="I3" s="95"/>
      <c r="J3" s="95"/>
    </row>
    <row r="4" spans="1:256" s="110" customFormat="1" ht="12.75">
      <c r="A4" s="101" t="s">
        <v>23</v>
      </c>
      <c r="B4" s="102" t="s">
        <v>24</v>
      </c>
      <c r="C4" s="103" t="s">
        <v>25</v>
      </c>
      <c r="D4" s="103" t="s">
        <v>26</v>
      </c>
      <c r="E4" s="103" t="s">
        <v>27</v>
      </c>
      <c r="F4" s="104" t="s">
        <v>28</v>
      </c>
      <c r="G4" s="103" t="s">
        <v>29</v>
      </c>
      <c r="H4" s="103" t="s">
        <v>30</v>
      </c>
      <c r="I4" s="103" t="s">
        <v>31</v>
      </c>
      <c r="J4" s="103" t="s">
        <v>32</v>
      </c>
      <c r="K4" s="105" t="s">
        <v>33</v>
      </c>
      <c r="L4" s="105" t="s">
        <v>34</v>
      </c>
      <c r="M4" s="105" t="s">
        <v>35</v>
      </c>
      <c r="N4" s="105" t="s">
        <v>36</v>
      </c>
      <c r="O4" s="105" t="s">
        <v>37</v>
      </c>
      <c r="P4" s="105" t="s">
        <v>38</v>
      </c>
      <c r="Q4" s="106" t="s">
        <v>39</v>
      </c>
      <c r="R4" s="107" t="s">
        <v>40</v>
      </c>
      <c r="S4" s="107" t="s">
        <v>41</v>
      </c>
      <c r="T4" s="107" t="s">
        <v>42</v>
      </c>
      <c r="U4" s="107" t="s">
        <v>43</v>
      </c>
      <c r="V4" s="107" t="s">
        <v>44</v>
      </c>
      <c r="W4" s="107" t="s">
        <v>45</v>
      </c>
      <c r="X4" s="108" t="s">
        <v>46</v>
      </c>
      <c r="Y4" s="108" t="s">
        <v>47</v>
      </c>
      <c r="Z4" s="108" t="s">
        <v>48</v>
      </c>
      <c r="AA4" s="108" t="s">
        <v>49</v>
      </c>
      <c r="AB4" s="108" t="s">
        <v>50</v>
      </c>
      <c r="AC4" s="108" t="s">
        <v>51</v>
      </c>
      <c r="AD4" s="108" t="s">
        <v>52</v>
      </c>
      <c r="AE4" s="108" t="s">
        <v>53</v>
      </c>
      <c r="AF4" s="108" t="s">
        <v>54</v>
      </c>
      <c r="AG4" s="108" t="s">
        <v>55</v>
      </c>
      <c r="AH4" s="108" t="s">
        <v>56</v>
      </c>
      <c r="AI4" s="108" t="s">
        <v>57</v>
      </c>
      <c r="AJ4" s="108" t="s">
        <v>58</v>
      </c>
      <c r="AK4" s="108" t="s">
        <v>59</v>
      </c>
      <c r="AL4" s="108" t="s">
        <v>60</v>
      </c>
      <c r="AM4" s="108" t="s">
        <v>61</v>
      </c>
      <c r="AN4" s="108" t="s">
        <v>62</v>
      </c>
      <c r="AO4" s="108" t="s">
        <v>63</v>
      </c>
      <c r="AP4" s="108" t="s">
        <v>64</v>
      </c>
      <c r="AQ4" s="108" t="s">
        <v>65</v>
      </c>
      <c r="AR4" s="108" t="s">
        <v>66</v>
      </c>
      <c r="AS4" s="108" t="s">
        <v>67</v>
      </c>
      <c r="AT4" s="109"/>
      <c r="IQ4" s="85"/>
      <c r="IR4" s="85"/>
      <c r="IS4" s="85"/>
      <c r="IT4" s="85"/>
      <c r="IU4" s="85"/>
      <c r="IV4" s="85"/>
    </row>
    <row r="5" spans="1:45" ht="12.75">
      <c r="A5" s="111">
        <v>1</v>
      </c>
      <c r="B5" s="112" t="s">
        <v>68</v>
      </c>
      <c r="C5" s="113">
        <f aca="true" t="shared" si="0" ref="C5:AS5">+C6+C7</f>
        <v>62196567</v>
      </c>
      <c r="D5" s="113">
        <f t="shared" si="0"/>
        <v>938631</v>
      </c>
      <c r="E5" s="113">
        <f t="shared" si="0"/>
        <v>63135198</v>
      </c>
      <c r="F5" s="113">
        <f>+F6+F7</f>
        <v>65700169</v>
      </c>
      <c r="G5" s="113">
        <f>+G6+G7</f>
        <v>67118417</v>
      </c>
      <c r="H5" s="113">
        <f t="shared" si="0"/>
        <v>68465440</v>
      </c>
      <c r="I5" s="113">
        <f t="shared" si="0"/>
        <v>70129137</v>
      </c>
      <c r="J5" s="113">
        <f t="shared" si="0"/>
        <v>71794039</v>
      </c>
      <c r="K5" s="114">
        <f t="shared" si="0"/>
        <v>72070490</v>
      </c>
      <c r="L5" s="114">
        <f t="shared" si="0"/>
        <v>74234064</v>
      </c>
      <c r="M5" s="114">
        <f t="shared" si="0"/>
        <v>76068808.175</v>
      </c>
      <c r="N5" s="114">
        <f t="shared" si="0"/>
        <v>80760312.994</v>
      </c>
      <c r="O5" s="114">
        <f t="shared" si="0"/>
        <v>82757360.65388</v>
      </c>
      <c r="P5" s="114">
        <f t="shared" si="0"/>
        <v>84803895.1269576</v>
      </c>
      <c r="Q5" s="115">
        <f t="shared" si="0"/>
        <v>86901145.54949676</v>
      </c>
      <c r="R5" s="116">
        <f t="shared" si="0"/>
        <v>88639168.4604867</v>
      </c>
      <c r="S5" s="116">
        <f t="shared" si="0"/>
        <v>90411951.82969642</v>
      </c>
      <c r="T5" s="116">
        <f t="shared" si="0"/>
        <v>92220190.86629035</v>
      </c>
      <c r="U5" s="116">
        <f t="shared" si="0"/>
        <v>94064594.68361616</v>
      </c>
      <c r="V5" s="116">
        <f t="shared" si="0"/>
        <v>95945886.57728848</v>
      </c>
      <c r="W5" s="116">
        <f t="shared" si="0"/>
        <v>97864804.30883425</v>
      </c>
      <c r="X5" s="116">
        <f t="shared" si="0"/>
        <v>98406617.19030114</v>
      </c>
      <c r="Y5" s="116">
        <f t="shared" si="0"/>
        <v>98898650.27625264</v>
      </c>
      <c r="Z5" s="116">
        <f t="shared" si="0"/>
        <v>99393143.52763389</v>
      </c>
      <c r="AA5" s="116">
        <f t="shared" si="0"/>
        <v>99890109.24527206</v>
      </c>
      <c r="AB5" s="116">
        <f t="shared" si="0"/>
        <v>100389559.79149841</v>
      </c>
      <c r="AC5" s="116">
        <f t="shared" si="0"/>
        <v>100891507.59045589</v>
      </c>
      <c r="AD5" s="116">
        <f t="shared" si="0"/>
        <v>101395965.12840815</v>
      </c>
      <c r="AE5" s="116">
        <f t="shared" si="0"/>
        <v>101902944.95405018</v>
      </c>
      <c r="AF5" s="116">
        <f t="shared" si="0"/>
        <v>102412459.67882042</v>
      </c>
      <c r="AG5" s="116">
        <f t="shared" si="0"/>
        <v>102924521.9772145</v>
      </c>
      <c r="AH5" s="116">
        <f t="shared" si="0"/>
        <v>103439144.58710057</v>
      </c>
      <c r="AI5" s="116">
        <f t="shared" si="0"/>
        <v>103956340.31003606</v>
      </c>
      <c r="AJ5" s="116">
        <f t="shared" si="0"/>
        <v>104476122.01158623</v>
      </c>
      <c r="AK5" s="116">
        <f t="shared" si="0"/>
        <v>104998502.62164414</v>
      </c>
      <c r="AL5" s="116">
        <f t="shared" si="0"/>
        <v>105523495.13475235</v>
      </c>
      <c r="AM5" s="116">
        <f t="shared" si="0"/>
        <v>106051112.6104261</v>
      </c>
      <c r="AN5" s="116">
        <f t="shared" si="0"/>
        <v>106581368.17347822</v>
      </c>
      <c r="AO5" s="116">
        <f t="shared" si="0"/>
        <v>107114275.0143456</v>
      </c>
      <c r="AP5" s="116">
        <f t="shared" si="0"/>
        <v>107649846.38941732</v>
      </c>
      <c r="AQ5" s="116">
        <f t="shared" si="0"/>
        <v>108188095.6213644</v>
      </c>
      <c r="AR5" s="116">
        <f t="shared" si="0"/>
        <v>108729036.09947121</v>
      </c>
      <c r="AS5" s="116">
        <f t="shared" si="0"/>
        <v>109272681.27996856</v>
      </c>
    </row>
    <row r="6" spans="1:45" ht="12.75">
      <c r="A6" s="117" t="s">
        <v>69</v>
      </c>
      <c r="B6" s="118" t="s">
        <v>70</v>
      </c>
      <c r="C6" s="119">
        <v>60009567</v>
      </c>
      <c r="D6" s="119">
        <v>635532</v>
      </c>
      <c r="E6" s="119">
        <f>C6+D6</f>
        <v>60645099</v>
      </c>
      <c r="F6" s="119">
        <f>59662670+3137499</f>
        <v>62800169</v>
      </c>
      <c r="G6" s="119">
        <v>65018417</v>
      </c>
      <c r="H6" s="119">
        <f>63427940+3137499+1</f>
        <v>66565440</v>
      </c>
      <c r="I6" s="119">
        <f>65013638+3137499</f>
        <v>68151137</v>
      </c>
      <c r="J6" s="119">
        <v>69776479</v>
      </c>
      <c r="K6" s="115">
        <v>70012579</v>
      </c>
      <c r="L6" s="115">
        <v>70012579</v>
      </c>
      <c r="M6" s="115">
        <f aca="true" t="shared" si="1" ref="M6">L6*1.025</f>
        <v>71762893.475</v>
      </c>
      <c r="N6" s="115">
        <v>76368280</v>
      </c>
      <c r="O6" s="115">
        <v>78277487</v>
      </c>
      <c r="P6" s="115">
        <v>80234424</v>
      </c>
      <c r="Q6" s="115">
        <v>82240285</v>
      </c>
      <c r="R6" s="116">
        <f aca="true" t="shared" si="2" ref="M6:W9">Q6*1.02</f>
        <v>83885090.7</v>
      </c>
      <c r="S6" s="116">
        <f t="shared" si="2"/>
        <v>85562792.514</v>
      </c>
      <c r="T6" s="116">
        <f t="shared" si="2"/>
        <v>87274048.36428</v>
      </c>
      <c r="U6" s="116">
        <f t="shared" si="2"/>
        <v>89019529.3315656</v>
      </c>
      <c r="V6" s="116">
        <f t="shared" si="2"/>
        <v>90799919.91819692</v>
      </c>
      <c r="W6" s="116">
        <f t="shared" si="2"/>
        <v>92615918.31656085</v>
      </c>
      <c r="X6" s="116">
        <f aca="true" t="shared" si="3" ref="X6:AM9">W6*1.005</f>
        <v>93078997.90814364</v>
      </c>
      <c r="Y6" s="116">
        <f t="shared" si="3"/>
        <v>93544392.89768435</v>
      </c>
      <c r="Z6" s="116">
        <f t="shared" si="3"/>
        <v>94012114.86217277</v>
      </c>
      <c r="AA6" s="116">
        <f t="shared" si="3"/>
        <v>94482175.43648362</v>
      </c>
      <c r="AB6" s="116">
        <f t="shared" si="3"/>
        <v>94954586.31366603</v>
      </c>
      <c r="AC6" s="116">
        <f t="shared" si="3"/>
        <v>95429359.24523436</v>
      </c>
      <c r="AD6" s="116">
        <f t="shared" si="3"/>
        <v>95906506.04146051</v>
      </c>
      <c r="AE6" s="116">
        <f t="shared" si="3"/>
        <v>96386038.5716678</v>
      </c>
      <c r="AF6" s="116">
        <f t="shared" si="3"/>
        <v>96867968.76452613</v>
      </c>
      <c r="AG6" s="116">
        <f t="shared" si="3"/>
        <v>97352308.60834874</v>
      </c>
      <c r="AH6" s="116">
        <f t="shared" si="3"/>
        <v>97839070.15139048</v>
      </c>
      <c r="AI6" s="116">
        <f t="shared" si="3"/>
        <v>98328265.50214742</v>
      </c>
      <c r="AJ6" s="116">
        <f t="shared" si="3"/>
        <v>98819906.82965815</v>
      </c>
      <c r="AK6" s="116">
        <f t="shared" si="3"/>
        <v>99314006.36380643</v>
      </c>
      <c r="AL6" s="116">
        <f t="shared" si="3"/>
        <v>99810576.39562544</v>
      </c>
      <c r="AM6" s="116">
        <f t="shared" si="3"/>
        <v>100309629.27760355</v>
      </c>
      <c r="AN6" s="116">
        <f aca="true" t="shared" si="4" ref="AN6:AS11">AM6*1.005</f>
        <v>100811177.42399156</v>
      </c>
      <c r="AO6" s="116">
        <f t="shared" si="4"/>
        <v>101315233.31111151</v>
      </c>
      <c r="AP6" s="116">
        <f t="shared" si="4"/>
        <v>101821809.47766706</v>
      </c>
      <c r="AQ6" s="116">
        <f t="shared" si="4"/>
        <v>102330918.5250554</v>
      </c>
      <c r="AR6" s="116">
        <f t="shared" si="4"/>
        <v>102842573.11768065</v>
      </c>
      <c r="AS6" s="116">
        <f t="shared" si="4"/>
        <v>103356785.98326905</v>
      </c>
    </row>
    <row r="7" spans="1:45" ht="12.75">
      <c r="A7" s="117" t="s">
        <v>71</v>
      </c>
      <c r="B7" s="118" t="s">
        <v>72</v>
      </c>
      <c r="C7" s="119">
        <v>2187000</v>
      </c>
      <c r="D7" s="119">
        <v>303099</v>
      </c>
      <c r="E7" s="119">
        <f>C7+D7</f>
        <v>2490099</v>
      </c>
      <c r="F7" s="119">
        <v>2900000</v>
      </c>
      <c r="G7" s="119">
        <v>2100000</v>
      </c>
      <c r="H7" s="119">
        <v>1900000</v>
      </c>
      <c r="I7" s="119">
        <f>3978000-2000000</f>
        <v>1978000</v>
      </c>
      <c r="J7" s="119">
        <f>I7*1.02</f>
        <v>2017560</v>
      </c>
      <c r="K7" s="115">
        <v>2057911</v>
      </c>
      <c r="L7" s="115">
        <v>4221485</v>
      </c>
      <c r="M7" s="115">
        <f t="shared" si="2"/>
        <v>4305914.7</v>
      </c>
      <c r="N7" s="115">
        <f t="shared" si="2"/>
        <v>4392032.994</v>
      </c>
      <c r="O7" s="115">
        <f t="shared" si="2"/>
        <v>4479873.65388</v>
      </c>
      <c r="P7" s="115">
        <f t="shared" si="2"/>
        <v>4569471.1269576</v>
      </c>
      <c r="Q7" s="115">
        <f t="shared" si="2"/>
        <v>4660860.549496752</v>
      </c>
      <c r="R7" s="116">
        <f t="shared" si="2"/>
        <v>4754077.7604866875</v>
      </c>
      <c r="S7" s="116">
        <f t="shared" si="2"/>
        <v>4849159.315696421</v>
      </c>
      <c r="T7" s="116">
        <f t="shared" si="2"/>
        <v>4946142.502010349</v>
      </c>
      <c r="U7" s="116">
        <f t="shared" si="2"/>
        <v>5045065.352050556</v>
      </c>
      <c r="V7" s="116">
        <f t="shared" si="2"/>
        <v>5145966.659091567</v>
      </c>
      <c r="W7" s="116">
        <f t="shared" si="2"/>
        <v>5248885.992273398</v>
      </c>
      <c r="X7" s="116">
        <f>W7*1.015</f>
        <v>5327619.282157498</v>
      </c>
      <c r="Y7" s="116">
        <f t="shared" si="3"/>
        <v>5354257.378568285</v>
      </c>
      <c r="Z7" s="116">
        <f t="shared" si="3"/>
        <v>5381028.665461126</v>
      </c>
      <c r="AA7" s="116">
        <f t="shared" si="3"/>
        <v>5407933.808788431</v>
      </c>
      <c r="AB7" s="116">
        <f t="shared" si="3"/>
        <v>5434973.477832372</v>
      </c>
      <c r="AC7" s="116">
        <f t="shared" si="3"/>
        <v>5462148.345221533</v>
      </c>
      <c r="AD7" s="116">
        <f t="shared" si="3"/>
        <v>5489459.08694764</v>
      </c>
      <c r="AE7" s="116">
        <f t="shared" si="3"/>
        <v>5516906.382382378</v>
      </c>
      <c r="AF7" s="116">
        <f t="shared" si="3"/>
        <v>5544490.914294289</v>
      </c>
      <c r="AG7" s="116">
        <f t="shared" si="3"/>
        <v>5572213.36886576</v>
      </c>
      <c r="AH7" s="116">
        <f t="shared" si="3"/>
        <v>5600074.435710088</v>
      </c>
      <c r="AI7" s="116">
        <f t="shared" si="3"/>
        <v>5628074.807888638</v>
      </c>
      <c r="AJ7" s="116">
        <f t="shared" si="3"/>
        <v>5656215.1819280805</v>
      </c>
      <c r="AK7" s="116">
        <f t="shared" si="3"/>
        <v>5684496.25783772</v>
      </c>
      <c r="AL7" s="116">
        <f t="shared" si="3"/>
        <v>5712918.739126909</v>
      </c>
      <c r="AM7" s="116">
        <f t="shared" si="3"/>
        <v>5741483.332822543</v>
      </c>
      <c r="AN7" s="116">
        <f t="shared" si="4"/>
        <v>5770190.749486655</v>
      </c>
      <c r="AO7" s="116">
        <f t="shared" si="4"/>
        <v>5799041.703234088</v>
      </c>
      <c r="AP7" s="116">
        <f t="shared" si="4"/>
        <v>5828036.911750258</v>
      </c>
      <c r="AQ7" s="116">
        <f t="shared" si="4"/>
        <v>5857177.096309009</v>
      </c>
      <c r="AR7" s="116">
        <f t="shared" si="4"/>
        <v>5886462.981790554</v>
      </c>
      <c r="AS7" s="116">
        <f t="shared" si="4"/>
        <v>5915895.296699506</v>
      </c>
    </row>
    <row r="8" spans="1:45" ht="12.75">
      <c r="A8" s="120" t="s">
        <v>73</v>
      </c>
      <c r="B8" s="121" t="s">
        <v>74</v>
      </c>
      <c r="C8" s="119">
        <v>2037000</v>
      </c>
      <c r="D8" s="119"/>
      <c r="E8" s="119">
        <f aca="true" t="shared" si="5" ref="E8:E14">C8+D8</f>
        <v>2037000</v>
      </c>
      <c r="F8" s="119">
        <v>2900000</v>
      </c>
      <c r="G8" s="119">
        <v>2100000</v>
      </c>
      <c r="H8" s="119">
        <f>H7</f>
        <v>1900000</v>
      </c>
      <c r="I8" s="119">
        <f>I7</f>
        <v>1978000</v>
      </c>
      <c r="J8" s="119">
        <f>J7</f>
        <v>2017560</v>
      </c>
      <c r="K8" s="115">
        <f aca="true" t="shared" si="6" ref="K8:AS8">K7</f>
        <v>2057911</v>
      </c>
      <c r="L8" s="115">
        <f t="shared" si="6"/>
        <v>4221485</v>
      </c>
      <c r="M8" s="115">
        <f t="shared" si="6"/>
        <v>4305914.7</v>
      </c>
      <c r="N8" s="115">
        <f t="shared" si="6"/>
        <v>4392032.994</v>
      </c>
      <c r="O8" s="115">
        <f t="shared" si="6"/>
        <v>4479873.65388</v>
      </c>
      <c r="P8" s="115">
        <f t="shared" si="6"/>
        <v>4569471.1269576</v>
      </c>
      <c r="Q8" s="115">
        <f t="shared" si="6"/>
        <v>4660860.549496752</v>
      </c>
      <c r="R8" s="116">
        <f t="shared" si="6"/>
        <v>4754077.7604866875</v>
      </c>
      <c r="S8" s="116">
        <f t="shared" si="6"/>
        <v>4849159.315696421</v>
      </c>
      <c r="T8" s="116">
        <f t="shared" si="6"/>
        <v>4946142.502010349</v>
      </c>
      <c r="U8" s="116">
        <f t="shared" si="6"/>
        <v>5045065.352050556</v>
      </c>
      <c r="V8" s="116">
        <f t="shared" si="6"/>
        <v>5145966.659091567</v>
      </c>
      <c r="W8" s="116">
        <f t="shared" si="6"/>
        <v>5248885.992273398</v>
      </c>
      <c r="X8" s="116">
        <f t="shared" si="6"/>
        <v>5327619.282157498</v>
      </c>
      <c r="Y8" s="116">
        <f t="shared" si="6"/>
        <v>5354257.378568285</v>
      </c>
      <c r="Z8" s="116">
        <f t="shared" si="6"/>
        <v>5381028.665461126</v>
      </c>
      <c r="AA8" s="116">
        <f t="shared" si="6"/>
        <v>5407933.808788431</v>
      </c>
      <c r="AB8" s="116">
        <f t="shared" si="6"/>
        <v>5434973.477832372</v>
      </c>
      <c r="AC8" s="116">
        <f t="shared" si="6"/>
        <v>5462148.345221533</v>
      </c>
      <c r="AD8" s="116">
        <f t="shared" si="6"/>
        <v>5489459.08694764</v>
      </c>
      <c r="AE8" s="116">
        <f t="shared" si="6"/>
        <v>5516906.382382378</v>
      </c>
      <c r="AF8" s="116">
        <f t="shared" si="6"/>
        <v>5544490.914294289</v>
      </c>
      <c r="AG8" s="116">
        <f t="shared" si="6"/>
        <v>5572213.36886576</v>
      </c>
      <c r="AH8" s="116">
        <f t="shared" si="6"/>
        <v>5600074.435710088</v>
      </c>
      <c r="AI8" s="116">
        <f t="shared" si="6"/>
        <v>5628074.807888638</v>
      </c>
      <c r="AJ8" s="116">
        <f t="shared" si="6"/>
        <v>5656215.1819280805</v>
      </c>
      <c r="AK8" s="116">
        <f t="shared" si="6"/>
        <v>5684496.25783772</v>
      </c>
      <c r="AL8" s="116">
        <f t="shared" si="6"/>
        <v>5712918.739126909</v>
      </c>
      <c r="AM8" s="116">
        <f t="shared" si="6"/>
        <v>5741483.332822543</v>
      </c>
      <c r="AN8" s="116">
        <f t="shared" si="6"/>
        <v>5770190.749486655</v>
      </c>
      <c r="AO8" s="116">
        <f t="shared" si="6"/>
        <v>5799041.703234088</v>
      </c>
      <c r="AP8" s="116">
        <f t="shared" si="6"/>
        <v>5828036.911750258</v>
      </c>
      <c r="AQ8" s="116">
        <f t="shared" si="6"/>
        <v>5857177.096309009</v>
      </c>
      <c r="AR8" s="116">
        <f t="shared" si="6"/>
        <v>5886462.981790554</v>
      </c>
      <c r="AS8" s="116">
        <f t="shared" si="6"/>
        <v>5915895.296699506</v>
      </c>
    </row>
    <row r="9" spans="1:45" ht="12.75">
      <c r="A9" s="111">
        <v>2</v>
      </c>
      <c r="B9" s="122" t="s">
        <v>75</v>
      </c>
      <c r="C9" s="119">
        <v>54806956</v>
      </c>
      <c r="D9" s="119">
        <v>841935</v>
      </c>
      <c r="E9" s="119">
        <f t="shared" si="5"/>
        <v>55648891</v>
      </c>
      <c r="F9" s="119">
        <f>58200000-1000000+2137499-2000000</f>
        <v>57337499</v>
      </c>
      <c r="G9" s="119">
        <f>62170903-404468-2000000</f>
        <v>59766435</v>
      </c>
      <c r="H9" s="119">
        <f>60000000-1000000+3137499+375888-1900000</f>
        <v>60613387</v>
      </c>
      <c r="I9" s="119">
        <f>60180000-1224000+3137499+268888-2000000</f>
        <v>60362387</v>
      </c>
      <c r="J9" s="119">
        <v>63489507</v>
      </c>
      <c r="K9" s="115">
        <f>66809979+184888</f>
        <v>66994867</v>
      </c>
      <c r="L9" s="115">
        <v>64945930</v>
      </c>
      <c r="M9" s="115">
        <f t="shared" si="2"/>
        <v>66244848.6</v>
      </c>
      <c r="N9" s="115">
        <f t="shared" si="2"/>
        <v>67569745.572</v>
      </c>
      <c r="O9" s="115">
        <f t="shared" si="2"/>
        <v>68921140.48344</v>
      </c>
      <c r="P9" s="115">
        <f t="shared" si="2"/>
        <v>70299563.29310879</v>
      </c>
      <c r="Q9" s="115">
        <f t="shared" si="2"/>
        <v>71705554.55897097</v>
      </c>
      <c r="R9" s="116">
        <f t="shared" si="2"/>
        <v>73139665.65015039</v>
      </c>
      <c r="S9" s="116">
        <f t="shared" si="2"/>
        <v>74602458.96315339</v>
      </c>
      <c r="T9" s="116">
        <f t="shared" si="2"/>
        <v>76094508.14241646</v>
      </c>
      <c r="U9" s="116">
        <f t="shared" si="2"/>
        <v>77616398.30526479</v>
      </c>
      <c r="V9" s="116">
        <f t="shared" si="2"/>
        <v>79168726.27137008</v>
      </c>
      <c r="W9" s="116">
        <f t="shared" si="2"/>
        <v>80752100.79679748</v>
      </c>
      <c r="X9" s="116">
        <f>W9*1.005</f>
        <v>81155861.30078146</v>
      </c>
      <c r="Y9" s="116">
        <f t="shared" si="3"/>
        <v>81561640.60728535</v>
      </c>
      <c r="Z9" s="116">
        <f t="shared" si="3"/>
        <v>81969448.81032176</v>
      </c>
      <c r="AA9" s="116">
        <f t="shared" si="3"/>
        <v>82379296.05437337</v>
      </c>
      <c r="AB9" s="116">
        <f t="shared" si="3"/>
        <v>82791192.53464523</v>
      </c>
      <c r="AC9" s="116">
        <f t="shared" si="3"/>
        <v>83205148.49731845</v>
      </c>
      <c r="AD9" s="116">
        <f t="shared" si="3"/>
        <v>83621174.23980503</v>
      </c>
      <c r="AE9" s="116">
        <f t="shared" si="3"/>
        <v>84039280.11100404</v>
      </c>
      <c r="AF9" s="116">
        <f t="shared" si="3"/>
        <v>84459476.51155905</v>
      </c>
      <c r="AG9" s="116">
        <f t="shared" si="3"/>
        <v>84881773.89411683</v>
      </c>
      <c r="AH9" s="116">
        <f t="shared" si="3"/>
        <v>85306182.76358742</v>
      </c>
      <c r="AI9" s="116">
        <f t="shared" si="3"/>
        <v>85732713.67740534</v>
      </c>
      <c r="AJ9" s="116">
        <f t="shared" si="3"/>
        <v>86161377.24579236</v>
      </c>
      <c r="AK9" s="116">
        <f t="shared" si="3"/>
        <v>86592184.13202131</v>
      </c>
      <c r="AL9" s="116">
        <f t="shared" si="3"/>
        <v>87025145.0526814</v>
      </c>
      <c r="AM9" s="116">
        <f t="shared" si="3"/>
        <v>87460270.7779448</v>
      </c>
      <c r="AN9" s="116">
        <f t="shared" si="4"/>
        <v>87897572.13183452</v>
      </c>
      <c r="AO9" s="116">
        <f t="shared" si="4"/>
        <v>88337059.99249369</v>
      </c>
      <c r="AP9" s="116">
        <f t="shared" si="4"/>
        <v>88778745.29245615</v>
      </c>
      <c r="AQ9" s="116">
        <f t="shared" si="4"/>
        <v>89222639.01891842</v>
      </c>
      <c r="AR9" s="116">
        <f t="shared" si="4"/>
        <v>89668752.21401301</v>
      </c>
      <c r="AS9" s="116">
        <f t="shared" si="4"/>
        <v>90117095.97508307</v>
      </c>
    </row>
    <row r="10" spans="1:45" ht="12.75">
      <c r="A10" s="117" t="s">
        <v>69</v>
      </c>
      <c r="B10" s="123" t="s">
        <v>76</v>
      </c>
      <c r="C10" s="119">
        <v>25601159</v>
      </c>
      <c r="D10" s="119">
        <v>50555</v>
      </c>
      <c r="E10" s="119">
        <f t="shared" si="5"/>
        <v>25651714</v>
      </c>
      <c r="F10" s="119">
        <v>26014320</v>
      </c>
      <c r="G10" s="119">
        <v>25914678</v>
      </c>
      <c r="H10" s="119">
        <v>25812545</v>
      </c>
      <c r="I10" s="119">
        <v>26457858</v>
      </c>
      <c r="J10" s="119">
        <v>27119305</v>
      </c>
      <c r="K10" s="115">
        <f aca="true" t="shared" si="7" ref="K10:W11">J10*1.025</f>
        <v>27797287.624999996</v>
      </c>
      <c r="L10" s="115">
        <f t="shared" si="7"/>
        <v>28492219.815624993</v>
      </c>
      <c r="M10" s="115">
        <f t="shared" si="7"/>
        <v>29204525.311015617</v>
      </c>
      <c r="N10" s="115">
        <f t="shared" si="7"/>
        <v>29934638.443791006</v>
      </c>
      <c r="O10" s="115">
        <f t="shared" si="7"/>
        <v>30683004.40488578</v>
      </c>
      <c r="P10" s="115">
        <f t="shared" si="7"/>
        <v>31450079.51500792</v>
      </c>
      <c r="Q10" s="115">
        <f t="shared" si="7"/>
        <v>32236331.502883118</v>
      </c>
      <c r="R10" s="116">
        <f t="shared" si="7"/>
        <v>33042239.790455192</v>
      </c>
      <c r="S10" s="116">
        <f t="shared" si="7"/>
        <v>33868295.78521657</v>
      </c>
      <c r="T10" s="116">
        <f t="shared" si="7"/>
        <v>34715003.17984698</v>
      </c>
      <c r="U10" s="116">
        <f t="shared" si="7"/>
        <v>35582878.259343155</v>
      </c>
      <c r="V10" s="116">
        <f t="shared" si="7"/>
        <v>36472450.21582673</v>
      </c>
      <c r="W10" s="116">
        <f t="shared" si="7"/>
        <v>37384261.47122239</v>
      </c>
      <c r="X10" s="116">
        <f aca="true" t="shared" si="8" ref="X10:AM11">W10*1.005</f>
        <v>37571182.778578505</v>
      </c>
      <c r="Y10" s="116">
        <f t="shared" si="8"/>
        <v>37759038.69247139</v>
      </c>
      <c r="Z10" s="116">
        <f t="shared" si="8"/>
        <v>37947833.88593374</v>
      </c>
      <c r="AA10" s="116">
        <f t="shared" si="8"/>
        <v>38137573.05536341</v>
      </c>
      <c r="AB10" s="116">
        <f t="shared" si="8"/>
        <v>38328260.92064022</v>
      </c>
      <c r="AC10" s="116">
        <f t="shared" si="8"/>
        <v>38519902.22524342</v>
      </c>
      <c r="AD10" s="116">
        <f t="shared" si="8"/>
        <v>38712501.73636963</v>
      </c>
      <c r="AE10" s="116">
        <f t="shared" si="8"/>
        <v>38906064.24505147</v>
      </c>
      <c r="AF10" s="116">
        <f t="shared" si="8"/>
        <v>39100594.56627673</v>
      </c>
      <c r="AG10" s="116">
        <f t="shared" si="8"/>
        <v>39296097.539108105</v>
      </c>
      <c r="AH10" s="116">
        <f t="shared" si="8"/>
        <v>39492578.02680364</v>
      </c>
      <c r="AI10" s="116">
        <f t="shared" si="8"/>
        <v>39690040.91693766</v>
      </c>
      <c r="AJ10" s="116">
        <f t="shared" si="8"/>
        <v>39888491.12152234</v>
      </c>
      <c r="AK10" s="116">
        <f t="shared" si="8"/>
        <v>40087933.577129945</v>
      </c>
      <c r="AL10" s="116">
        <f t="shared" si="8"/>
        <v>40288373.24501559</v>
      </c>
      <c r="AM10" s="116">
        <f t="shared" si="8"/>
        <v>40489815.11124066</v>
      </c>
      <c r="AN10" s="116">
        <f t="shared" si="4"/>
        <v>40692264.18679686</v>
      </c>
      <c r="AO10" s="116">
        <f t="shared" si="4"/>
        <v>40895725.50773084</v>
      </c>
      <c r="AP10" s="116">
        <f t="shared" si="4"/>
        <v>41100204.13526949</v>
      </c>
      <c r="AQ10" s="116">
        <f t="shared" si="4"/>
        <v>41305705.15594584</v>
      </c>
      <c r="AR10" s="116">
        <f t="shared" si="4"/>
        <v>41512233.68172556</v>
      </c>
      <c r="AS10" s="116">
        <f t="shared" si="4"/>
        <v>41719794.85013419</v>
      </c>
    </row>
    <row r="11" spans="1:45" ht="12.75">
      <c r="A11" s="117" t="s">
        <v>71</v>
      </c>
      <c r="B11" s="123" t="s">
        <v>77</v>
      </c>
      <c r="C11" s="119">
        <v>5800632</v>
      </c>
      <c r="D11" s="119"/>
      <c r="E11" s="119">
        <f t="shared" si="5"/>
        <v>5800632</v>
      </c>
      <c r="F11" s="119">
        <v>6350836</v>
      </c>
      <c r="G11" s="119">
        <v>6402107</v>
      </c>
      <c r="H11" s="119">
        <v>6471600</v>
      </c>
      <c r="I11" s="119">
        <v>6516089</v>
      </c>
      <c r="J11" s="119">
        <v>6678991</v>
      </c>
      <c r="K11" s="115">
        <f t="shared" si="7"/>
        <v>6845965.774999999</v>
      </c>
      <c r="L11" s="115">
        <f t="shared" si="7"/>
        <v>7017114.919374999</v>
      </c>
      <c r="M11" s="115">
        <f t="shared" si="7"/>
        <v>7192542.792359373</v>
      </c>
      <c r="N11" s="115">
        <f t="shared" si="7"/>
        <v>7372356.362168356</v>
      </c>
      <c r="O11" s="115">
        <f t="shared" si="7"/>
        <v>7556665.271222564</v>
      </c>
      <c r="P11" s="115">
        <f t="shared" si="7"/>
        <v>7745581.903003128</v>
      </c>
      <c r="Q11" s="115">
        <f t="shared" si="7"/>
        <v>7939221.450578206</v>
      </c>
      <c r="R11" s="116">
        <f t="shared" si="7"/>
        <v>8137701.98684266</v>
      </c>
      <c r="S11" s="116">
        <f t="shared" si="7"/>
        <v>8341144.536513726</v>
      </c>
      <c r="T11" s="116">
        <f t="shared" si="7"/>
        <v>8549673.14992657</v>
      </c>
      <c r="U11" s="116">
        <f t="shared" si="7"/>
        <v>8763414.978674732</v>
      </c>
      <c r="V11" s="116">
        <f t="shared" si="7"/>
        <v>8982500.3531416</v>
      </c>
      <c r="W11" s="116">
        <f t="shared" si="7"/>
        <v>9207062.86197014</v>
      </c>
      <c r="X11" s="116">
        <f t="shared" si="8"/>
        <v>9253098.17627999</v>
      </c>
      <c r="Y11" s="116">
        <f t="shared" si="8"/>
        <v>9299363.667161388</v>
      </c>
      <c r="Z11" s="116">
        <f t="shared" si="8"/>
        <v>9345860.485497193</v>
      </c>
      <c r="AA11" s="116">
        <f t="shared" si="8"/>
        <v>9392589.787924679</v>
      </c>
      <c r="AB11" s="116">
        <f t="shared" si="8"/>
        <v>9439552.736864302</v>
      </c>
      <c r="AC11" s="116">
        <f t="shared" si="8"/>
        <v>9486750.500548624</v>
      </c>
      <c r="AD11" s="116">
        <f t="shared" si="8"/>
        <v>9534184.253051365</v>
      </c>
      <c r="AE11" s="116">
        <f t="shared" si="8"/>
        <v>9581855.17431662</v>
      </c>
      <c r="AF11" s="116">
        <f t="shared" si="8"/>
        <v>9629764.450188203</v>
      </c>
      <c r="AG11" s="116">
        <f t="shared" si="8"/>
        <v>9677913.272439143</v>
      </c>
      <c r="AH11" s="116">
        <f t="shared" si="8"/>
        <v>9726302.838801337</v>
      </c>
      <c r="AI11" s="116">
        <f t="shared" si="8"/>
        <v>9774934.352995344</v>
      </c>
      <c r="AJ11" s="116">
        <f t="shared" si="8"/>
        <v>9823809.024760319</v>
      </c>
      <c r="AK11" s="116">
        <f t="shared" si="8"/>
        <v>9872928.06988412</v>
      </c>
      <c r="AL11" s="116">
        <f t="shared" si="8"/>
        <v>9922292.71023354</v>
      </c>
      <c r="AM11" s="116">
        <f t="shared" si="8"/>
        <v>9971904.173784707</v>
      </c>
      <c r="AN11" s="116">
        <f t="shared" si="4"/>
        <v>10021763.694653628</v>
      </c>
      <c r="AO11" s="116">
        <f t="shared" si="4"/>
        <v>10071872.513126895</v>
      </c>
      <c r="AP11" s="116">
        <f t="shared" si="4"/>
        <v>10122231.875692528</v>
      </c>
      <c r="AQ11" s="116">
        <f t="shared" si="4"/>
        <v>10172843.03507099</v>
      </c>
      <c r="AR11" s="116">
        <f t="shared" si="4"/>
        <v>10223707.250246342</v>
      </c>
      <c r="AS11" s="116">
        <f t="shared" si="4"/>
        <v>10274825.786497572</v>
      </c>
    </row>
    <row r="12" spans="1:256" s="130" customFormat="1" ht="12.75">
      <c r="A12" s="117" t="s">
        <v>73</v>
      </c>
      <c r="B12" s="124" t="s">
        <v>78</v>
      </c>
      <c r="C12" s="125">
        <v>169553</v>
      </c>
      <c r="D12" s="125"/>
      <c r="E12" s="119">
        <f t="shared" si="5"/>
        <v>169553</v>
      </c>
      <c r="F12" s="125">
        <v>295173</v>
      </c>
      <c r="G12" s="125">
        <v>189282</v>
      </c>
      <c r="H12" s="113">
        <v>282813</v>
      </c>
      <c r="I12" s="113">
        <v>356813</v>
      </c>
      <c r="J12" s="125">
        <v>246428</v>
      </c>
      <c r="K12" s="126">
        <v>134813</v>
      </c>
      <c r="L12" s="126">
        <v>134813</v>
      </c>
      <c r="M12" s="126">
        <v>134813</v>
      </c>
      <c r="N12" s="126">
        <v>134813</v>
      </c>
      <c r="O12" s="126">
        <v>134813</v>
      </c>
      <c r="P12" s="126">
        <v>134813</v>
      </c>
      <c r="Q12" s="127">
        <v>134813</v>
      </c>
      <c r="R12" s="128">
        <v>134813</v>
      </c>
      <c r="S12" s="128">
        <v>134813</v>
      </c>
      <c r="T12" s="128">
        <v>134813</v>
      </c>
      <c r="U12" s="128">
        <v>134813</v>
      </c>
      <c r="V12" s="128">
        <v>134813</v>
      </c>
      <c r="W12" s="128">
        <v>134813</v>
      </c>
      <c r="X12" s="128">
        <v>134813</v>
      </c>
      <c r="Y12" s="128">
        <v>134813</v>
      </c>
      <c r="Z12" s="128">
        <v>134813</v>
      </c>
      <c r="AA12" s="128">
        <v>96315</v>
      </c>
      <c r="AB12" s="128">
        <v>96315</v>
      </c>
      <c r="AC12" s="128">
        <v>96315</v>
      </c>
      <c r="AD12" s="128">
        <v>96315</v>
      </c>
      <c r="AE12" s="128">
        <v>96315</v>
      </c>
      <c r="AF12" s="128">
        <v>96315</v>
      </c>
      <c r="AG12" s="128">
        <v>96315</v>
      </c>
      <c r="AH12" s="128">
        <v>96315</v>
      </c>
      <c r="AI12" s="128">
        <v>96315</v>
      </c>
      <c r="AJ12" s="116">
        <v>25184</v>
      </c>
      <c r="AK12" s="116">
        <v>25184</v>
      </c>
      <c r="AL12" s="116">
        <v>25184</v>
      </c>
      <c r="AM12" s="116">
        <v>25184</v>
      </c>
      <c r="AN12" s="116">
        <v>25184</v>
      </c>
      <c r="AO12" s="116">
        <v>25184</v>
      </c>
      <c r="AP12" s="116">
        <v>25184</v>
      </c>
      <c r="AQ12" s="116">
        <v>25184</v>
      </c>
      <c r="AR12" s="116">
        <v>25184</v>
      </c>
      <c r="AS12" s="116">
        <v>25184</v>
      </c>
      <c r="AT12" s="129"/>
      <c r="IQ12" s="85"/>
      <c r="IR12" s="85"/>
      <c r="IS12" s="85"/>
      <c r="IT12" s="85"/>
      <c r="IU12" s="85"/>
      <c r="IV12" s="85"/>
    </row>
    <row r="13" spans="1:45" ht="23.25">
      <c r="A13" s="117" t="s">
        <v>79</v>
      </c>
      <c r="B13" s="131" t="s">
        <v>80</v>
      </c>
      <c r="C13" s="125"/>
      <c r="D13" s="125"/>
      <c r="E13" s="119">
        <f t="shared" si="5"/>
        <v>0</v>
      </c>
      <c r="F13" s="125"/>
      <c r="G13" s="125"/>
      <c r="H13" s="113"/>
      <c r="I13" s="113"/>
      <c r="J13" s="125"/>
      <c r="K13" s="126"/>
      <c r="L13" s="126"/>
      <c r="M13" s="126"/>
      <c r="N13" s="126"/>
      <c r="O13" s="126"/>
      <c r="P13" s="126"/>
      <c r="Q13" s="127"/>
      <c r="R13" s="128"/>
      <c r="S13" s="128"/>
      <c r="T13" s="128"/>
      <c r="U13" s="128"/>
      <c r="V13" s="128"/>
      <c r="W13" s="128"/>
      <c r="X13" s="116">
        <f aca="true" t="shared" si="9" ref="X13:AM28">W13*1.005</f>
        <v>0</v>
      </c>
      <c r="Y13" s="116">
        <f t="shared" si="9"/>
        <v>0</v>
      </c>
      <c r="Z13" s="116">
        <f t="shared" si="9"/>
        <v>0</v>
      </c>
      <c r="AA13" s="116">
        <f t="shared" si="9"/>
        <v>0</v>
      </c>
      <c r="AB13" s="116">
        <f t="shared" si="9"/>
        <v>0</v>
      </c>
      <c r="AC13" s="116">
        <f t="shared" si="9"/>
        <v>0</v>
      </c>
      <c r="AD13" s="116">
        <f t="shared" si="9"/>
        <v>0</v>
      </c>
      <c r="AE13" s="116">
        <f t="shared" si="9"/>
        <v>0</v>
      </c>
      <c r="AF13" s="116">
        <f t="shared" si="9"/>
        <v>0</v>
      </c>
      <c r="AG13" s="116">
        <f t="shared" si="9"/>
        <v>0</v>
      </c>
      <c r="AH13" s="116">
        <f t="shared" si="9"/>
        <v>0</v>
      </c>
      <c r="AI13" s="116">
        <f t="shared" si="9"/>
        <v>0</v>
      </c>
      <c r="AJ13" s="116">
        <f t="shared" si="9"/>
        <v>0</v>
      </c>
      <c r="AK13" s="116">
        <f t="shared" si="9"/>
        <v>0</v>
      </c>
      <c r="AL13" s="116">
        <f t="shared" si="9"/>
        <v>0</v>
      </c>
      <c r="AM13" s="116">
        <f t="shared" si="9"/>
        <v>0</v>
      </c>
      <c r="AN13" s="116">
        <f aca="true" t="shared" si="10" ref="AN13:AS20">AM13*1.005</f>
        <v>0</v>
      </c>
      <c r="AO13" s="116">
        <f t="shared" si="10"/>
        <v>0</v>
      </c>
      <c r="AP13" s="116">
        <f t="shared" si="10"/>
        <v>0</v>
      </c>
      <c r="AQ13" s="116">
        <f t="shared" si="10"/>
        <v>0</v>
      </c>
      <c r="AR13" s="116">
        <f t="shared" si="10"/>
        <v>0</v>
      </c>
      <c r="AS13" s="116">
        <f t="shared" si="10"/>
        <v>0</v>
      </c>
    </row>
    <row r="14" spans="1:45" ht="12.75">
      <c r="A14" s="120" t="s">
        <v>81</v>
      </c>
      <c r="B14" s="132" t="s">
        <v>82</v>
      </c>
      <c r="C14" s="125">
        <v>206216.78</v>
      </c>
      <c r="D14" s="125"/>
      <c r="E14" s="119">
        <f t="shared" si="5"/>
        <v>206216.78</v>
      </c>
      <c r="F14" s="125">
        <v>315842.77</v>
      </c>
      <c r="G14" s="125">
        <v>189282</v>
      </c>
      <c r="H14" s="113">
        <v>282813</v>
      </c>
      <c r="I14" s="113">
        <v>356813</v>
      </c>
      <c r="J14" s="125">
        <v>246428</v>
      </c>
      <c r="K14" s="126">
        <v>134813</v>
      </c>
      <c r="L14" s="126">
        <v>134813</v>
      </c>
      <c r="M14" s="126">
        <v>134813</v>
      </c>
      <c r="N14" s="126">
        <v>134813</v>
      </c>
      <c r="O14" s="126">
        <v>134813</v>
      </c>
      <c r="P14" s="126">
        <v>134813</v>
      </c>
      <c r="Q14" s="127">
        <v>134813</v>
      </c>
      <c r="R14" s="128">
        <v>134813</v>
      </c>
      <c r="S14" s="128">
        <v>134813</v>
      </c>
      <c r="T14" s="128">
        <v>134813</v>
      </c>
      <c r="U14" s="128">
        <v>134813</v>
      </c>
      <c r="V14" s="128">
        <v>134813</v>
      </c>
      <c r="W14" s="128">
        <v>134813</v>
      </c>
      <c r="X14" s="128">
        <v>134813</v>
      </c>
      <c r="Y14" s="128">
        <v>134813</v>
      </c>
      <c r="Z14" s="128">
        <v>134813</v>
      </c>
      <c r="AA14" s="128">
        <v>96315</v>
      </c>
      <c r="AB14" s="128">
        <v>96315</v>
      </c>
      <c r="AC14" s="128">
        <v>96315</v>
      </c>
      <c r="AD14" s="128">
        <v>96315</v>
      </c>
      <c r="AE14" s="128">
        <v>96315</v>
      </c>
      <c r="AF14" s="128">
        <v>96315</v>
      </c>
      <c r="AG14" s="128">
        <v>96315</v>
      </c>
      <c r="AH14" s="128">
        <v>96315</v>
      </c>
      <c r="AI14" s="128">
        <v>96315</v>
      </c>
      <c r="AJ14" s="116">
        <v>25184</v>
      </c>
      <c r="AK14" s="116">
        <v>25184</v>
      </c>
      <c r="AL14" s="116">
        <v>25184</v>
      </c>
      <c r="AM14" s="116">
        <v>25184</v>
      </c>
      <c r="AN14" s="116">
        <v>25184</v>
      </c>
      <c r="AO14" s="116">
        <v>25184</v>
      </c>
      <c r="AP14" s="116">
        <v>25184</v>
      </c>
      <c r="AQ14" s="116">
        <v>25184</v>
      </c>
      <c r="AR14" s="116">
        <v>25184</v>
      </c>
      <c r="AS14" s="116">
        <v>25184</v>
      </c>
    </row>
    <row r="15" spans="1:45" ht="23.25">
      <c r="A15" s="133">
        <v>3</v>
      </c>
      <c r="B15" s="134" t="s">
        <v>83</v>
      </c>
      <c r="C15" s="119">
        <f aca="true" t="shared" si="11" ref="C15:AS15">+C5-C9</f>
        <v>7389611</v>
      </c>
      <c r="D15" s="119">
        <f t="shared" si="11"/>
        <v>96696</v>
      </c>
      <c r="E15" s="119">
        <f t="shared" si="11"/>
        <v>7486307</v>
      </c>
      <c r="F15" s="119">
        <f t="shared" si="11"/>
        <v>8362670</v>
      </c>
      <c r="G15" s="119">
        <f t="shared" si="11"/>
        <v>7351982</v>
      </c>
      <c r="H15" s="119">
        <f t="shared" si="11"/>
        <v>7852053</v>
      </c>
      <c r="I15" s="119">
        <f t="shared" si="11"/>
        <v>9766750</v>
      </c>
      <c r="J15" s="119">
        <f t="shared" si="11"/>
        <v>8304532</v>
      </c>
      <c r="K15" s="115">
        <f t="shared" si="11"/>
        <v>5075623</v>
      </c>
      <c r="L15" s="115">
        <f t="shared" si="11"/>
        <v>9288134</v>
      </c>
      <c r="M15" s="115">
        <f t="shared" si="11"/>
        <v>9823959.574999996</v>
      </c>
      <c r="N15" s="115">
        <f t="shared" si="11"/>
        <v>13190567.422000006</v>
      </c>
      <c r="O15" s="115">
        <f t="shared" si="11"/>
        <v>13836220.170440003</v>
      </c>
      <c r="P15" s="115">
        <f t="shared" si="11"/>
        <v>14504331.833848804</v>
      </c>
      <c r="Q15" s="115">
        <f t="shared" si="11"/>
        <v>15195590.990525782</v>
      </c>
      <c r="R15" s="116">
        <f t="shared" si="11"/>
        <v>15499502.810336307</v>
      </c>
      <c r="S15" s="116">
        <f t="shared" si="11"/>
        <v>15809492.866543025</v>
      </c>
      <c r="T15" s="116">
        <f t="shared" si="11"/>
        <v>16125682.723873883</v>
      </c>
      <c r="U15" s="116">
        <f t="shared" si="11"/>
        <v>16448196.378351375</v>
      </c>
      <c r="V15" s="116">
        <f t="shared" si="11"/>
        <v>16777160.305918396</v>
      </c>
      <c r="W15" s="116">
        <f t="shared" si="11"/>
        <v>17112703.51203677</v>
      </c>
      <c r="X15" s="116">
        <f t="shared" si="11"/>
        <v>17250755.889519677</v>
      </c>
      <c r="Y15" s="116">
        <f t="shared" si="11"/>
        <v>17337009.66896729</v>
      </c>
      <c r="Z15" s="116">
        <f t="shared" si="11"/>
        <v>17423694.717312127</v>
      </c>
      <c r="AA15" s="116">
        <f t="shared" si="11"/>
        <v>17510813.190898687</v>
      </c>
      <c r="AB15" s="116">
        <f t="shared" si="11"/>
        <v>17598367.25685318</v>
      </c>
      <c r="AC15" s="116">
        <f t="shared" si="11"/>
        <v>17686359.093137443</v>
      </c>
      <c r="AD15" s="116">
        <f t="shared" si="11"/>
        <v>17774790.88860312</v>
      </c>
      <c r="AE15" s="116">
        <f t="shared" si="11"/>
        <v>17863664.843046144</v>
      </c>
      <c r="AF15" s="116">
        <f t="shared" si="11"/>
        <v>17952983.167261362</v>
      </c>
      <c r="AG15" s="116">
        <f t="shared" si="11"/>
        <v>18042748.083097667</v>
      </c>
      <c r="AH15" s="116">
        <f t="shared" si="11"/>
        <v>18132961.82351315</v>
      </c>
      <c r="AI15" s="116">
        <f t="shared" si="11"/>
        <v>18223626.63263072</v>
      </c>
      <c r="AJ15" s="116">
        <f t="shared" si="11"/>
        <v>18314744.765793875</v>
      </c>
      <c r="AK15" s="116">
        <f t="shared" si="11"/>
        <v>18406318.48962283</v>
      </c>
      <c r="AL15" s="116">
        <f t="shared" si="11"/>
        <v>18498350.082070947</v>
      </c>
      <c r="AM15" s="116">
        <f t="shared" si="11"/>
        <v>18590841.832481295</v>
      </c>
      <c r="AN15" s="116">
        <f t="shared" si="11"/>
        <v>18683796.041643694</v>
      </c>
      <c r="AO15" s="116">
        <f t="shared" si="11"/>
        <v>18777215.021851912</v>
      </c>
      <c r="AP15" s="116">
        <f t="shared" si="11"/>
        <v>18871101.09696117</v>
      </c>
      <c r="AQ15" s="116">
        <f t="shared" si="11"/>
        <v>18965456.602445975</v>
      </c>
      <c r="AR15" s="116">
        <f t="shared" si="11"/>
        <v>19060283.8854582</v>
      </c>
      <c r="AS15" s="116">
        <f t="shared" si="11"/>
        <v>19155585.30488549</v>
      </c>
    </row>
    <row r="16" spans="1:45" ht="23.25">
      <c r="A16" s="111">
        <v>4</v>
      </c>
      <c r="B16" s="135" t="s">
        <v>84</v>
      </c>
      <c r="C16" s="113"/>
      <c r="D16" s="113">
        <v>793304</v>
      </c>
      <c r="E16" s="113">
        <v>793304</v>
      </c>
      <c r="F16" s="113"/>
      <c r="G16" s="113"/>
      <c r="H16" s="113"/>
      <c r="I16" s="113"/>
      <c r="J16" s="113"/>
      <c r="K16" s="114"/>
      <c r="L16" s="114"/>
      <c r="M16" s="114"/>
      <c r="N16" s="114"/>
      <c r="O16" s="114"/>
      <c r="P16" s="114"/>
      <c r="Q16" s="115"/>
      <c r="R16" s="116"/>
      <c r="S16" s="116"/>
      <c r="T16" s="116"/>
      <c r="U16" s="116"/>
      <c r="V16" s="116"/>
      <c r="W16" s="116"/>
      <c r="X16" s="116">
        <f t="shared" si="9"/>
        <v>0</v>
      </c>
      <c r="Y16" s="116">
        <f t="shared" si="9"/>
        <v>0</v>
      </c>
      <c r="Z16" s="116">
        <f t="shared" si="9"/>
        <v>0</v>
      </c>
      <c r="AA16" s="116">
        <f t="shared" si="9"/>
        <v>0</v>
      </c>
      <c r="AB16" s="116">
        <f t="shared" si="9"/>
        <v>0</v>
      </c>
      <c r="AC16" s="116">
        <f t="shared" si="9"/>
        <v>0</v>
      </c>
      <c r="AD16" s="116">
        <f t="shared" si="9"/>
        <v>0</v>
      </c>
      <c r="AE16" s="116">
        <f t="shared" si="9"/>
        <v>0</v>
      </c>
      <c r="AF16" s="116">
        <f t="shared" si="9"/>
        <v>0</v>
      </c>
      <c r="AG16" s="116">
        <f t="shared" si="9"/>
        <v>0</v>
      </c>
      <c r="AH16" s="116">
        <f t="shared" si="9"/>
        <v>0</v>
      </c>
      <c r="AI16" s="116">
        <f t="shared" si="9"/>
        <v>0</v>
      </c>
      <c r="AJ16" s="116">
        <f t="shared" si="9"/>
        <v>0</v>
      </c>
      <c r="AK16" s="116">
        <f t="shared" si="9"/>
        <v>0</v>
      </c>
      <c r="AL16" s="116">
        <f t="shared" si="9"/>
        <v>0</v>
      </c>
      <c r="AM16" s="116">
        <f t="shared" si="9"/>
        <v>0</v>
      </c>
      <c r="AN16" s="116">
        <f t="shared" si="10"/>
        <v>0</v>
      </c>
      <c r="AO16" s="116">
        <f t="shared" si="10"/>
        <v>0</v>
      </c>
      <c r="AP16" s="116">
        <f t="shared" si="10"/>
        <v>0</v>
      </c>
      <c r="AQ16" s="116">
        <f t="shared" si="10"/>
        <v>0</v>
      </c>
      <c r="AR16" s="116">
        <f t="shared" si="10"/>
        <v>0</v>
      </c>
      <c r="AS16" s="116">
        <f t="shared" si="10"/>
        <v>0</v>
      </c>
    </row>
    <row r="17" spans="1:45" ht="23.25">
      <c r="A17" s="120" t="s">
        <v>69</v>
      </c>
      <c r="B17" s="136" t="s">
        <v>85</v>
      </c>
      <c r="C17" s="113"/>
      <c r="D17" s="113">
        <v>793304</v>
      </c>
      <c r="E17" s="113">
        <v>793304</v>
      </c>
      <c r="F17" s="113"/>
      <c r="G17" s="113" t="s">
        <v>0</v>
      </c>
      <c r="H17" s="113"/>
      <c r="I17" s="113"/>
      <c r="J17" s="113"/>
      <c r="K17" s="114"/>
      <c r="L17" s="114"/>
      <c r="M17" s="114"/>
      <c r="N17" s="114"/>
      <c r="O17" s="114"/>
      <c r="P17" s="114"/>
      <c r="Q17" s="115"/>
      <c r="R17" s="116"/>
      <c r="S17" s="116"/>
      <c r="T17" s="116"/>
      <c r="U17" s="116"/>
      <c r="V17" s="116"/>
      <c r="W17" s="116"/>
      <c r="X17" s="116">
        <f t="shared" si="9"/>
        <v>0</v>
      </c>
      <c r="Y17" s="116">
        <f t="shared" si="9"/>
        <v>0</v>
      </c>
      <c r="Z17" s="116">
        <f t="shared" si="9"/>
        <v>0</v>
      </c>
      <c r="AA17" s="116">
        <f t="shared" si="9"/>
        <v>0</v>
      </c>
      <c r="AB17" s="116">
        <f t="shared" si="9"/>
        <v>0</v>
      </c>
      <c r="AC17" s="116">
        <f t="shared" si="9"/>
        <v>0</v>
      </c>
      <c r="AD17" s="116">
        <f t="shared" si="9"/>
        <v>0</v>
      </c>
      <c r="AE17" s="116">
        <f t="shared" si="9"/>
        <v>0</v>
      </c>
      <c r="AF17" s="116">
        <f t="shared" si="9"/>
        <v>0</v>
      </c>
      <c r="AG17" s="116">
        <f t="shared" si="9"/>
        <v>0</v>
      </c>
      <c r="AH17" s="116">
        <f t="shared" si="9"/>
        <v>0</v>
      </c>
      <c r="AI17" s="116">
        <f t="shared" si="9"/>
        <v>0</v>
      </c>
      <c r="AJ17" s="116">
        <f t="shared" si="9"/>
        <v>0</v>
      </c>
      <c r="AK17" s="116">
        <f t="shared" si="9"/>
        <v>0</v>
      </c>
      <c r="AL17" s="116">
        <f t="shared" si="9"/>
        <v>0</v>
      </c>
      <c r="AM17" s="116">
        <f t="shared" si="9"/>
        <v>0</v>
      </c>
      <c r="AN17" s="116">
        <f t="shared" si="10"/>
        <v>0</v>
      </c>
      <c r="AO17" s="116">
        <f t="shared" si="10"/>
        <v>0</v>
      </c>
      <c r="AP17" s="116">
        <f t="shared" si="10"/>
        <v>0</v>
      </c>
      <c r="AQ17" s="116">
        <f t="shared" si="10"/>
        <v>0</v>
      </c>
      <c r="AR17" s="116">
        <f t="shared" si="10"/>
        <v>0</v>
      </c>
      <c r="AS17" s="116">
        <f t="shared" si="10"/>
        <v>0</v>
      </c>
    </row>
    <row r="18" spans="1:45" ht="12.75">
      <c r="A18" s="133">
        <v>5</v>
      </c>
      <c r="B18" s="137" t="s">
        <v>86</v>
      </c>
      <c r="C18" s="125"/>
      <c r="D18" s="125"/>
      <c r="E18" s="125"/>
      <c r="F18" s="125"/>
      <c r="G18" s="125"/>
      <c r="H18" s="113"/>
      <c r="I18" s="113"/>
      <c r="J18" s="125"/>
      <c r="K18" s="126"/>
      <c r="L18" s="126"/>
      <c r="M18" s="126"/>
      <c r="N18" s="126"/>
      <c r="O18" s="126"/>
      <c r="P18" s="126"/>
      <c r="Q18" s="127"/>
      <c r="R18" s="128"/>
      <c r="S18" s="128"/>
      <c r="T18" s="128"/>
      <c r="U18" s="128"/>
      <c r="V18" s="128"/>
      <c r="W18" s="128"/>
      <c r="X18" s="116">
        <f t="shared" si="9"/>
        <v>0</v>
      </c>
      <c r="Y18" s="116">
        <f t="shared" si="9"/>
        <v>0</v>
      </c>
      <c r="Z18" s="116">
        <f t="shared" si="9"/>
        <v>0</v>
      </c>
      <c r="AA18" s="116">
        <f t="shared" si="9"/>
        <v>0</v>
      </c>
      <c r="AB18" s="116">
        <f t="shared" si="9"/>
        <v>0</v>
      </c>
      <c r="AC18" s="116">
        <f t="shared" si="9"/>
        <v>0</v>
      </c>
      <c r="AD18" s="116">
        <f t="shared" si="9"/>
        <v>0</v>
      </c>
      <c r="AE18" s="116">
        <f t="shared" si="9"/>
        <v>0</v>
      </c>
      <c r="AF18" s="116">
        <f t="shared" si="9"/>
        <v>0</v>
      </c>
      <c r="AG18" s="116">
        <f t="shared" si="9"/>
        <v>0</v>
      </c>
      <c r="AH18" s="116">
        <f t="shared" si="9"/>
        <v>0</v>
      </c>
      <c r="AI18" s="116">
        <f t="shared" si="9"/>
        <v>0</v>
      </c>
      <c r="AJ18" s="116">
        <f t="shared" si="9"/>
        <v>0</v>
      </c>
      <c r="AK18" s="116">
        <f t="shared" si="9"/>
        <v>0</v>
      </c>
      <c r="AL18" s="116">
        <f t="shared" si="9"/>
        <v>0</v>
      </c>
      <c r="AM18" s="116">
        <f t="shared" si="9"/>
        <v>0</v>
      </c>
      <c r="AN18" s="116">
        <f t="shared" si="10"/>
        <v>0</v>
      </c>
      <c r="AO18" s="116">
        <f t="shared" si="10"/>
        <v>0</v>
      </c>
      <c r="AP18" s="116">
        <f t="shared" si="10"/>
        <v>0</v>
      </c>
      <c r="AQ18" s="116">
        <f t="shared" si="10"/>
        <v>0</v>
      </c>
      <c r="AR18" s="116">
        <f t="shared" si="10"/>
        <v>0</v>
      </c>
      <c r="AS18" s="116">
        <f t="shared" si="10"/>
        <v>0</v>
      </c>
    </row>
    <row r="19" spans="1:45" ht="12.75">
      <c r="A19" s="133">
        <v>6</v>
      </c>
      <c r="B19" s="134" t="s">
        <v>87</v>
      </c>
      <c r="C19" s="113">
        <f aca="true" t="shared" si="12" ref="C19:AS19">+C15+C16+C18</f>
        <v>7389611</v>
      </c>
      <c r="D19" s="113">
        <f t="shared" si="12"/>
        <v>890000</v>
      </c>
      <c r="E19" s="113">
        <f t="shared" si="12"/>
        <v>8279611</v>
      </c>
      <c r="F19" s="113">
        <f t="shared" si="12"/>
        <v>8362670</v>
      </c>
      <c r="G19" s="113">
        <f t="shared" si="12"/>
        <v>7351982</v>
      </c>
      <c r="H19" s="113">
        <f t="shared" si="12"/>
        <v>7852053</v>
      </c>
      <c r="I19" s="113">
        <f t="shared" si="12"/>
        <v>9766750</v>
      </c>
      <c r="J19" s="113">
        <f t="shared" si="12"/>
        <v>8304532</v>
      </c>
      <c r="K19" s="114">
        <f t="shared" si="12"/>
        <v>5075623</v>
      </c>
      <c r="L19" s="114">
        <f t="shared" si="12"/>
        <v>9288134</v>
      </c>
      <c r="M19" s="114">
        <f t="shared" si="12"/>
        <v>9823959.574999996</v>
      </c>
      <c r="N19" s="114">
        <f t="shared" si="12"/>
        <v>13190567.422000006</v>
      </c>
      <c r="O19" s="114">
        <f t="shared" si="12"/>
        <v>13836220.170440003</v>
      </c>
      <c r="P19" s="114">
        <f t="shared" si="12"/>
        <v>14504331.833848804</v>
      </c>
      <c r="Q19" s="115">
        <f t="shared" si="12"/>
        <v>15195590.990525782</v>
      </c>
      <c r="R19" s="116">
        <f t="shared" si="12"/>
        <v>15499502.810336307</v>
      </c>
      <c r="S19" s="116">
        <f t="shared" si="12"/>
        <v>15809492.866543025</v>
      </c>
      <c r="T19" s="116">
        <f t="shared" si="12"/>
        <v>16125682.723873883</v>
      </c>
      <c r="U19" s="116">
        <f t="shared" si="12"/>
        <v>16448196.378351375</v>
      </c>
      <c r="V19" s="116">
        <f t="shared" si="12"/>
        <v>16777160.305918396</v>
      </c>
      <c r="W19" s="116">
        <f t="shared" si="12"/>
        <v>17112703.51203677</v>
      </c>
      <c r="X19" s="116">
        <f t="shared" si="12"/>
        <v>17250755.889519677</v>
      </c>
      <c r="Y19" s="116">
        <f t="shared" si="12"/>
        <v>17337009.66896729</v>
      </c>
      <c r="Z19" s="116">
        <f t="shared" si="12"/>
        <v>17423694.717312127</v>
      </c>
      <c r="AA19" s="116">
        <f t="shared" si="12"/>
        <v>17510813.190898687</v>
      </c>
      <c r="AB19" s="116">
        <f t="shared" si="12"/>
        <v>17598367.25685318</v>
      </c>
      <c r="AC19" s="116">
        <f t="shared" si="12"/>
        <v>17686359.093137443</v>
      </c>
      <c r="AD19" s="116">
        <f t="shared" si="12"/>
        <v>17774790.88860312</v>
      </c>
      <c r="AE19" s="116">
        <f t="shared" si="12"/>
        <v>17863664.843046144</v>
      </c>
      <c r="AF19" s="116">
        <f t="shared" si="12"/>
        <v>17952983.167261362</v>
      </c>
      <c r="AG19" s="116">
        <f t="shared" si="12"/>
        <v>18042748.083097667</v>
      </c>
      <c r="AH19" s="116">
        <f t="shared" si="12"/>
        <v>18132961.82351315</v>
      </c>
      <c r="AI19" s="116">
        <f t="shared" si="12"/>
        <v>18223626.63263072</v>
      </c>
      <c r="AJ19" s="116">
        <f t="shared" si="12"/>
        <v>18314744.765793875</v>
      </c>
      <c r="AK19" s="116">
        <f t="shared" si="12"/>
        <v>18406318.48962283</v>
      </c>
      <c r="AL19" s="116">
        <f t="shared" si="12"/>
        <v>18498350.082070947</v>
      </c>
      <c r="AM19" s="116">
        <f t="shared" si="12"/>
        <v>18590841.832481295</v>
      </c>
      <c r="AN19" s="116">
        <f t="shared" si="12"/>
        <v>18683796.041643694</v>
      </c>
      <c r="AO19" s="116">
        <f t="shared" si="12"/>
        <v>18777215.021851912</v>
      </c>
      <c r="AP19" s="116">
        <f t="shared" si="12"/>
        <v>18871101.09696117</v>
      </c>
      <c r="AQ19" s="116">
        <f t="shared" si="12"/>
        <v>18965456.602445975</v>
      </c>
      <c r="AR19" s="116">
        <f t="shared" si="12"/>
        <v>19060283.8854582</v>
      </c>
      <c r="AS19" s="116">
        <f t="shared" si="12"/>
        <v>19155585.30488549</v>
      </c>
    </row>
    <row r="20" spans="1:45" ht="12.75">
      <c r="A20" s="111">
        <v>7</v>
      </c>
      <c r="B20" s="135" t="s">
        <v>88</v>
      </c>
      <c r="C20" s="138">
        <f aca="true" t="shared" si="13" ref="C20:K20">+C21+C22</f>
        <v>6141170</v>
      </c>
      <c r="D20" s="138">
        <f t="shared" si="13"/>
        <v>0</v>
      </c>
      <c r="E20" s="138">
        <f t="shared" si="13"/>
        <v>6141170</v>
      </c>
      <c r="F20" s="138">
        <f t="shared" si="13"/>
        <v>7262670</v>
      </c>
      <c r="G20" s="138">
        <f t="shared" si="13"/>
        <v>4163568</v>
      </c>
      <c r="H20" s="119">
        <f t="shared" si="13"/>
        <v>5107574</v>
      </c>
      <c r="I20" s="119">
        <f t="shared" si="13"/>
        <v>1468888</v>
      </c>
      <c r="J20" s="138">
        <f t="shared" si="13"/>
        <v>1016888</v>
      </c>
      <c r="K20" s="138">
        <f t="shared" si="13"/>
        <v>0</v>
      </c>
      <c r="L20" s="127"/>
      <c r="M20" s="127">
        <f aca="true" t="shared" si="14" ref="M20:W20">+M21+M22</f>
        <v>0</v>
      </c>
      <c r="N20" s="127">
        <f t="shared" si="14"/>
        <v>0</v>
      </c>
      <c r="O20" s="127">
        <f t="shared" si="14"/>
        <v>0</v>
      </c>
      <c r="P20" s="127">
        <f t="shared" si="14"/>
        <v>0</v>
      </c>
      <c r="Q20" s="127">
        <f t="shared" si="14"/>
        <v>0</v>
      </c>
      <c r="R20" s="128">
        <f t="shared" si="14"/>
        <v>0</v>
      </c>
      <c r="S20" s="128">
        <f t="shared" si="14"/>
        <v>0</v>
      </c>
      <c r="T20" s="128">
        <f t="shared" si="14"/>
        <v>0</v>
      </c>
      <c r="U20" s="128">
        <f t="shared" si="14"/>
        <v>0</v>
      </c>
      <c r="V20" s="128">
        <f t="shared" si="14"/>
        <v>0</v>
      </c>
      <c r="W20" s="128">
        <f t="shared" si="14"/>
        <v>0</v>
      </c>
      <c r="X20" s="116">
        <f t="shared" si="9"/>
        <v>0</v>
      </c>
      <c r="Y20" s="116">
        <f t="shared" si="9"/>
        <v>0</v>
      </c>
      <c r="Z20" s="116">
        <f t="shared" si="9"/>
        <v>0</v>
      </c>
      <c r="AA20" s="116">
        <f t="shared" si="9"/>
        <v>0</v>
      </c>
      <c r="AB20" s="116">
        <f t="shared" si="9"/>
        <v>0</v>
      </c>
      <c r="AC20" s="116">
        <f t="shared" si="9"/>
        <v>0</v>
      </c>
      <c r="AD20" s="116">
        <f t="shared" si="9"/>
        <v>0</v>
      </c>
      <c r="AE20" s="116">
        <f t="shared" si="9"/>
        <v>0</v>
      </c>
      <c r="AF20" s="116">
        <f t="shared" si="9"/>
        <v>0</v>
      </c>
      <c r="AG20" s="116">
        <f t="shared" si="9"/>
        <v>0</v>
      </c>
      <c r="AH20" s="116">
        <f t="shared" si="9"/>
        <v>0</v>
      </c>
      <c r="AI20" s="116">
        <f t="shared" si="9"/>
        <v>0</v>
      </c>
      <c r="AJ20" s="116">
        <f t="shared" si="9"/>
        <v>0</v>
      </c>
      <c r="AK20" s="116">
        <f t="shared" si="9"/>
        <v>0</v>
      </c>
      <c r="AL20" s="116">
        <f t="shared" si="9"/>
        <v>0</v>
      </c>
      <c r="AM20" s="116">
        <f t="shared" si="9"/>
        <v>0</v>
      </c>
      <c r="AN20" s="116">
        <f t="shared" si="10"/>
        <v>0</v>
      </c>
      <c r="AO20" s="116">
        <f t="shared" si="10"/>
        <v>0</v>
      </c>
      <c r="AP20" s="116">
        <f t="shared" si="10"/>
        <v>0</v>
      </c>
      <c r="AQ20" s="116">
        <f t="shared" si="10"/>
        <v>0</v>
      </c>
      <c r="AR20" s="116">
        <f t="shared" si="10"/>
        <v>0</v>
      </c>
      <c r="AS20" s="116">
        <f t="shared" si="10"/>
        <v>0</v>
      </c>
    </row>
    <row r="21" spans="1:45" ht="12.75">
      <c r="A21" s="117" t="s">
        <v>69</v>
      </c>
      <c r="B21" s="118" t="s">
        <v>89</v>
      </c>
      <c r="C21" s="138">
        <v>5111700</v>
      </c>
      <c r="D21" s="138"/>
      <c r="E21" s="138">
        <f>C21+D21</f>
        <v>5111700</v>
      </c>
      <c r="F21" s="138">
        <v>6547700</v>
      </c>
      <c r="G21" s="138">
        <v>3759100</v>
      </c>
      <c r="H21" s="119">
        <v>4731686</v>
      </c>
      <c r="I21" s="119">
        <v>1200000</v>
      </c>
      <c r="J21" s="138">
        <v>800000</v>
      </c>
      <c r="K21" s="127">
        <v>0</v>
      </c>
      <c r="L21" s="127"/>
      <c r="M21" s="127"/>
      <c r="N21" s="127"/>
      <c r="O21" s="127"/>
      <c r="P21" s="127">
        <v>0</v>
      </c>
      <c r="Q21" s="127"/>
      <c r="R21" s="128"/>
      <c r="S21" s="128"/>
      <c r="T21" s="128"/>
      <c r="U21" s="128"/>
      <c r="V21" s="128"/>
      <c r="W21" s="128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</row>
    <row r="22" spans="1:45" ht="12.75">
      <c r="A22" s="120" t="s">
        <v>71</v>
      </c>
      <c r="B22" s="121" t="s">
        <v>90</v>
      </c>
      <c r="C22" s="138">
        <v>1029470</v>
      </c>
      <c r="D22" s="138"/>
      <c r="E22" s="138">
        <f>C22+D22</f>
        <v>1029470</v>
      </c>
      <c r="F22" s="138">
        <v>714970</v>
      </c>
      <c r="G22" s="125">
        <f>564468-160000</f>
        <v>404468</v>
      </c>
      <c r="H22" s="113">
        <v>375888</v>
      </c>
      <c r="I22" s="113">
        <v>268888</v>
      </c>
      <c r="J22" s="125">
        <v>216888</v>
      </c>
      <c r="K22" s="126">
        <v>0</v>
      </c>
      <c r="L22" s="126"/>
      <c r="M22" s="126"/>
      <c r="N22" s="126"/>
      <c r="O22" s="126"/>
      <c r="P22" s="126">
        <v>0</v>
      </c>
      <c r="Q22" s="127"/>
      <c r="R22" s="128"/>
      <c r="S22" s="128"/>
      <c r="T22" s="128"/>
      <c r="U22" s="128"/>
      <c r="V22" s="128"/>
      <c r="W22" s="128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</row>
    <row r="23" spans="1:45" ht="12.75">
      <c r="A23" s="133">
        <v>8</v>
      </c>
      <c r="B23" s="134" t="s">
        <v>91</v>
      </c>
      <c r="C23" s="125"/>
      <c r="D23" s="125"/>
      <c r="E23" s="125"/>
      <c r="F23" s="125"/>
      <c r="G23" s="125"/>
      <c r="H23" s="113"/>
      <c r="I23" s="113"/>
      <c r="J23" s="125"/>
      <c r="K23" s="126"/>
      <c r="L23" s="126"/>
      <c r="M23" s="126"/>
      <c r="N23" s="126"/>
      <c r="O23" s="126"/>
      <c r="P23" s="139"/>
      <c r="Q23" s="127"/>
      <c r="R23" s="128"/>
      <c r="S23" s="128"/>
      <c r="T23" s="128"/>
      <c r="U23" s="128"/>
      <c r="V23" s="128"/>
      <c r="W23" s="128"/>
      <c r="X23" s="116">
        <f t="shared" si="9"/>
        <v>0</v>
      </c>
      <c r="Y23" s="116">
        <f t="shared" si="9"/>
        <v>0</v>
      </c>
      <c r="Z23" s="116">
        <f t="shared" si="9"/>
        <v>0</v>
      </c>
      <c r="AA23" s="116">
        <f t="shared" si="9"/>
        <v>0</v>
      </c>
      <c r="AB23" s="116">
        <f t="shared" si="9"/>
        <v>0</v>
      </c>
      <c r="AC23" s="116">
        <f t="shared" si="9"/>
        <v>0</v>
      </c>
      <c r="AD23" s="116">
        <f t="shared" si="9"/>
        <v>0</v>
      </c>
      <c r="AE23" s="116">
        <f t="shared" si="9"/>
        <v>0</v>
      </c>
      <c r="AF23" s="116">
        <f t="shared" si="9"/>
        <v>0</v>
      </c>
      <c r="AG23" s="116">
        <f t="shared" si="9"/>
        <v>0</v>
      </c>
      <c r="AH23" s="116">
        <f t="shared" si="9"/>
        <v>0</v>
      </c>
      <c r="AI23" s="116">
        <f t="shared" si="9"/>
        <v>0</v>
      </c>
      <c r="AJ23" s="116">
        <f t="shared" si="9"/>
        <v>0</v>
      </c>
      <c r="AK23" s="116">
        <f t="shared" si="9"/>
        <v>0</v>
      </c>
      <c r="AL23" s="116">
        <f t="shared" si="9"/>
        <v>0</v>
      </c>
      <c r="AM23" s="116">
        <f t="shared" si="9"/>
        <v>0</v>
      </c>
      <c r="AN23" s="116">
        <f aca="true" t="shared" si="15" ref="AN23:AS28">AM23*1.005</f>
        <v>0</v>
      </c>
      <c r="AO23" s="116">
        <f t="shared" si="15"/>
        <v>0</v>
      </c>
      <c r="AP23" s="116">
        <f t="shared" si="15"/>
        <v>0</v>
      </c>
      <c r="AQ23" s="116">
        <f t="shared" si="15"/>
        <v>0</v>
      </c>
      <c r="AR23" s="116">
        <f t="shared" si="15"/>
        <v>0</v>
      </c>
      <c r="AS23" s="116">
        <f t="shared" si="15"/>
        <v>0</v>
      </c>
    </row>
    <row r="24" spans="1:45" ht="12.75">
      <c r="A24" s="133">
        <v>9</v>
      </c>
      <c r="B24" s="134" t="s">
        <v>92</v>
      </c>
      <c r="C24" s="113">
        <f aca="true" t="shared" si="16" ref="C24:AS24">+C19-C20-C23</f>
        <v>1248441</v>
      </c>
      <c r="D24" s="113">
        <f t="shared" si="16"/>
        <v>890000</v>
      </c>
      <c r="E24" s="113">
        <f t="shared" si="16"/>
        <v>2138441</v>
      </c>
      <c r="F24" s="113">
        <f t="shared" si="16"/>
        <v>1100000</v>
      </c>
      <c r="G24" s="113">
        <f t="shared" si="16"/>
        <v>3188414</v>
      </c>
      <c r="H24" s="113">
        <f t="shared" si="16"/>
        <v>2744479</v>
      </c>
      <c r="I24" s="113">
        <f t="shared" si="16"/>
        <v>8297862</v>
      </c>
      <c r="J24" s="113">
        <f t="shared" si="16"/>
        <v>7287644</v>
      </c>
      <c r="K24" s="114">
        <f t="shared" si="16"/>
        <v>5075623</v>
      </c>
      <c r="L24" s="114">
        <f t="shared" si="16"/>
        <v>9288134</v>
      </c>
      <c r="M24" s="114">
        <f t="shared" si="16"/>
        <v>9823959.574999996</v>
      </c>
      <c r="N24" s="114">
        <f t="shared" si="16"/>
        <v>13190567.422000006</v>
      </c>
      <c r="O24" s="114">
        <f t="shared" si="16"/>
        <v>13836220.170440003</v>
      </c>
      <c r="P24" s="114">
        <f t="shared" si="16"/>
        <v>14504331.833848804</v>
      </c>
      <c r="Q24" s="115">
        <f t="shared" si="16"/>
        <v>15195590.990525782</v>
      </c>
      <c r="R24" s="116">
        <f t="shared" si="16"/>
        <v>15499502.810336307</v>
      </c>
      <c r="S24" s="116">
        <f t="shared" si="16"/>
        <v>15809492.866543025</v>
      </c>
      <c r="T24" s="116">
        <f t="shared" si="16"/>
        <v>16125682.723873883</v>
      </c>
      <c r="U24" s="116">
        <f t="shared" si="16"/>
        <v>16448196.378351375</v>
      </c>
      <c r="V24" s="116">
        <f t="shared" si="16"/>
        <v>16777160.305918396</v>
      </c>
      <c r="W24" s="116">
        <f t="shared" si="16"/>
        <v>17112703.51203677</v>
      </c>
      <c r="X24" s="116">
        <f t="shared" si="16"/>
        <v>17250755.889519677</v>
      </c>
      <c r="Y24" s="116">
        <f t="shared" si="16"/>
        <v>17337009.66896729</v>
      </c>
      <c r="Z24" s="116">
        <f t="shared" si="16"/>
        <v>17423694.717312127</v>
      </c>
      <c r="AA24" s="116">
        <f t="shared" si="16"/>
        <v>17510813.190898687</v>
      </c>
      <c r="AB24" s="116">
        <f t="shared" si="16"/>
        <v>17598367.25685318</v>
      </c>
      <c r="AC24" s="116">
        <f t="shared" si="16"/>
        <v>17686359.093137443</v>
      </c>
      <c r="AD24" s="116">
        <f t="shared" si="16"/>
        <v>17774790.88860312</v>
      </c>
      <c r="AE24" s="116">
        <f t="shared" si="16"/>
        <v>17863664.843046144</v>
      </c>
      <c r="AF24" s="116">
        <f t="shared" si="16"/>
        <v>17952983.167261362</v>
      </c>
      <c r="AG24" s="116">
        <f t="shared" si="16"/>
        <v>18042748.083097667</v>
      </c>
      <c r="AH24" s="116">
        <f t="shared" si="16"/>
        <v>18132961.82351315</v>
      </c>
      <c r="AI24" s="116">
        <f t="shared" si="16"/>
        <v>18223626.63263072</v>
      </c>
      <c r="AJ24" s="116">
        <f t="shared" si="16"/>
        <v>18314744.765793875</v>
      </c>
      <c r="AK24" s="116">
        <f t="shared" si="16"/>
        <v>18406318.48962283</v>
      </c>
      <c r="AL24" s="116">
        <f t="shared" si="16"/>
        <v>18498350.082070947</v>
      </c>
      <c r="AM24" s="116">
        <f t="shared" si="16"/>
        <v>18590841.832481295</v>
      </c>
      <c r="AN24" s="116">
        <f t="shared" si="16"/>
        <v>18683796.041643694</v>
      </c>
      <c r="AO24" s="116">
        <f t="shared" si="16"/>
        <v>18777215.021851912</v>
      </c>
      <c r="AP24" s="116">
        <f t="shared" si="16"/>
        <v>18871101.09696117</v>
      </c>
      <c r="AQ24" s="116">
        <f t="shared" si="16"/>
        <v>18965456.602445975</v>
      </c>
      <c r="AR24" s="116">
        <f t="shared" si="16"/>
        <v>19060283.8854582</v>
      </c>
      <c r="AS24" s="116">
        <f t="shared" si="16"/>
        <v>19155585.30488549</v>
      </c>
    </row>
    <row r="25" spans="1:45" ht="12.75">
      <c r="A25" s="111">
        <v>10</v>
      </c>
      <c r="B25" s="112" t="s">
        <v>93</v>
      </c>
      <c r="C25" s="125">
        <f>3630327</f>
        <v>3630327</v>
      </c>
      <c r="D25" s="125">
        <v>890000</v>
      </c>
      <c r="E25" s="125">
        <f>C25+D25</f>
        <v>4520327</v>
      </c>
      <c r="F25" s="113">
        <v>1100000</v>
      </c>
      <c r="G25" s="113">
        <v>3188414</v>
      </c>
      <c r="H25" s="113">
        <v>2744479</v>
      </c>
      <c r="I25" s="119">
        <v>8297862</v>
      </c>
      <c r="J25" s="113">
        <v>7287644</v>
      </c>
      <c r="K25" s="114">
        <f aca="true" t="shared" si="17" ref="K25:AS25">K24</f>
        <v>5075623</v>
      </c>
      <c r="L25" s="114">
        <f t="shared" si="17"/>
        <v>9288134</v>
      </c>
      <c r="M25" s="114">
        <f t="shared" si="17"/>
        <v>9823959.574999996</v>
      </c>
      <c r="N25" s="114">
        <f t="shared" si="17"/>
        <v>13190567.422000006</v>
      </c>
      <c r="O25" s="114">
        <f t="shared" si="17"/>
        <v>13836220.170440003</v>
      </c>
      <c r="P25" s="114">
        <f t="shared" si="17"/>
        <v>14504331.833848804</v>
      </c>
      <c r="Q25" s="115">
        <f t="shared" si="17"/>
        <v>15195590.990525782</v>
      </c>
      <c r="R25" s="116">
        <f t="shared" si="17"/>
        <v>15499502.810336307</v>
      </c>
      <c r="S25" s="116">
        <f t="shared" si="17"/>
        <v>15809492.866543025</v>
      </c>
      <c r="T25" s="116">
        <f t="shared" si="17"/>
        <v>16125682.723873883</v>
      </c>
      <c r="U25" s="116">
        <f t="shared" si="17"/>
        <v>16448196.378351375</v>
      </c>
      <c r="V25" s="116">
        <f t="shared" si="17"/>
        <v>16777160.305918396</v>
      </c>
      <c r="W25" s="116">
        <f t="shared" si="17"/>
        <v>17112703.51203677</v>
      </c>
      <c r="X25" s="116">
        <f t="shared" si="17"/>
        <v>17250755.889519677</v>
      </c>
      <c r="Y25" s="116">
        <f t="shared" si="17"/>
        <v>17337009.66896729</v>
      </c>
      <c r="Z25" s="116">
        <f t="shared" si="17"/>
        <v>17423694.717312127</v>
      </c>
      <c r="AA25" s="116">
        <f t="shared" si="17"/>
        <v>17510813.190898687</v>
      </c>
      <c r="AB25" s="116">
        <f t="shared" si="17"/>
        <v>17598367.25685318</v>
      </c>
      <c r="AC25" s="116">
        <f t="shared" si="17"/>
        <v>17686359.093137443</v>
      </c>
      <c r="AD25" s="116">
        <f t="shared" si="17"/>
        <v>17774790.88860312</v>
      </c>
      <c r="AE25" s="116">
        <f t="shared" si="17"/>
        <v>17863664.843046144</v>
      </c>
      <c r="AF25" s="116">
        <f t="shared" si="17"/>
        <v>17952983.167261362</v>
      </c>
      <c r="AG25" s="116">
        <f t="shared" si="17"/>
        <v>18042748.083097667</v>
      </c>
      <c r="AH25" s="116">
        <f t="shared" si="17"/>
        <v>18132961.82351315</v>
      </c>
      <c r="AI25" s="116">
        <f t="shared" si="17"/>
        <v>18223626.63263072</v>
      </c>
      <c r="AJ25" s="116">
        <f t="shared" si="17"/>
        <v>18314744.765793875</v>
      </c>
      <c r="AK25" s="116">
        <f t="shared" si="17"/>
        <v>18406318.48962283</v>
      </c>
      <c r="AL25" s="116">
        <f t="shared" si="17"/>
        <v>18498350.082070947</v>
      </c>
      <c r="AM25" s="116">
        <f t="shared" si="17"/>
        <v>18590841.832481295</v>
      </c>
      <c r="AN25" s="116">
        <f t="shared" si="17"/>
        <v>18683796.041643694</v>
      </c>
      <c r="AO25" s="116">
        <f t="shared" si="17"/>
        <v>18777215.021851912</v>
      </c>
      <c r="AP25" s="116">
        <f t="shared" si="17"/>
        <v>18871101.09696117</v>
      </c>
      <c r="AQ25" s="116">
        <f t="shared" si="17"/>
        <v>18965456.602445975</v>
      </c>
      <c r="AR25" s="116">
        <f t="shared" si="17"/>
        <v>19060283.8854582</v>
      </c>
      <c r="AS25" s="116">
        <f t="shared" si="17"/>
        <v>19155585.30488549</v>
      </c>
    </row>
    <row r="26" spans="1:45" ht="12.75">
      <c r="A26" s="120" t="s">
        <v>69</v>
      </c>
      <c r="B26" s="121" t="s">
        <v>94</v>
      </c>
      <c r="C26" s="125"/>
      <c r="D26" s="125"/>
      <c r="E26" s="125"/>
      <c r="F26" s="125"/>
      <c r="G26" s="125"/>
      <c r="H26" s="113"/>
      <c r="I26" s="113"/>
      <c r="J26" s="125"/>
      <c r="K26" s="126"/>
      <c r="L26" s="126"/>
      <c r="M26" s="126"/>
      <c r="N26" s="126"/>
      <c r="O26" s="126"/>
      <c r="P26" s="126"/>
      <c r="Q26" s="127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.75">
      <c r="A27" s="133">
        <v>11</v>
      </c>
      <c r="B27" s="137" t="s">
        <v>95</v>
      </c>
      <c r="C27" s="113">
        <v>2381886</v>
      </c>
      <c r="D27" s="113"/>
      <c r="E27" s="113">
        <v>2381886</v>
      </c>
      <c r="F27" s="113">
        <v>0</v>
      </c>
      <c r="G27" s="113"/>
      <c r="H27" s="113"/>
      <c r="I27" s="113"/>
      <c r="J27" s="113"/>
      <c r="K27" s="114"/>
      <c r="L27" s="114"/>
      <c r="M27" s="114"/>
      <c r="N27" s="114"/>
      <c r="O27" s="114"/>
      <c r="P27" s="140"/>
      <c r="Q27" s="115"/>
      <c r="R27" s="116"/>
      <c r="S27" s="116"/>
      <c r="T27" s="116"/>
      <c r="U27" s="116"/>
      <c r="V27" s="116"/>
      <c r="W27" s="116"/>
      <c r="X27" s="116">
        <f t="shared" si="9"/>
        <v>0</v>
      </c>
      <c r="Y27" s="116">
        <f t="shared" si="9"/>
        <v>0</v>
      </c>
      <c r="Z27" s="116">
        <f t="shared" si="9"/>
        <v>0</v>
      </c>
      <c r="AA27" s="116">
        <f t="shared" si="9"/>
        <v>0</v>
      </c>
      <c r="AB27" s="116">
        <f t="shared" si="9"/>
        <v>0</v>
      </c>
      <c r="AC27" s="116">
        <f t="shared" si="9"/>
        <v>0</v>
      </c>
      <c r="AD27" s="116">
        <f t="shared" si="9"/>
        <v>0</v>
      </c>
      <c r="AE27" s="116">
        <f t="shared" si="9"/>
        <v>0</v>
      </c>
      <c r="AF27" s="116">
        <f t="shared" si="9"/>
        <v>0</v>
      </c>
      <c r="AG27" s="116">
        <f t="shared" si="9"/>
        <v>0</v>
      </c>
      <c r="AH27" s="116">
        <f t="shared" si="9"/>
        <v>0</v>
      </c>
      <c r="AI27" s="116">
        <f t="shared" si="9"/>
        <v>0</v>
      </c>
      <c r="AJ27" s="116">
        <f t="shared" si="9"/>
        <v>0</v>
      </c>
      <c r="AK27" s="116">
        <f t="shared" si="9"/>
        <v>0</v>
      </c>
      <c r="AL27" s="116">
        <f t="shared" si="9"/>
        <v>0</v>
      </c>
      <c r="AM27" s="116">
        <f t="shared" si="9"/>
        <v>0</v>
      </c>
      <c r="AN27" s="116">
        <f t="shared" si="15"/>
        <v>0</v>
      </c>
      <c r="AO27" s="116">
        <f t="shared" si="15"/>
        <v>0</v>
      </c>
      <c r="AP27" s="116">
        <f t="shared" si="15"/>
        <v>0</v>
      </c>
      <c r="AQ27" s="116">
        <f t="shared" si="15"/>
        <v>0</v>
      </c>
      <c r="AR27" s="116">
        <f t="shared" si="15"/>
        <v>0</v>
      </c>
      <c r="AS27" s="116">
        <f t="shared" si="15"/>
        <v>0</v>
      </c>
    </row>
    <row r="28" spans="1:45" ht="12.75">
      <c r="A28" s="133">
        <v>12</v>
      </c>
      <c r="B28" s="141" t="s">
        <v>96</v>
      </c>
      <c r="C28" s="113">
        <f>C24-C25+C27</f>
        <v>0</v>
      </c>
      <c r="D28" s="113">
        <f aca="true" t="shared" si="18" ref="D28:E28">D24-D25+D27</f>
        <v>0</v>
      </c>
      <c r="E28" s="113">
        <f t="shared" si="18"/>
        <v>0</v>
      </c>
      <c r="F28" s="113">
        <f aca="true" t="shared" si="19" ref="F28:W28">+F24-F25+F27</f>
        <v>0</v>
      </c>
      <c r="G28" s="113">
        <f t="shared" si="19"/>
        <v>0</v>
      </c>
      <c r="H28" s="113">
        <f t="shared" si="19"/>
        <v>0</v>
      </c>
      <c r="I28" s="113">
        <f t="shared" si="19"/>
        <v>0</v>
      </c>
      <c r="J28" s="113">
        <f t="shared" si="19"/>
        <v>0</v>
      </c>
      <c r="K28" s="114">
        <f t="shared" si="19"/>
        <v>0</v>
      </c>
      <c r="L28" s="114">
        <f t="shared" si="19"/>
        <v>0</v>
      </c>
      <c r="M28" s="114">
        <f t="shared" si="19"/>
        <v>0</v>
      </c>
      <c r="N28" s="114">
        <f t="shared" si="19"/>
        <v>0</v>
      </c>
      <c r="O28" s="114">
        <f t="shared" si="19"/>
        <v>0</v>
      </c>
      <c r="P28" s="140">
        <f t="shared" si="19"/>
        <v>0</v>
      </c>
      <c r="Q28" s="115">
        <f t="shared" si="19"/>
        <v>0</v>
      </c>
      <c r="R28" s="116">
        <f t="shared" si="19"/>
        <v>0</v>
      </c>
      <c r="S28" s="116">
        <f t="shared" si="19"/>
        <v>0</v>
      </c>
      <c r="T28" s="116">
        <f t="shared" si="19"/>
        <v>0</v>
      </c>
      <c r="U28" s="116">
        <f t="shared" si="19"/>
        <v>0</v>
      </c>
      <c r="V28" s="116">
        <f t="shared" si="19"/>
        <v>0</v>
      </c>
      <c r="W28" s="116">
        <f t="shared" si="19"/>
        <v>0</v>
      </c>
      <c r="X28" s="116">
        <f t="shared" si="9"/>
        <v>0</v>
      </c>
      <c r="Y28" s="116">
        <f t="shared" si="9"/>
        <v>0</v>
      </c>
      <c r="Z28" s="116">
        <f t="shared" si="9"/>
        <v>0</v>
      </c>
      <c r="AA28" s="116">
        <f t="shared" si="9"/>
        <v>0</v>
      </c>
      <c r="AB28" s="116">
        <f t="shared" si="9"/>
        <v>0</v>
      </c>
      <c r="AC28" s="116">
        <f t="shared" si="9"/>
        <v>0</v>
      </c>
      <c r="AD28" s="116">
        <f t="shared" si="9"/>
        <v>0</v>
      </c>
      <c r="AE28" s="116">
        <f t="shared" si="9"/>
        <v>0</v>
      </c>
      <c r="AF28" s="116">
        <f t="shared" si="9"/>
        <v>0</v>
      </c>
      <c r="AG28" s="116">
        <f t="shared" si="9"/>
        <v>0</v>
      </c>
      <c r="AH28" s="116">
        <f t="shared" si="9"/>
        <v>0</v>
      </c>
      <c r="AI28" s="116">
        <f t="shared" si="9"/>
        <v>0</v>
      </c>
      <c r="AJ28" s="116">
        <f t="shared" si="9"/>
        <v>0</v>
      </c>
      <c r="AK28" s="116">
        <f t="shared" si="9"/>
        <v>0</v>
      </c>
      <c r="AL28" s="116">
        <f t="shared" si="9"/>
        <v>0</v>
      </c>
      <c r="AM28" s="116">
        <f t="shared" si="9"/>
        <v>0</v>
      </c>
      <c r="AN28" s="116">
        <f t="shared" si="15"/>
        <v>0</v>
      </c>
      <c r="AO28" s="116">
        <f t="shared" si="15"/>
        <v>0</v>
      </c>
      <c r="AP28" s="116">
        <f t="shared" si="15"/>
        <v>0</v>
      </c>
      <c r="AQ28" s="116">
        <f t="shared" si="15"/>
        <v>0</v>
      </c>
      <c r="AR28" s="116">
        <f t="shared" si="15"/>
        <v>0</v>
      </c>
      <c r="AS28" s="116">
        <f t="shared" si="15"/>
        <v>0</v>
      </c>
    </row>
    <row r="29" spans="1:256" s="148" customFormat="1" ht="12.75">
      <c r="A29" s="142" t="s">
        <v>23</v>
      </c>
      <c r="B29" s="142" t="s">
        <v>24</v>
      </c>
      <c r="C29" s="143" t="s">
        <v>25</v>
      </c>
      <c r="D29" s="143"/>
      <c r="E29" s="143"/>
      <c r="F29" s="143" t="s">
        <v>97</v>
      </c>
      <c r="G29" s="143" t="s">
        <v>29</v>
      </c>
      <c r="H29" s="104" t="s">
        <v>30</v>
      </c>
      <c r="I29" s="104" t="s">
        <v>31</v>
      </c>
      <c r="J29" s="143" t="s">
        <v>32</v>
      </c>
      <c r="K29" s="144" t="s">
        <v>33</v>
      </c>
      <c r="L29" s="144" t="s">
        <v>34</v>
      </c>
      <c r="M29" s="144" t="s">
        <v>35</v>
      </c>
      <c r="N29" s="144" t="s">
        <v>36</v>
      </c>
      <c r="O29" s="144" t="s">
        <v>37</v>
      </c>
      <c r="P29" s="145" t="s">
        <v>38</v>
      </c>
      <c r="Q29" s="144" t="s">
        <v>39</v>
      </c>
      <c r="R29" s="146" t="s">
        <v>40</v>
      </c>
      <c r="S29" s="146" t="s">
        <v>41</v>
      </c>
      <c r="T29" s="146" t="s">
        <v>42</v>
      </c>
      <c r="U29" s="146" t="s">
        <v>43</v>
      </c>
      <c r="V29" s="146" t="s">
        <v>44</v>
      </c>
      <c r="W29" s="146" t="s">
        <v>45</v>
      </c>
      <c r="X29" s="146" t="s">
        <v>46</v>
      </c>
      <c r="Y29" s="146" t="s">
        <v>47</v>
      </c>
      <c r="Z29" s="146" t="s">
        <v>48</v>
      </c>
      <c r="AA29" s="146" t="s">
        <v>49</v>
      </c>
      <c r="AB29" s="146" t="s">
        <v>50</v>
      </c>
      <c r="AC29" s="146" t="s">
        <v>51</v>
      </c>
      <c r="AD29" s="146" t="s">
        <v>52</v>
      </c>
      <c r="AE29" s="146" t="s">
        <v>53</v>
      </c>
      <c r="AF29" s="146" t="s">
        <v>54</v>
      </c>
      <c r="AG29" s="146" t="s">
        <v>55</v>
      </c>
      <c r="AH29" s="146" t="s">
        <v>56</v>
      </c>
      <c r="AI29" s="146" t="s">
        <v>57</v>
      </c>
      <c r="AJ29" s="146" t="s">
        <v>58</v>
      </c>
      <c r="AK29" s="146" t="s">
        <v>59</v>
      </c>
      <c r="AL29" s="146" t="s">
        <v>60</v>
      </c>
      <c r="AM29" s="146" t="s">
        <v>61</v>
      </c>
      <c r="AN29" s="146" t="s">
        <v>62</v>
      </c>
      <c r="AO29" s="146" t="s">
        <v>63</v>
      </c>
      <c r="AP29" s="146" t="s">
        <v>64</v>
      </c>
      <c r="AQ29" s="146" t="s">
        <v>65</v>
      </c>
      <c r="AR29" s="146" t="s">
        <v>66</v>
      </c>
      <c r="AS29" s="146" t="s">
        <v>67</v>
      </c>
      <c r="AT29" s="147"/>
      <c r="IQ29" s="85"/>
      <c r="IR29" s="85"/>
      <c r="IS29" s="85"/>
      <c r="IT29" s="85"/>
      <c r="IU29" s="85"/>
      <c r="IV29" s="85"/>
    </row>
    <row r="30" spans="1:45" ht="23.25">
      <c r="A30" s="111">
        <v>13</v>
      </c>
      <c r="B30" s="112" t="s">
        <v>98</v>
      </c>
      <c r="C30" s="138">
        <v>17038486</v>
      </c>
      <c r="D30" s="138"/>
      <c r="E30" s="138">
        <v>17038486</v>
      </c>
      <c r="F30" s="138">
        <v>10490786</v>
      </c>
      <c r="G30" s="138">
        <v>6731686</v>
      </c>
      <c r="H30" s="119">
        <v>2000000</v>
      </c>
      <c r="I30" s="119">
        <v>800000</v>
      </c>
      <c r="J30" s="138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49">
        <v>0</v>
      </c>
      <c r="Q30" s="127"/>
      <c r="R30" s="128"/>
      <c r="S30" s="128"/>
      <c r="T30" s="128"/>
      <c r="U30" s="128"/>
      <c r="V30" s="128"/>
      <c r="W30" s="128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</row>
    <row r="31" spans="1:45" ht="12.75">
      <c r="A31" s="117" t="s">
        <v>69</v>
      </c>
      <c r="B31" s="123" t="s">
        <v>99</v>
      </c>
      <c r="C31" s="150"/>
      <c r="D31" s="150"/>
      <c r="E31" s="150"/>
      <c r="F31" s="151"/>
      <c r="G31" s="151"/>
      <c r="H31" s="151"/>
      <c r="I31" s="151"/>
      <c r="J31" s="151"/>
      <c r="K31" s="152"/>
      <c r="L31" s="152"/>
      <c r="M31" s="152"/>
      <c r="N31" s="152"/>
      <c r="O31" s="152"/>
      <c r="P31" s="153"/>
      <c r="Q31" s="154"/>
      <c r="R31" s="116"/>
      <c r="S31" s="116"/>
      <c r="T31" s="116"/>
      <c r="U31" s="116"/>
      <c r="V31" s="116"/>
      <c r="W31" s="116"/>
      <c r="X31" s="116">
        <f aca="true" t="shared" si="20" ref="X31:AM49">W31*1.005</f>
        <v>0</v>
      </c>
      <c r="Y31" s="116">
        <f t="shared" si="20"/>
        <v>0</v>
      </c>
      <c r="Z31" s="116">
        <f t="shared" si="20"/>
        <v>0</v>
      </c>
      <c r="AA31" s="116">
        <f t="shared" si="20"/>
        <v>0</v>
      </c>
      <c r="AB31" s="116">
        <f t="shared" si="20"/>
        <v>0</v>
      </c>
      <c r="AC31" s="116">
        <f t="shared" si="20"/>
        <v>0</v>
      </c>
      <c r="AD31" s="116">
        <f t="shared" si="20"/>
        <v>0</v>
      </c>
      <c r="AE31" s="116">
        <f t="shared" si="20"/>
        <v>0</v>
      </c>
      <c r="AF31" s="116">
        <f t="shared" si="20"/>
        <v>0</v>
      </c>
      <c r="AG31" s="155">
        <f t="shared" si="20"/>
        <v>0</v>
      </c>
      <c r="AH31" s="156">
        <f t="shared" si="20"/>
        <v>0</v>
      </c>
      <c r="AI31" s="156">
        <f t="shared" si="20"/>
        <v>0</v>
      </c>
      <c r="AJ31" s="156">
        <f t="shared" si="20"/>
        <v>0</v>
      </c>
      <c r="AK31" s="156">
        <f t="shared" si="20"/>
        <v>0</v>
      </c>
      <c r="AL31" s="156">
        <f t="shared" si="20"/>
        <v>0</v>
      </c>
      <c r="AM31" s="156">
        <f t="shared" si="20"/>
        <v>0</v>
      </c>
      <c r="AN31" s="156">
        <f aca="true" t="shared" si="21" ref="AN31:AS34">AM31*1.005</f>
        <v>0</v>
      </c>
      <c r="AO31" s="156">
        <f t="shared" si="21"/>
        <v>0</v>
      </c>
      <c r="AP31" s="156">
        <f t="shared" si="21"/>
        <v>0</v>
      </c>
      <c r="AQ31" s="156">
        <f t="shared" si="21"/>
        <v>0</v>
      </c>
      <c r="AR31" s="156">
        <f t="shared" si="21"/>
        <v>0</v>
      </c>
      <c r="AS31" s="157">
        <f t="shared" si="21"/>
        <v>0</v>
      </c>
    </row>
    <row r="32" spans="1:45" ht="23.25">
      <c r="A32" s="120" t="s">
        <v>71</v>
      </c>
      <c r="B32" s="136" t="s">
        <v>100</v>
      </c>
      <c r="C32" s="151">
        <v>0</v>
      </c>
      <c r="D32" s="151"/>
      <c r="E32" s="151"/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3">
        <v>0</v>
      </c>
      <c r="Q32" s="154">
        <v>0</v>
      </c>
      <c r="R32" s="116"/>
      <c r="S32" s="116"/>
      <c r="T32" s="116"/>
      <c r="U32" s="116"/>
      <c r="V32" s="116"/>
      <c r="W32" s="116"/>
      <c r="X32" s="116">
        <f t="shared" si="20"/>
        <v>0</v>
      </c>
      <c r="Y32" s="116">
        <f t="shared" si="20"/>
        <v>0</v>
      </c>
      <c r="Z32" s="116">
        <f t="shared" si="20"/>
        <v>0</v>
      </c>
      <c r="AA32" s="116">
        <f t="shared" si="20"/>
        <v>0</v>
      </c>
      <c r="AB32" s="116">
        <f t="shared" si="20"/>
        <v>0</v>
      </c>
      <c r="AC32" s="116">
        <f t="shared" si="20"/>
        <v>0</v>
      </c>
      <c r="AD32" s="116">
        <f t="shared" si="20"/>
        <v>0</v>
      </c>
      <c r="AE32" s="116">
        <f t="shared" si="20"/>
        <v>0</v>
      </c>
      <c r="AF32" s="116">
        <f t="shared" si="20"/>
        <v>0</v>
      </c>
      <c r="AG32" s="158">
        <f t="shared" si="20"/>
        <v>0</v>
      </c>
      <c r="AH32" s="159">
        <f t="shared" si="20"/>
        <v>0</v>
      </c>
      <c r="AI32" s="159">
        <f t="shared" si="20"/>
        <v>0</v>
      </c>
      <c r="AJ32" s="159">
        <f t="shared" si="20"/>
        <v>0</v>
      </c>
      <c r="AK32" s="159">
        <f t="shared" si="20"/>
        <v>0</v>
      </c>
      <c r="AL32" s="159">
        <f t="shared" si="20"/>
        <v>0</v>
      </c>
      <c r="AM32" s="159">
        <f t="shared" si="20"/>
        <v>0</v>
      </c>
      <c r="AN32" s="159">
        <f t="shared" si="21"/>
        <v>0</v>
      </c>
      <c r="AO32" s="159">
        <f t="shared" si="21"/>
        <v>0</v>
      </c>
      <c r="AP32" s="159">
        <f t="shared" si="21"/>
        <v>0</v>
      </c>
      <c r="AQ32" s="159">
        <f t="shared" si="21"/>
        <v>0</v>
      </c>
      <c r="AR32" s="159">
        <f t="shared" si="21"/>
        <v>0</v>
      </c>
      <c r="AS32" s="160">
        <f t="shared" si="21"/>
        <v>0</v>
      </c>
    </row>
    <row r="33" spans="1:45" ht="12.75">
      <c r="A33" s="133">
        <v>14</v>
      </c>
      <c r="B33" s="161" t="s">
        <v>101</v>
      </c>
      <c r="C33" s="162"/>
      <c r="D33" s="162"/>
      <c r="E33" s="162"/>
      <c r="F33" s="162"/>
      <c r="G33" s="162"/>
      <c r="H33" s="163"/>
      <c r="I33" s="163"/>
      <c r="J33" s="162"/>
      <c r="K33" s="164"/>
      <c r="L33" s="164"/>
      <c r="M33" s="164"/>
      <c r="N33" s="164"/>
      <c r="O33" s="164"/>
      <c r="P33" s="164"/>
      <c r="Q33" s="164"/>
      <c r="R33" s="165"/>
      <c r="S33" s="165"/>
      <c r="T33" s="165"/>
      <c r="U33" s="165"/>
      <c r="V33" s="165"/>
      <c r="W33" s="165"/>
      <c r="X33" s="166">
        <v>0</v>
      </c>
      <c r="Y33" s="116">
        <f t="shared" si="20"/>
        <v>0</v>
      </c>
      <c r="Z33" s="116">
        <f t="shared" si="20"/>
        <v>0</v>
      </c>
      <c r="AA33" s="116">
        <f t="shared" si="20"/>
        <v>0</v>
      </c>
      <c r="AB33" s="116">
        <f t="shared" si="20"/>
        <v>0</v>
      </c>
      <c r="AC33" s="116">
        <f t="shared" si="20"/>
        <v>0</v>
      </c>
      <c r="AD33" s="116">
        <f t="shared" si="20"/>
        <v>0</v>
      </c>
      <c r="AE33" s="116">
        <f t="shared" si="20"/>
        <v>0</v>
      </c>
      <c r="AF33" s="116">
        <f t="shared" si="20"/>
        <v>0</v>
      </c>
      <c r="AG33" s="167">
        <f t="shared" si="20"/>
        <v>0</v>
      </c>
      <c r="AH33" s="116">
        <f t="shared" si="20"/>
        <v>0</v>
      </c>
      <c r="AI33" s="116">
        <f t="shared" si="20"/>
        <v>0</v>
      </c>
      <c r="AJ33" s="116">
        <f t="shared" si="20"/>
        <v>0</v>
      </c>
      <c r="AK33" s="116">
        <f t="shared" si="20"/>
        <v>0</v>
      </c>
      <c r="AL33" s="116">
        <f t="shared" si="20"/>
        <v>0</v>
      </c>
      <c r="AM33" s="116">
        <f t="shared" si="20"/>
        <v>0</v>
      </c>
      <c r="AN33" s="116">
        <f t="shared" si="21"/>
        <v>0</v>
      </c>
      <c r="AO33" s="116">
        <f t="shared" si="21"/>
        <v>0</v>
      </c>
      <c r="AP33" s="116">
        <f t="shared" si="21"/>
        <v>0</v>
      </c>
      <c r="AQ33" s="116">
        <f t="shared" si="21"/>
        <v>0</v>
      </c>
      <c r="AR33" s="116">
        <f t="shared" si="21"/>
        <v>0</v>
      </c>
      <c r="AS33" s="168">
        <f t="shared" si="21"/>
        <v>0</v>
      </c>
    </row>
    <row r="34" spans="1:256" s="180" customFormat="1" ht="12.75">
      <c r="A34" s="169" t="s">
        <v>102</v>
      </c>
      <c r="B34" s="170" t="s">
        <v>103</v>
      </c>
      <c r="C34" s="171">
        <v>0.1015</v>
      </c>
      <c r="D34" s="171"/>
      <c r="E34" s="171">
        <v>0.1</v>
      </c>
      <c r="F34" s="171">
        <v>0.115</v>
      </c>
      <c r="G34" s="171">
        <v>0.0649</v>
      </c>
      <c r="H34" s="172">
        <v>0.0787</v>
      </c>
      <c r="I34" s="172">
        <v>0.0026</v>
      </c>
      <c r="J34" s="171">
        <v>0.0176</v>
      </c>
      <c r="K34" s="173">
        <v>0.0019</v>
      </c>
      <c r="L34" s="173">
        <v>0.0018000000000000002</v>
      </c>
      <c r="M34" s="173">
        <v>0.0018000000000000002</v>
      </c>
      <c r="N34" s="174">
        <v>0.0016999999999999997</v>
      </c>
      <c r="O34" s="174">
        <v>0.016</v>
      </c>
      <c r="P34" s="174">
        <v>0.016</v>
      </c>
      <c r="Q34" s="174">
        <v>0.016</v>
      </c>
      <c r="R34" s="175">
        <v>0.015</v>
      </c>
      <c r="S34" s="175">
        <v>0.015</v>
      </c>
      <c r="T34" s="175">
        <v>0.015</v>
      </c>
      <c r="U34" s="175">
        <v>0.013999999999999999</v>
      </c>
      <c r="V34" s="175">
        <v>0.013999999999999999</v>
      </c>
      <c r="W34" s="175">
        <v>0.013999999999999999</v>
      </c>
      <c r="X34" s="175">
        <v>0.013999999999999999</v>
      </c>
      <c r="Y34" s="175">
        <v>0.013999999999999999</v>
      </c>
      <c r="Z34" s="175">
        <v>0.013999999999999999</v>
      </c>
      <c r="AA34" s="175">
        <v>0.012999999999999998</v>
      </c>
      <c r="AB34" s="175">
        <v>0.001</v>
      </c>
      <c r="AC34" s="175">
        <v>0.01</v>
      </c>
      <c r="AD34" s="175">
        <v>0.009000000000000001</v>
      </c>
      <c r="AE34" s="175">
        <v>0.009000000000000001</v>
      </c>
      <c r="AF34" s="175">
        <f t="shared" si="20"/>
        <v>0.009045000000000001</v>
      </c>
      <c r="AG34" s="176">
        <v>0.009000000000000001</v>
      </c>
      <c r="AH34" s="177">
        <v>0.009000000000000001</v>
      </c>
      <c r="AI34" s="177">
        <v>0.009000000000000001</v>
      </c>
      <c r="AJ34" s="177">
        <v>0.02</v>
      </c>
      <c r="AK34" s="177">
        <v>0.02</v>
      </c>
      <c r="AL34" s="177">
        <v>0.002</v>
      </c>
      <c r="AM34" s="177">
        <f t="shared" si="20"/>
        <v>0.0020099999999999996</v>
      </c>
      <c r="AN34" s="177">
        <f t="shared" si="21"/>
        <v>0.0020200499999999994</v>
      </c>
      <c r="AO34" s="177">
        <f t="shared" si="21"/>
        <v>0.002030150249999999</v>
      </c>
      <c r="AP34" s="177">
        <f t="shared" si="21"/>
        <v>0.002040301001249999</v>
      </c>
      <c r="AQ34" s="177">
        <v>0.002</v>
      </c>
      <c r="AR34" s="177">
        <v>0.002</v>
      </c>
      <c r="AS34" s="178">
        <f t="shared" si="21"/>
        <v>0.0020099999999999996</v>
      </c>
      <c r="AT34" s="179"/>
      <c r="IQ34" s="85"/>
      <c r="IR34" s="85"/>
      <c r="IS34" s="85"/>
      <c r="IT34" s="85"/>
      <c r="IU34" s="85"/>
      <c r="IV34" s="85"/>
    </row>
    <row r="35" spans="1:256" s="180" customFormat="1" ht="12.75">
      <c r="A35" s="181" t="s">
        <v>69</v>
      </c>
      <c r="B35" s="182" t="s">
        <v>104</v>
      </c>
      <c r="C35" s="171">
        <v>0.0584</v>
      </c>
      <c r="D35" s="171"/>
      <c r="E35" s="171">
        <v>0.0493</v>
      </c>
      <c r="F35" s="171">
        <v>0.057</v>
      </c>
      <c r="G35" s="171">
        <v>0.0789</v>
      </c>
      <c r="H35" s="172">
        <v>0.105</v>
      </c>
      <c r="I35" s="172">
        <v>0.1097</v>
      </c>
      <c r="J35" s="171">
        <v>0.116</v>
      </c>
      <c r="K35" s="173">
        <v>0.11910000000000001</v>
      </c>
      <c r="L35" s="173">
        <v>0.1062</v>
      </c>
      <c r="M35" s="173">
        <v>0.1027</v>
      </c>
      <c r="N35" s="173">
        <v>0.1082</v>
      </c>
      <c r="O35" s="173">
        <v>0.13920000000000002</v>
      </c>
      <c r="P35" s="174">
        <v>0.1532</v>
      </c>
      <c r="Q35" s="174" t="s">
        <v>105</v>
      </c>
      <c r="R35" s="175">
        <v>0.171</v>
      </c>
      <c r="S35" s="175">
        <v>0.1736</v>
      </c>
      <c r="T35" s="175">
        <v>0.1749</v>
      </c>
      <c r="U35" s="175">
        <v>0.1749</v>
      </c>
      <c r="V35" s="175">
        <v>0.1749</v>
      </c>
      <c r="W35" s="175">
        <v>0.1749</v>
      </c>
      <c r="X35" s="175">
        <v>0.1753</v>
      </c>
      <c r="Y35" s="175">
        <f aca="true" t="shared" si="22" ref="Y35:AS35">X35</f>
        <v>0.1753</v>
      </c>
      <c r="Z35" s="175">
        <f t="shared" si="22"/>
        <v>0.1753</v>
      </c>
      <c r="AA35" s="175">
        <f t="shared" si="22"/>
        <v>0.1753</v>
      </c>
      <c r="AB35" s="175">
        <f t="shared" si="22"/>
        <v>0.1753</v>
      </c>
      <c r="AC35" s="175">
        <f t="shared" si="22"/>
        <v>0.1753</v>
      </c>
      <c r="AD35" s="175">
        <f t="shared" si="22"/>
        <v>0.1753</v>
      </c>
      <c r="AE35" s="175">
        <f t="shared" si="22"/>
        <v>0.1753</v>
      </c>
      <c r="AF35" s="175">
        <f t="shared" si="22"/>
        <v>0.1753</v>
      </c>
      <c r="AG35" s="175">
        <f t="shared" si="22"/>
        <v>0.1753</v>
      </c>
      <c r="AH35" s="175">
        <f t="shared" si="22"/>
        <v>0.1753</v>
      </c>
      <c r="AI35" s="175">
        <f t="shared" si="22"/>
        <v>0.1753</v>
      </c>
      <c r="AJ35" s="175">
        <f t="shared" si="22"/>
        <v>0.1753</v>
      </c>
      <c r="AK35" s="175">
        <f t="shared" si="22"/>
        <v>0.1753</v>
      </c>
      <c r="AL35" s="175">
        <f t="shared" si="22"/>
        <v>0.1753</v>
      </c>
      <c r="AM35" s="175">
        <f t="shared" si="22"/>
        <v>0.1753</v>
      </c>
      <c r="AN35" s="175">
        <f t="shared" si="22"/>
        <v>0.1753</v>
      </c>
      <c r="AO35" s="175">
        <f t="shared" si="22"/>
        <v>0.1753</v>
      </c>
      <c r="AP35" s="175">
        <f t="shared" si="22"/>
        <v>0.1753</v>
      </c>
      <c r="AQ35" s="175">
        <f t="shared" si="22"/>
        <v>0.1753</v>
      </c>
      <c r="AR35" s="175">
        <f t="shared" si="22"/>
        <v>0.1753</v>
      </c>
      <c r="AS35" s="175">
        <f t="shared" si="22"/>
        <v>0.1753</v>
      </c>
      <c r="AT35" s="179"/>
      <c r="IQ35" s="85"/>
      <c r="IR35" s="85"/>
      <c r="IS35" s="85"/>
      <c r="IT35" s="85"/>
      <c r="IU35" s="85"/>
      <c r="IV35" s="85"/>
    </row>
    <row r="36" spans="1:45" ht="23.25">
      <c r="A36" s="133">
        <v>16</v>
      </c>
      <c r="B36" s="137" t="s">
        <v>106</v>
      </c>
      <c r="C36" s="183" t="s">
        <v>107</v>
      </c>
      <c r="D36" s="183"/>
      <c r="E36" s="183"/>
      <c r="F36" s="183" t="s">
        <v>107</v>
      </c>
      <c r="G36" s="183" t="s">
        <v>108</v>
      </c>
      <c r="H36" s="184" t="s">
        <v>108</v>
      </c>
      <c r="I36" s="184" t="s">
        <v>108</v>
      </c>
      <c r="J36" s="183" t="s">
        <v>108</v>
      </c>
      <c r="K36" s="185" t="s">
        <v>108</v>
      </c>
      <c r="L36" s="185" t="s">
        <v>108</v>
      </c>
      <c r="M36" s="185" t="s">
        <v>108</v>
      </c>
      <c r="N36" s="185" t="s">
        <v>108</v>
      </c>
      <c r="O36" s="185" t="s">
        <v>108</v>
      </c>
      <c r="P36" s="186" t="s">
        <v>108</v>
      </c>
      <c r="Q36" s="187" t="s">
        <v>108</v>
      </c>
      <c r="R36" s="188" t="s">
        <v>108</v>
      </c>
      <c r="S36" s="188" t="s">
        <v>108</v>
      </c>
      <c r="T36" s="188" t="s">
        <v>108</v>
      </c>
      <c r="U36" s="188" t="s">
        <v>108</v>
      </c>
      <c r="V36" s="188" t="s">
        <v>108</v>
      </c>
      <c r="W36" s="188" t="s">
        <v>108</v>
      </c>
      <c r="X36" s="188" t="s">
        <v>108</v>
      </c>
      <c r="Y36" s="188" t="s">
        <v>108</v>
      </c>
      <c r="Z36" s="188" t="s">
        <v>108</v>
      </c>
      <c r="AA36" s="188" t="s">
        <v>108</v>
      </c>
      <c r="AB36" s="188" t="s">
        <v>108</v>
      </c>
      <c r="AC36" s="188" t="s">
        <v>108</v>
      </c>
      <c r="AD36" s="188" t="s">
        <v>108</v>
      </c>
      <c r="AE36" s="188" t="s">
        <v>108</v>
      </c>
      <c r="AF36" s="188" t="s">
        <v>108</v>
      </c>
      <c r="AG36" s="188" t="s">
        <v>108</v>
      </c>
      <c r="AH36" s="188" t="s">
        <v>108</v>
      </c>
      <c r="AI36" s="188" t="s">
        <v>108</v>
      </c>
      <c r="AJ36" s="188" t="s">
        <v>108</v>
      </c>
      <c r="AK36" s="188" t="s">
        <v>108</v>
      </c>
      <c r="AL36" s="188" t="s">
        <v>108</v>
      </c>
      <c r="AM36" s="188" t="s">
        <v>108</v>
      </c>
      <c r="AN36" s="188" t="s">
        <v>108</v>
      </c>
      <c r="AO36" s="188" t="s">
        <v>108</v>
      </c>
      <c r="AP36" s="188" t="s">
        <v>108</v>
      </c>
      <c r="AQ36" s="188" t="s">
        <v>108</v>
      </c>
      <c r="AR36" s="188" t="s">
        <v>108</v>
      </c>
      <c r="AS36" s="188" t="s">
        <v>108</v>
      </c>
    </row>
    <row r="37" spans="1:45" ht="12.75">
      <c r="A37" s="133">
        <v>17</v>
      </c>
      <c r="B37" s="137" t="s">
        <v>109</v>
      </c>
      <c r="C37" s="189">
        <f aca="true" t="shared" si="23" ref="C37:AS37">+(C20-C31+C12-C13)/C5</f>
        <v>0.10146416923622167</v>
      </c>
      <c r="D37" s="189">
        <f t="shared" si="23"/>
        <v>0</v>
      </c>
      <c r="E37" s="189">
        <f t="shared" si="23"/>
        <v>0.09995570141397196</v>
      </c>
      <c r="F37" s="189">
        <f t="shared" si="23"/>
        <v>0.11503536619517676</v>
      </c>
      <c r="G37" s="189">
        <f t="shared" si="23"/>
        <v>0.06485328758573075</v>
      </c>
      <c r="H37" s="189">
        <f t="shared" si="23"/>
        <v>0.07873150307658872</v>
      </c>
      <c r="I37" s="189">
        <f t="shared" si="23"/>
        <v>0.026033416039327562</v>
      </c>
      <c r="J37" s="189">
        <f t="shared" si="23"/>
        <v>0.017596391254711272</v>
      </c>
      <c r="K37" s="190">
        <f t="shared" si="23"/>
        <v>0.001870571436381243</v>
      </c>
      <c r="L37" s="190">
        <f t="shared" si="23"/>
        <v>0.0018160530723469485</v>
      </c>
      <c r="M37" s="190">
        <f t="shared" si="23"/>
        <v>0.001772250719241665</v>
      </c>
      <c r="N37" s="190">
        <f t="shared" si="23"/>
        <v>0.0016692976414048293</v>
      </c>
      <c r="O37" s="190">
        <f t="shared" si="23"/>
        <v>0.001629015219127574</v>
      </c>
      <c r="P37" s="191">
        <f t="shared" si="23"/>
        <v>0.0015897029234114204</v>
      </c>
      <c r="Q37" s="190">
        <f t="shared" si="23"/>
        <v>0.001551337432292119</v>
      </c>
      <c r="R37" s="192">
        <f t="shared" si="23"/>
        <v>0.0015209190512667833</v>
      </c>
      <c r="S37" s="192">
        <f t="shared" si="23"/>
        <v>0.0014910971090850817</v>
      </c>
      <c r="T37" s="192">
        <f t="shared" si="23"/>
        <v>0.0014618599108677272</v>
      </c>
      <c r="U37" s="192">
        <f t="shared" si="23"/>
        <v>0.0014331959910467912</v>
      </c>
      <c r="V37" s="192">
        <f t="shared" si="23"/>
        <v>0.0014050941088694033</v>
      </c>
      <c r="W37" s="192">
        <f t="shared" si="23"/>
        <v>0.001377543243989611</v>
      </c>
      <c r="X37" s="192">
        <f t="shared" si="23"/>
        <v>0.0013699586862059826</v>
      </c>
      <c r="Y37" s="192">
        <f t="shared" si="23"/>
        <v>0.0013631429713492364</v>
      </c>
      <c r="Z37" s="192">
        <f t="shared" si="23"/>
        <v>0.0013563611655216285</v>
      </c>
      <c r="AA37" s="192">
        <f t="shared" si="23"/>
        <v>0.0009642095771815239</v>
      </c>
      <c r="AB37" s="192">
        <f t="shared" si="23"/>
        <v>0.0009594125146084816</v>
      </c>
      <c r="AC37" s="192">
        <f t="shared" si="23"/>
        <v>0.0009546393180183897</v>
      </c>
      <c r="AD37" s="192">
        <f t="shared" si="23"/>
        <v>0.0009498898686750148</v>
      </c>
      <c r="AE37" s="192">
        <f t="shared" si="23"/>
        <v>0.0009451640484328507</v>
      </c>
      <c r="AF37" s="192">
        <f t="shared" si="23"/>
        <v>0.0009404617397341799</v>
      </c>
      <c r="AG37" s="193">
        <f t="shared" si="23"/>
        <v>0.0009357828256061493</v>
      </c>
      <c r="AH37" s="192">
        <f t="shared" si="23"/>
        <v>0.0009311271896578601</v>
      </c>
      <c r="AI37" s="192">
        <f t="shared" si="23"/>
        <v>0.0009264947160774727</v>
      </c>
      <c r="AJ37" s="192">
        <f t="shared" si="23"/>
        <v>0.0002410502946999424</v>
      </c>
      <c r="AK37" s="192">
        <f t="shared" si="23"/>
        <v>0.0002398510395024303</v>
      </c>
      <c r="AL37" s="192">
        <f t="shared" si="23"/>
        <v>0.0002386577507486869</v>
      </c>
      <c r="AM37" s="192">
        <f t="shared" si="23"/>
        <v>0.00023747039875491235</v>
      </c>
      <c r="AN37" s="192">
        <f t="shared" si="23"/>
        <v>0.00023628895398498744</v>
      </c>
      <c r="AO37" s="192">
        <f t="shared" si="23"/>
        <v>0.00023511338704973876</v>
      </c>
      <c r="AP37" s="192">
        <f t="shared" si="23"/>
        <v>0.00023394366870620775</v>
      </c>
      <c r="AQ37" s="192">
        <f t="shared" si="23"/>
        <v>0.00023277976985692315</v>
      </c>
      <c r="AR37" s="192">
        <f t="shared" si="23"/>
        <v>0.00023162166154917728</v>
      </c>
      <c r="AS37" s="192">
        <f t="shared" si="23"/>
        <v>0.00023046931497430577</v>
      </c>
    </row>
    <row r="38" spans="1:45" ht="12.75">
      <c r="A38" s="133">
        <v>18</v>
      </c>
      <c r="B38" s="137" t="s">
        <v>110</v>
      </c>
      <c r="C38" s="189">
        <f>+(C30-C31)/C5</f>
        <v>0.27394576295505185</v>
      </c>
      <c r="D38" s="189">
        <f aca="true" t="shared" si="24" ref="D38:AS38">+(D30-D31)/D5</f>
        <v>0</v>
      </c>
      <c r="E38" s="189">
        <f t="shared" si="24"/>
        <v>0.2698730112480205</v>
      </c>
      <c r="F38" s="189">
        <f t="shared" si="24"/>
        <v>0.1596766973308699</v>
      </c>
      <c r="G38" s="189">
        <f t="shared" si="24"/>
        <v>0.10029566102549767</v>
      </c>
      <c r="H38" s="189">
        <f t="shared" si="24"/>
        <v>0.029211818400641257</v>
      </c>
      <c r="I38" s="189">
        <f t="shared" si="24"/>
        <v>0.011407526660423613</v>
      </c>
      <c r="J38" s="189">
        <f t="shared" si="24"/>
        <v>0</v>
      </c>
      <c r="K38" s="190">
        <f t="shared" si="24"/>
        <v>0</v>
      </c>
      <c r="L38" s="190">
        <f t="shared" si="24"/>
        <v>0</v>
      </c>
      <c r="M38" s="190">
        <f t="shared" si="24"/>
        <v>0</v>
      </c>
      <c r="N38" s="190">
        <f t="shared" si="24"/>
        <v>0</v>
      </c>
      <c r="O38" s="190">
        <f t="shared" si="24"/>
        <v>0</v>
      </c>
      <c r="P38" s="191">
        <f t="shared" si="24"/>
        <v>0</v>
      </c>
      <c r="Q38" s="190">
        <f t="shared" si="24"/>
        <v>0</v>
      </c>
      <c r="R38" s="192">
        <f t="shared" si="24"/>
        <v>0</v>
      </c>
      <c r="S38" s="192">
        <f t="shared" si="24"/>
        <v>0</v>
      </c>
      <c r="T38" s="192">
        <f t="shared" si="24"/>
        <v>0</v>
      </c>
      <c r="U38" s="192">
        <f t="shared" si="24"/>
        <v>0</v>
      </c>
      <c r="V38" s="192">
        <f t="shared" si="24"/>
        <v>0</v>
      </c>
      <c r="W38" s="192">
        <f t="shared" si="24"/>
        <v>0</v>
      </c>
      <c r="X38" s="192">
        <f t="shared" si="24"/>
        <v>0</v>
      </c>
      <c r="Y38" s="192">
        <f t="shared" si="24"/>
        <v>0</v>
      </c>
      <c r="Z38" s="192">
        <f t="shared" si="24"/>
        <v>0</v>
      </c>
      <c r="AA38" s="192">
        <f t="shared" si="24"/>
        <v>0</v>
      </c>
      <c r="AB38" s="192">
        <f t="shared" si="24"/>
        <v>0</v>
      </c>
      <c r="AC38" s="192">
        <f t="shared" si="24"/>
        <v>0</v>
      </c>
      <c r="AD38" s="192">
        <f t="shared" si="24"/>
        <v>0</v>
      </c>
      <c r="AE38" s="192">
        <f t="shared" si="24"/>
        <v>0</v>
      </c>
      <c r="AF38" s="192">
        <f t="shared" si="24"/>
        <v>0</v>
      </c>
      <c r="AG38" s="193">
        <f t="shared" si="24"/>
        <v>0</v>
      </c>
      <c r="AH38" s="192">
        <f t="shared" si="24"/>
        <v>0</v>
      </c>
      <c r="AI38" s="192">
        <f t="shared" si="24"/>
        <v>0</v>
      </c>
      <c r="AJ38" s="192">
        <f t="shared" si="24"/>
        <v>0</v>
      </c>
      <c r="AK38" s="192">
        <f t="shared" si="24"/>
        <v>0</v>
      </c>
      <c r="AL38" s="192">
        <f t="shared" si="24"/>
        <v>0</v>
      </c>
      <c r="AM38" s="192">
        <f t="shared" si="24"/>
        <v>0</v>
      </c>
      <c r="AN38" s="192">
        <f t="shared" si="24"/>
        <v>0</v>
      </c>
      <c r="AO38" s="192">
        <f t="shared" si="24"/>
        <v>0</v>
      </c>
      <c r="AP38" s="192">
        <f t="shared" si="24"/>
        <v>0</v>
      </c>
      <c r="AQ38" s="192">
        <f t="shared" si="24"/>
        <v>0</v>
      </c>
      <c r="AR38" s="192">
        <f t="shared" si="24"/>
        <v>0</v>
      </c>
      <c r="AS38" s="192">
        <f t="shared" si="24"/>
        <v>0</v>
      </c>
    </row>
    <row r="39" spans="1:45" ht="12.75">
      <c r="A39" s="133">
        <v>19</v>
      </c>
      <c r="B39" s="134" t="s">
        <v>111</v>
      </c>
      <c r="C39" s="113">
        <f aca="true" t="shared" si="25" ref="C39:AS39">+C9+C22</f>
        <v>55836426</v>
      </c>
      <c r="D39" s="113">
        <f t="shared" si="25"/>
        <v>841935</v>
      </c>
      <c r="E39" s="113">
        <f t="shared" si="25"/>
        <v>56678361</v>
      </c>
      <c r="F39" s="113">
        <f t="shared" si="25"/>
        <v>58052469</v>
      </c>
      <c r="G39" s="113">
        <f t="shared" si="25"/>
        <v>60170903</v>
      </c>
      <c r="H39" s="113">
        <f t="shared" si="25"/>
        <v>60989275</v>
      </c>
      <c r="I39" s="113">
        <f t="shared" si="25"/>
        <v>60631275</v>
      </c>
      <c r="J39" s="113">
        <f t="shared" si="25"/>
        <v>63706395</v>
      </c>
      <c r="K39" s="114">
        <f t="shared" si="25"/>
        <v>66994867</v>
      </c>
      <c r="L39" s="114">
        <f t="shared" si="25"/>
        <v>64945930</v>
      </c>
      <c r="M39" s="114">
        <f t="shared" si="25"/>
        <v>66244848.6</v>
      </c>
      <c r="N39" s="114">
        <f t="shared" si="25"/>
        <v>67569745.572</v>
      </c>
      <c r="O39" s="114">
        <f t="shared" si="25"/>
        <v>68921140.48344</v>
      </c>
      <c r="P39" s="140">
        <f t="shared" si="25"/>
        <v>70299563.29310879</v>
      </c>
      <c r="Q39" s="115">
        <f t="shared" si="25"/>
        <v>71705554.55897097</v>
      </c>
      <c r="R39" s="116">
        <f t="shared" si="25"/>
        <v>73139665.65015039</v>
      </c>
      <c r="S39" s="116">
        <f t="shared" si="25"/>
        <v>74602458.96315339</v>
      </c>
      <c r="T39" s="116">
        <f t="shared" si="25"/>
        <v>76094508.14241646</v>
      </c>
      <c r="U39" s="116">
        <f t="shared" si="25"/>
        <v>77616398.30526479</v>
      </c>
      <c r="V39" s="116">
        <f t="shared" si="25"/>
        <v>79168726.27137008</v>
      </c>
      <c r="W39" s="116">
        <f t="shared" si="25"/>
        <v>80752100.79679748</v>
      </c>
      <c r="X39" s="116">
        <f t="shared" si="25"/>
        <v>81155861.30078146</v>
      </c>
      <c r="Y39" s="116">
        <f t="shared" si="25"/>
        <v>81561640.60728535</v>
      </c>
      <c r="Z39" s="116">
        <f t="shared" si="25"/>
        <v>81969448.81032176</v>
      </c>
      <c r="AA39" s="116">
        <f t="shared" si="25"/>
        <v>82379296.05437337</v>
      </c>
      <c r="AB39" s="116">
        <f t="shared" si="25"/>
        <v>82791192.53464523</v>
      </c>
      <c r="AC39" s="116">
        <f t="shared" si="25"/>
        <v>83205148.49731845</v>
      </c>
      <c r="AD39" s="116">
        <f t="shared" si="25"/>
        <v>83621174.23980503</v>
      </c>
      <c r="AE39" s="116">
        <f t="shared" si="25"/>
        <v>84039280.11100404</v>
      </c>
      <c r="AF39" s="116">
        <f t="shared" si="25"/>
        <v>84459476.51155905</v>
      </c>
      <c r="AG39" s="194">
        <f t="shared" si="25"/>
        <v>84881773.89411683</v>
      </c>
      <c r="AH39" s="116">
        <f t="shared" si="25"/>
        <v>85306182.76358742</v>
      </c>
      <c r="AI39" s="116">
        <f t="shared" si="25"/>
        <v>85732713.67740534</v>
      </c>
      <c r="AJ39" s="116">
        <f t="shared" si="25"/>
        <v>86161377.24579236</v>
      </c>
      <c r="AK39" s="116">
        <f t="shared" si="25"/>
        <v>86592184.13202131</v>
      </c>
      <c r="AL39" s="116">
        <f t="shared" si="25"/>
        <v>87025145.0526814</v>
      </c>
      <c r="AM39" s="116">
        <f t="shared" si="25"/>
        <v>87460270.7779448</v>
      </c>
      <c r="AN39" s="116">
        <f t="shared" si="25"/>
        <v>87897572.13183452</v>
      </c>
      <c r="AO39" s="116">
        <f t="shared" si="25"/>
        <v>88337059.99249369</v>
      </c>
      <c r="AP39" s="116">
        <f t="shared" si="25"/>
        <v>88778745.29245615</v>
      </c>
      <c r="AQ39" s="116">
        <f t="shared" si="25"/>
        <v>89222639.01891842</v>
      </c>
      <c r="AR39" s="116">
        <f t="shared" si="25"/>
        <v>89668752.21401301</v>
      </c>
      <c r="AS39" s="116">
        <f t="shared" si="25"/>
        <v>90117095.97508307</v>
      </c>
    </row>
    <row r="40" spans="1:45" ht="12.75">
      <c r="A40" s="133">
        <v>20</v>
      </c>
      <c r="B40" s="134" t="s">
        <v>112</v>
      </c>
      <c r="C40" s="113">
        <f aca="true" t="shared" si="26" ref="C40:AS40">+C25+C39</f>
        <v>59466753</v>
      </c>
      <c r="D40" s="113">
        <f t="shared" si="26"/>
        <v>1731935</v>
      </c>
      <c r="E40" s="113">
        <f t="shared" si="26"/>
        <v>61198688</v>
      </c>
      <c r="F40" s="113">
        <f>+F25+F39</f>
        <v>59152469</v>
      </c>
      <c r="G40" s="113">
        <f t="shared" si="26"/>
        <v>63359317</v>
      </c>
      <c r="H40" s="113">
        <f t="shared" si="26"/>
        <v>63733754</v>
      </c>
      <c r="I40" s="113">
        <f t="shared" si="26"/>
        <v>68929137</v>
      </c>
      <c r="J40" s="113">
        <f t="shared" si="26"/>
        <v>70994039</v>
      </c>
      <c r="K40" s="114">
        <f t="shared" si="26"/>
        <v>72070490</v>
      </c>
      <c r="L40" s="114">
        <f t="shared" si="26"/>
        <v>74234064</v>
      </c>
      <c r="M40" s="114">
        <f t="shared" si="26"/>
        <v>76068808.175</v>
      </c>
      <c r="N40" s="114">
        <f t="shared" si="26"/>
        <v>80760312.994</v>
      </c>
      <c r="O40" s="114">
        <f t="shared" si="26"/>
        <v>82757360.65388</v>
      </c>
      <c r="P40" s="140">
        <f t="shared" si="26"/>
        <v>84803895.1269576</v>
      </c>
      <c r="Q40" s="115">
        <f t="shared" si="26"/>
        <v>86901145.54949676</v>
      </c>
      <c r="R40" s="116">
        <f t="shared" si="26"/>
        <v>88639168.4604867</v>
      </c>
      <c r="S40" s="116">
        <f t="shared" si="26"/>
        <v>90411951.82969642</v>
      </c>
      <c r="T40" s="116">
        <f t="shared" si="26"/>
        <v>92220190.86629035</v>
      </c>
      <c r="U40" s="116">
        <f t="shared" si="26"/>
        <v>94064594.68361616</v>
      </c>
      <c r="V40" s="116">
        <f t="shared" si="26"/>
        <v>95945886.57728848</v>
      </c>
      <c r="W40" s="116">
        <f t="shared" si="26"/>
        <v>97864804.30883425</v>
      </c>
      <c r="X40" s="116">
        <f t="shared" si="26"/>
        <v>98406617.19030114</v>
      </c>
      <c r="Y40" s="116">
        <f t="shared" si="26"/>
        <v>98898650.27625264</v>
      </c>
      <c r="Z40" s="116">
        <f t="shared" si="26"/>
        <v>99393143.52763389</v>
      </c>
      <c r="AA40" s="116">
        <f t="shared" si="26"/>
        <v>99890109.24527206</v>
      </c>
      <c r="AB40" s="116">
        <f t="shared" si="26"/>
        <v>100389559.79149841</v>
      </c>
      <c r="AC40" s="116">
        <f t="shared" si="26"/>
        <v>100891507.59045589</v>
      </c>
      <c r="AD40" s="116">
        <f t="shared" si="26"/>
        <v>101395965.12840815</v>
      </c>
      <c r="AE40" s="116">
        <f t="shared" si="26"/>
        <v>101902944.95405018</v>
      </c>
      <c r="AF40" s="116">
        <f t="shared" si="26"/>
        <v>102412459.67882042</v>
      </c>
      <c r="AG40" s="194">
        <f t="shared" si="26"/>
        <v>102924521.9772145</v>
      </c>
      <c r="AH40" s="116">
        <f t="shared" si="26"/>
        <v>103439144.58710057</v>
      </c>
      <c r="AI40" s="116">
        <f t="shared" si="26"/>
        <v>103956340.31003606</v>
      </c>
      <c r="AJ40" s="116">
        <f t="shared" si="26"/>
        <v>104476122.01158623</v>
      </c>
      <c r="AK40" s="116">
        <f t="shared" si="26"/>
        <v>104998502.62164414</v>
      </c>
      <c r="AL40" s="116">
        <f t="shared" si="26"/>
        <v>105523495.13475235</v>
      </c>
      <c r="AM40" s="116">
        <f t="shared" si="26"/>
        <v>106051112.6104261</v>
      </c>
      <c r="AN40" s="116">
        <f t="shared" si="26"/>
        <v>106581368.17347822</v>
      </c>
      <c r="AO40" s="116">
        <f t="shared" si="26"/>
        <v>107114275.0143456</v>
      </c>
      <c r="AP40" s="116">
        <f t="shared" si="26"/>
        <v>107649846.38941732</v>
      </c>
      <c r="AQ40" s="116">
        <f t="shared" si="26"/>
        <v>108188095.6213644</v>
      </c>
      <c r="AR40" s="116">
        <f t="shared" si="26"/>
        <v>108729036.09947121</v>
      </c>
      <c r="AS40" s="116">
        <f t="shared" si="26"/>
        <v>109272681.27996856</v>
      </c>
    </row>
    <row r="41" spans="1:45" ht="12.75">
      <c r="A41" s="133">
        <v>21</v>
      </c>
      <c r="B41" s="134" t="s">
        <v>113</v>
      </c>
      <c r="C41" s="113">
        <f aca="true" t="shared" si="27" ref="C41:AS41">+C5-C40</f>
        <v>2729814</v>
      </c>
      <c r="D41" s="113">
        <f t="shared" si="27"/>
        <v>-793304</v>
      </c>
      <c r="E41" s="113">
        <f t="shared" si="27"/>
        <v>1936510</v>
      </c>
      <c r="F41" s="113">
        <f t="shared" si="27"/>
        <v>6547700</v>
      </c>
      <c r="G41" s="113">
        <f t="shared" si="27"/>
        <v>3759100</v>
      </c>
      <c r="H41" s="113">
        <f t="shared" si="27"/>
        <v>4731686</v>
      </c>
      <c r="I41" s="113">
        <f t="shared" si="27"/>
        <v>1200000</v>
      </c>
      <c r="J41" s="113">
        <f t="shared" si="27"/>
        <v>800000</v>
      </c>
      <c r="K41" s="114">
        <f t="shared" si="27"/>
        <v>0</v>
      </c>
      <c r="L41" s="114">
        <f t="shared" si="27"/>
        <v>0</v>
      </c>
      <c r="M41" s="114">
        <f t="shared" si="27"/>
        <v>0</v>
      </c>
      <c r="N41" s="114">
        <f t="shared" si="27"/>
        <v>0</v>
      </c>
      <c r="O41" s="114">
        <f t="shared" si="27"/>
        <v>0</v>
      </c>
      <c r="P41" s="140">
        <f t="shared" si="27"/>
        <v>0</v>
      </c>
      <c r="Q41" s="115">
        <f t="shared" si="27"/>
        <v>0</v>
      </c>
      <c r="R41" s="116">
        <f t="shared" si="27"/>
        <v>0</v>
      </c>
      <c r="S41" s="116">
        <f t="shared" si="27"/>
        <v>0</v>
      </c>
      <c r="T41" s="116">
        <f t="shared" si="27"/>
        <v>0</v>
      </c>
      <c r="U41" s="116">
        <f t="shared" si="27"/>
        <v>0</v>
      </c>
      <c r="V41" s="116">
        <f t="shared" si="27"/>
        <v>0</v>
      </c>
      <c r="W41" s="116">
        <f t="shared" si="27"/>
        <v>0</v>
      </c>
      <c r="X41" s="116">
        <f t="shared" si="27"/>
        <v>0</v>
      </c>
      <c r="Y41" s="116">
        <f t="shared" si="27"/>
        <v>0</v>
      </c>
      <c r="Z41" s="116">
        <f t="shared" si="27"/>
        <v>0</v>
      </c>
      <c r="AA41" s="116">
        <f t="shared" si="27"/>
        <v>0</v>
      </c>
      <c r="AB41" s="116">
        <f t="shared" si="27"/>
        <v>0</v>
      </c>
      <c r="AC41" s="116">
        <f t="shared" si="27"/>
        <v>0</v>
      </c>
      <c r="AD41" s="116">
        <f t="shared" si="27"/>
        <v>0</v>
      </c>
      <c r="AE41" s="116">
        <f t="shared" si="27"/>
        <v>0</v>
      </c>
      <c r="AF41" s="116">
        <f t="shared" si="27"/>
        <v>0</v>
      </c>
      <c r="AG41" s="194">
        <f t="shared" si="27"/>
        <v>0</v>
      </c>
      <c r="AH41" s="116">
        <f t="shared" si="27"/>
        <v>0</v>
      </c>
      <c r="AI41" s="116">
        <f t="shared" si="27"/>
        <v>0</v>
      </c>
      <c r="AJ41" s="116">
        <f t="shared" si="27"/>
        <v>0</v>
      </c>
      <c r="AK41" s="116">
        <f t="shared" si="27"/>
        <v>0</v>
      </c>
      <c r="AL41" s="116">
        <f t="shared" si="27"/>
        <v>0</v>
      </c>
      <c r="AM41" s="116">
        <f t="shared" si="27"/>
        <v>0</v>
      </c>
      <c r="AN41" s="116">
        <f t="shared" si="27"/>
        <v>0</v>
      </c>
      <c r="AO41" s="116">
        <f t="shared" si="27"/>
        <v>0</v>
      </c>
      <c r="AP41" s="116">
        <f t="shared" si="27"/>
        <v>0</v>
      </c>
      <c r="AQ41" s="116">
        <f t="shared" si="27"/>
        <v>0</v>
      </c>
      <c r="AR41" s="116">
        <f t="shared" si="27"/>
        <v>0</v>
      </c>
      <c r="AS41" s="116">
        <f t="shared" si="27"/>
        <v>0</v>
      </c>
    </row>
    <row r="42" spans="1:45" ht="12.75">
      <c r="A42" s="133">
        <v>22</v>
      </c>
      <c r="B42" s="134" t="s">
        <v>114</v>
      </c>
      <c r="C42" s="113">
        <f>+C16+C18+C27</f>
        <v>2381886</v>
      </c>
      <c r="D42" s="113">
        <f aca="true" t="shared" si="28" ref="D42:E42">+D16+D18+D27</f>
        <v>793304</v>
      </c>
      <c r="E42" s="113">
        <f t="shared" si="28"/>
        <v>3175190</v>
      </c>
      <c r="F42" s="113">
        <f aca="true" t="shared" si="29" ref="F42:W42">+F18+F27+F16</f>
        <v>0</v>
      </c>
      <c r="G42" s="113">
        <f t="shared" si="29"/>
        <v>0</v>
      </c>
      <c r="H42" s="113">
        <f t="shared" si="29"/>
        <v>0</v>
      </c>
      <c r="I42" s="113">
        <f t="shared" si="29"/>
        <v>0</v>
      </c>
      <c r="J42" s="113">
        <f t="shared" si="29"/>
        <v>0</v>
      </c>
      <c r="K42" s="114">
        <f t="shared" si="29"/>
        <v>0</v>
      </c>
      <c r="L42" s="114">
        <f t="shared" si="29"/>
        <v>0</v>
      </c>
      <c r="M42" s="114">
        <f t="shared" si="29"/>
        <v>0</v>
      </c>
      <c r="N42" s="114">
        <f t="shared" si="29"/>
        <v>0</v>
      </c>
      <c r="O42" s="114">
        <f t="shared" si="29"/>
        <v>0</v>
      </c>
      <c r="P42" s="140">
        <f t="shared" si="29"/>
        <v>0</v>
      </c>
      <c r="Q42" s="127">
        <f t="shared" si="29"/>
        <v>0</v>
      </c>
      <c r="R42" s="128">
        <f t="shared" si="29"/>
        <v>0</v>
      </c>
      <c r="S42" s="128">
        <f t="shared" si="29"/>
        <v>0</v>
      </c>
      <c r="T42" s="128">
        <f t="shared" si="29"/>
        <v>0</v>
      </c>
      <c r="U42" s="128">
        <f t="shared" si="29"/>
        <v>0</v>
      </c>
      <c r="V42" s="128">
        <f t="shared" si="29"/>
        <v>0</v>
      </c>
      <c r="W42" s="128">
        <f t="shared" si="29"/>
        <v>0</v>
      </c>
      <c r="X42" s="116">
        <f t="shared" si="20"/>
        <v>0</v>
      </c>
      <c r="Y42" s="116">
        <f t="shared" si="20"/>
        <v>0</v>
      </c>
      <c r="Z42" s="116">
        <f t="shared" si="20"/>
        <v>0</v>
      </c>
      <c r="AA42" s="116">
        <f t="shared" si="20"/>
        <v>0</v>
      </c>
      <c r="AB42" s="116">
        <f t="shared" si="20"/>
        <v>0</v>
      </c>
      <c r="AC42" s="116">
        <f t="shared" si="20"/>
        <v>0</v>
      </c>
      <c r="AD42" s="116">
        <f t="shared" si="20"/>
        <v>0</v>
      </c>
      <c r="AE42" s="116">
        <f t="shared" si="20"/>
        <v>0</v>
      </c>
      <c r="AF42" s="116">
        <f t="shared" si="20"/>
        <v>0</v>
      </c>
      <c r="AG42" s="167">
        <f t="shared" si="20"/>
        <v>0</v>
      </c>
      <c r="AH42" s="116">
        <f t="shared" si="20"/>
        <v>0</v>
      </c>
      <c r="AI42" s="116">
        <f t="shared" si="20"/>
        <v>0</v>
      </c>
      <c r="AJ42" s="116">
        <f t="shared" si="20"/>
        <v>0</v>
      </c>
      <c r="AK42" s="116">
        <f t="shared" si="20"/>
        <v>0</v>
      </c>
      <c r="AL42" s="116">
        <f t="shared" si="20"/>
        <v>0</v>
      </c>
      <c r="AM42" s="116">
        <f t="shared" si="20"/>
        <v>0</v>
      </c>
      <c r="AN42" s="116">
        <f aca="true" t="shared" si="30" ref="AN42:AS42">AM42*1.005</f>
        <v>0</v>
      </c>
      <c r="AO42" s="116">
        <f t="shared" si="30"/>
        <v>0</v>
      </c>
      <c r="AP42" s="116">
        <f t="shared" si="30"/>
        <v>0</v>
      </c>
      <c r="AQ42" s="116">
        <f t="shared" si="30"/>
        <v>0</v>
      </c>
      <c r="AR42" s="116">
        <f t="shared" si="30"/>
        <v>0</v>
      </c>
      <c r="AS42" s="168">
        <f t="shared" si="30"/>
        <v>0</v>
      </c>
    </row>
    <row r="43" spans="1:45" ht="12.75">
      <c r="A43" s="133">
        <v>23</v>
      </c>
      <c r="B43" s="134" t="s">
        <v>115</v>
      </c>
      <c r="C43" s="113">
        <f aca="true" t="shared" si="31" ref="C43:AS43">+C21+C23</f>
        <v>5111700</v>
      </c>
      <c r="D43" s="113">
        <f t="shared" si="31"/>
        <v>0</v>
      </c>
      <c r="E43" s="113">
        <f t="shared" si="31"/>
        <v>5111700</v>
      </c>
      <c r="F43" s="113">
        <f t="shared" si="31"/>
        <v>6547700</v>
      </c>
      <c r="G43" s="113">
        <f t="shared" si="31"/>
        <v>3759100</v>
      </c>
      <c r="H43" s="113">
        <f t="shared" si="31"/>
        <v>4731686</v>
      </c>
      <c r="I43" s="113">
        <f t="shared" si="31"/>
        <v>1200000</v>
      </c>
      <c r="J43" s="113">
        <f t="shared" si="31"/>
        <v>800000</v>
      </c>
      <c r="K43" s="113">
        <f t="shared" si="31"/>
        <v>0</v>
      </c>
      <c r="L43" s="114">
        <f t="shared" si="31"/>
        <v>0</v>
      </c>
      <c r="M43" s="114">
        <f t="shared" si="31"/>
        <v>0</v>
      </c>
      <c r="N43" s="114">
        <f t="shared" si="31"/>
        <v>0</v>
      </c>
      <c r="O43" s="114">
        <f t="shared" si="31"/>
        <v>0</v>
      </c>
      <c r="P43" s="140">
        <f t="shared" si="31"/>
        <v>0</v>
      </c>
      <c r="Q43" s="127">
        <f t="shared" si="31"/>
        <v>0</v>
      </c>
      <c r="R43" s="128">
        <f t="shared" si="31"/>
        <v>0</v>
      </c>
      <c r="S43" s="128">
        <f t="shared" si="31"/>
        <v>0</v>
      </c>
      <c r="T43" s="128">
        <f t="shared" si="31"/>
        <v>0</v>
      </c>
      <c r="U43" s="128">
        <f t="shared" si="31"/>
        <v>0</v>
      </c>
      <c r="V43" s="128">
        <f t="shared" si="31"/>
        <v>0</v>
      </c>
      <c r="W43" s="128">
        <f t="shared" si="31"/>
        <v>0</v>
      </c>
      <c r="X43" s="128">
        <f t="shared" si="31"/>
        <v>0</v>
      </c>
      <c r="Y43" s="128">
        <f t="shared" si="31"/>
        <v>0</v>
      </c>
      <c r="Z43" s="128">
        <f t="shared" si="31"/>
        <v>0</v>
      </c>
      <c r="AA43" s="128">
        <f t="shared" si="31"/>
        <v>0</v>
      </c>
      <c r="AB43" s="128">
        <f t="shared" si="31"/>
        <v>0</v>
      </c>
      <c r="AC43" s="128">
        <f t="shared" si="31"/>
        <v>0</v>
      </c>
      <c r="AD43" s="128">
        <f t="shared" si="31"/>
        <v>0</v>
      </c>
      <c r="AE43" s="128">
        <f t="shared" si="31"/>
        <v>0</v>
      </c>
      <c r="AF43" s="128">
        <f t="shared" si="31"/>
        <v>0</v>
      </c>
      <c r="AG43" s="195">
        <f t="shared" si="31"/>
        <v>0</v>
      </c>
      <c r="AH43" s="196">
        <f t="shared" si="31"/>
        <v>0</v>
      </c>
      <c r="AI43" s="128">
        <f t="shared" si="31"/>
        <v>0</v>
      </c>
      <c r="AJ43" s="128">
        <f t="shared" si="31"/>
        <v>0</v>
      </c>
      <c r="AK43" s="128">
        <f t="shared" si="31"/>
        <v>0</v>
      </c>
      <c r="AL43" s="128">
        <f t="shared" si="31"/>
        <v>0</v>
      </c>
      <c r="AM43" s="128">
        <f t="shared" si="31"/>
        <v>0</v>
      </c>
      <c r="AN43" s="128">
        <f t="shared" si="31"/>
        <v>0</v>
      </c>
      <c r="AO43" s="128">
        <f t="shared" si="31"/>
        <v>0</v>
      </c>
      <c r="AP43" s="128">
        <f t="shared" si="31"/>
        <v>0</v>
      </c>
      <c r="AQ43" s="128">
        <f t="shared" si="31"/>
        <v>0</v>
      </c>
      <c r="AR43" s="128">
        <f t="shared" si="31"/>
        <v>0</v>
      </c>
      <c r="AS43" s="197">
        <f t="shared" si="31"/>
        <v>0</v>
      </c>
    </row>
    <row r="44" spans="1:45" ht="34.5">
      <c r="A44" s="111">
        <v>24</v>
      </c>
      <c r="B44" s="135" t="s">
        <v>116</v>
      </c>
      <c r="C44" s="113">
        <v>5111700</v>
      </c>
      <c r="D44" s="113"/>
      <c r="E44" s="113">
        <v>5111700</v>
      </c>
      <c r="F44" s="113">
        <f aca="true" t="shared" si="32" ref="F44:J44">SUM(F45:F50)</f>
        <v>6547700</v>
      </c>
      <c r="G44" s="113">
        <f t="shared" si="32"/>
        <v>3759100</v>
      </c>
      <c r="H44" s="113">
        <f t="shared" si="32"/>
        <v>4731686</v>
      </c>
      <c r="I44" s="113">
        <f t="shared" si="32"/>
        <v>1200000</v>
      </c>
      <c r="J44" s="113">
        <f t="shared" si="32"/>
        <v>800000</v>
      </c>
      <c r="K44" s="114">
        <f aca="true" t="shared" si="33" ref="K44:W44">SUM(K45:K50)</f>
        <v>0</v>
      </c>
      <c r="L44" s="114">
        <f t="shared" si="33"/>
        <v>0</v>
      </c>
      <c r="M44" s="114">
        <f t="shared" si="33"/>
        <v>0</v>
      </c>
      <c r="N44" s="114">
        <f t="shared" si="33"/>
        <v>0</v>
      </c>
      <c r="O44" s="114">
        <f t="shared" si="33"/>
        <v>0</v>
      </c>
      <c r="P44" s="140">
        <f t="shared" si="33"/>
        <v>0</v>
      </c>
      <c r="Q44" s="127">
        <f t="shared" si="33"/>
        <v>0</v>
      </c>
      <c r="R44" s="128">
        <f t="shared" si="33"/>
        <v>0</v>
      </c>
      <c r="S44" s="128">
        <f t="shared" si="33"/>
        <v>0</v>
      </c>
      <c r="T44" s="128">
        <f t="shared" si="33"/>
        <v>0</v>
      </c>
      <c r="U44" s="128">
        <f t="shared" si="33"/>
        <v>0</v>
      </c>
      <c r="V44" s="128">
        <f t="shared" si="33"/>
        <v>0</v>
      </c>
      <c r="W44" s="128">
        <f t="shared" si="33"/>
        <v>0</v>
      </c>
      <c r="X44" s="116">
        <f t="shared" si="20"/>
        <v>0</v>
      </c>
      <c r="Y44" s="116">
        <f t="shared" si="20"/>
        <v>0</v>
      </c>
      <c r="Z44" s="116">
        <f t="shared" si="20"/>
        <v>0</v>
      </c>
      <c r="AA44" s="116">
        <f t="shared" si="20"/>
        <v>0</v>
      </c>
      <c r="AB44" s="116">
        <f t="shared" si="20"/>
        <v>0</v>
      </c>
      <c r="AC44" s="116">
        <f t="shared" si="20"/>
        <v>0</v>
      </c>
      <c r="AD44" s="116">
        <f t="shared" si="20"/>
        <v>0</v>
      </c>
      <c r="AE44" s="116">
        <f t="shared" si="20"/>
        <v>0</v>
      </c>
      <c r="AF44" s="116">
        <f t="shared" si="20"/>
        <v>0</v>
      </c>
      <c r="AG44" s="167">
        <f t="shared" si="20"/>
        <v>0</v>
      </c>
      <c r="AH44" s="116">
        <f t="shared" si="20"/>
        <v>0</v>
      </c>
      <c r="AI44" s="116">
        <f t="shared" si="20"/>
        <v>0</v>
      </c>
      <c r="AJ44" s="116">
        <f t="shared" si="20"/>
        <v>0</v>
      </c>
      <c r="AK44" s="116">
        <f t="shared" si="20"/>
        <v>0</v>
      </c>
      <c r="AL44" s="116">
        <f t="shared" si="20"/>
        <v>0</v>
      </c>
      <c r="AM44" s="116">
        <f t="shared" si="20"/>
        <v>0</v>
      </c>
      <c r="AN44" s="116">
        <f aca="true" t="shared" si="34" ref="AN44:AS49">AM44*1.005</f>
        <v>0</v>
      </c>
      <c r="AO44" s="116">
        <f t="shared" si="34"/>
        <v>0</v>
      </c>
      <c r="AP44" s="116">
        <f t="shared" si="34"/>
        <v>0</v>
      </c>
      <c r="AQ44" s="116">
        <f t="shared" si="34"/>
        <v>0</v>
      </c>
      <c r="AR44" s="116">
        <f t="shared" si="34"/>
        <v>0</v>
      </c>
      <c r="AS44" s="168">
        <f t="shared" si="34"/>
        <v>0</v>
      </c>
    </row>
    <row r="45" spans="1:45" ht="12.75">
      <c r="A45" s="117" t="s">
        <v>69</v>
      </c>
      <c r="B45" s="118" t="s">
        <v>117</v>
      </c>
      <c r="C45" s="125"/>
      <c r="D45" s="125"/>
      <c r="E45" s="125">
        <v>793304</v>
      </c>
      <c r="F45" s="125"/>
      <c r="G45" s="125"/>
      <c r="H45" s="113"/>
      <c r="I45" s="113"/>
      <c r="J45" s="125"/>
      <c r="K45" s="126"/>
      <c r="L45" s="126"/>
      <c r="M45" s="126"/>
      <c r="N45" s="126"/>
      <c r="O45" s="126"/>
      <c r="P45" s="139"/>
      <c r="Q45" s="127"/>
      <c r="R45" s="128"/>
      <c r="S45" s="128"/>
      <c r="T45" s="128"/>
      <c r="U45" s="128"/>
      <c r="V45" s="128"/>
      <c r="W45" s="128"/>
      <c r="X45" s="116">
        <f t="shared" si="20"/>
        <v>0</v>
      </c>
      <c r="Y45" s="116">
        <f t="shared" si="20"/>
        <v>0</v>
      </c>
      <c r="Z45" s="116">
        <f t="shared" si="20"/>
        <v>0</v>
      </c>
      <c r="AA45" s="116">
        <f t="shared" si="20"/>
        <v>0</v>
      </c>
      <c r="AB45" s="116">
        <f t="shared" si="20"/>
        <v>0</v>
      </c>
      <c r="AC45" s="116">
        <f t="shared" si="20"/>
        <v>0</v>
      </c>
      <c r="AD45" s="116">
        <f t="shared" si="20"/>
        <v>0</v>
      </c>
      <c r="AE45" s="116">
        <f t="shared" si="20"/>
        <v>0</v>
      </c>
      <c r="AF45" s="116">
        <f t="shared" si="20"/>
        <v>0</v>
      </c>
      <c r="AG45" s="167">
        <f t="shared" si="20"/>
        <v>0</v>
      </c>
      <c r="AH45" s="116">
        <f t="shared" si="20"/>
        <v>0</v>
      </c>
      <c r="AI45" s="116">
        <f t="shared" si="20"/>
        <v>0</v>
      </c>
      <c r="AJ45" s="116">
        <f t="shared" si="20"/>
        <v>0</v>
      </c>
      <c r="AK45" s="116">
        <f t="shared" si="20"/>
        <v>0</v>
      </c>
      <c r="AL45" s="116">
        <f t="shared" si="20"/>
        <v>0</v>
      </c>
      <c r="AM45" s="116">
        <f t="shared" si="20"/>
        <v>0</v>
      </c>
      <c r="AN45" s="116">
        <f t="shared" si="34"/>
        <v>0</v>
      </c>
      <c r="AO45" s="116">
        <f t="shared" si="34"/>
        <v>0</v>
      </c>
      <c r="AP45" s="116">
        <f t="shared" si="34"/>
        <v>0</v>
      </c>
      <c r="AQ45" s="116">
        <f t="shared" si="34"/>
        <v>0</v>
      </c>
      <c r="AR45" s="116">
        <f t="shared" si="34"/>
        <v>0</v>
      </c>
      <c r="AS45" s="168">
        <f t="shared" si="34"/>
        <v>0</v>
      </c>
    </row>
    <row r="46" spans="1:45" ht="12.75">
      <c r="A46" s="117" t="s">
        <v>71</v>
      </c>
      <c r="B46" s="118" t="s">
        <v>118</v>
      </c>
      <c r="C46" s="125"/>
      <c r="D46" s="125"/>
      <c r="E46" s="125"/>
      <c r="F46" s="125"/>
      <c r="G46" s="125"/>
      <c r="H46" s="113"/>
      <c r="I46" s="113"/>
      <c r="J46" s="125"/>
      <c r="K46" s="126"/>
      <c r="L46" s="126"/>
      <c r="M46" s="126"/>
      <c r="N46" s="126"/>
      <c r="O46" s="126"/>
      <c r="P46" s="139"/>
      <c r="Q46" s="127"/>
      <c r="R46" s="128"/>
      <c r="S46" s="128"/>
      <c r="T46" s="128"/>
      <c r="U46" s="128"/>
      <c r="V46" s="128"/>
      <c r="W46" s="128"/>
      <c r="X46" s="116">
        <f t="shared" si="20"/>
        <v>0</v>
      </c>
      <c r="Y46" s="116">
        <f t="shared" si="20"/>
        <v>0</v>
      </c>
      <c r="Z46" s="116">
        <f t="shared" si="20"/>
        <v>0</v>
      </c>
      <c r="AA46" s="116">
        <f t="shared" si="20"/>
        <v>0</v>
      </c>
      <c r="AB46" s="116">
        <f t="shared" si="20"/>
        <v>0</v>
      </c>
      <c r="AC46" s="116">
        <f t="shared" si="20"/>
        <v>0</v>
      </c>
      <c r="AD46" s="116">
        <f t="shared" si="20"/>
        <v>0</v>
      </c>
      <c r="AE46" s="116">
        <f t="shared" si="20"/>
        <v>0</v>
      </c>
      <c r="AF46" s="116">
        <f t="shared" si="20"/>
        <v>0</v>
      </c>
      <c r="AG46" s="167">
        <f t="shared" si="20"/>
        <v>0</v>
      </c>
      <c r="AH46" s="116">
        <f t="shared" si="20"/>
        <v>0</v>
      </c>
      <c r="AI46" s="116">
        <f t="shared" si="20"/>
        <v>0</v>
      </c>
      <c r="AJ46" s="116">
        <f t="shared" si="20"/>
        <v>0</v>
      </c>
      <c r="AK46" s="116">
        <f t="shared" si="20"/>
        <v>0</v>
      </c>
      <c r="AL46" s="116">
        <f t="shared" si="20"/>
        <v>0</v>
      </c>
      <c r="AM46" s="116">
        <f t="shared" si="20"/>
        <v>0</v>
      </c>
      <c r="AN46" s="116">
        <f t="shared" si="34"/>
        <v>0</v>
      </c>
      <c r="AO46" s="116">
        <f t="shared" si="34"/>
        <v>0</v>
      </c>
      <c r="AP46" s="116">
        <f t="shared" si="34"/>
        <v>0</v>
      </c>
      <c r="AQ46" s="116">
        <f t="shared" si="34"/>
        <v>0</v>
      </c>
      <c r="AR46" s="116">
        <f t="shared" si="34"/>
        <v>0</v>
      </c>
      <c r="AS46" s="168">
        <f t="shared" si="34"/>
        <v>0</v>
      </c>
    </row>
    <row r="47" spans="1:48" ht="12.75">
      <c r="A47" s="117" t="s">
        <v>73</v>
      </c>
      <c r="B47" s="118" t="s">
        <v>119</v>
      </c>
      <c r="C47" s="113">
        <v>2381886</v>
      </c>
      <c r="D47" s="113"/>
      <c r="E47" s="113">
        <v>2381886</v>
      </c>
      <c r="F47" s="125">
        <v>0</v>
      </c>
      <c r="G47" s="125">
        <v>0</v>
      </c>
      <c r="H47" s="113">
        <v>0</v>
      </c>
      <c r="I47" s="113">
        <v>0</v>
      </c>
      <c r="J47" s="125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39">
        <v>0</v>
      </c>
      <c r="Q47" s="127">
        <f aca="true" t="shared" si="35" ref="Q47:AS47">Q21</f>
        <v>0</v>
      </c>
      <c r="R47" s="128">
        <f t="shared" si="35"/>
        <v>0</v>
      </c>
      <c r="S47" s="128">
        <f t="shared" si="35"/>
        <v>0</v>
      </c>
      <c r="T47" s="128">
        <f t="shared" si="35"/>
        <v>0</v>
      </c>
      <c r="U47" s="128">
        <f t="shared" si="35"/>
        <v>0</v>
      </c>
      <c r="V47" s="128">
        <f t="shared" si="35"/>
        <v>0</v>
      </c>
      <c r="W47" s="128">
        <f t="shared" si="35"/>
        <v>0</v>
      </c>
      <c r="X47" s="128">
        <f t="shared" si="35"/>
        <v>0</v>
      </c>
      <c r="Y47" s="128">
        <f t="shared" si="35"/>
        <v>0</v>
      </c>
      <c r="Z47" s="128">
        <f t="shared" si="35"/>
        <v>0</v>
      </c>
      <c r="AA47" s="128">
        <f t="shared" si="35"/>
        <v>0</v>
      </c>
      <c r="AB47" s="128">
        <f t="shared" si="35"/>
        <v>0</v>
      </c>
      <c r="AC47" s="128">
        <f t="shared" si="35"/>
        <v>0</v>
      </c>
      <c r="AD47" s="128">
        <f t="shared" si="35"/>
        <v>0</v>
      </c>
      <c r="AE47" s="128">
        <f t="shared" si="35"/>
        <v>0</v>
      </c>
      <c r="AF47" s="128">
        <f t="shared" si="35"/>
        <v>0</v>
      </c>
      <c r="AG47" s="198">
        <f t="shared" si="35"/>
        <v>0</v>
      </c>
      <c r="AH47" s="199">
        <f t="shared" si="35"/>
        <v>0</v>
      </c>
      <c r="AI47" s="199">
        <f t="shared" si="35"/>
        <v>0</v>
      </c>
      <c r="AJ47" s="199">
        <f t="shared" si="35"/>
        <v>0</v>
      </c>
      <c r="AK47" s="199">
        <f t="shared" si="35"/>
        <v>0</v>
      </c>
      <c r="AL47" s="199">
        <f t="shared" si="35"/>
        <v>0</v>
      </c>
      <c r="AM47" s="199">
        <f t="shared" si="35"/>
        <v>0</v>
      </c>
      <c r="AN47" s="199">
        <f t="shared" si="35"/>
        <v>0</v>
      </c>
      <c r="AO47" s="199">
        <f t="shared" si="35"/>
        <v>0</v>
      </c>
      <c r="AP47" s="199">
        <f t="shared" si="35"/>
        <v>0</v>
      </c>
      <c r="AQ47" s="199">
        <f t="shared" si="35"/>
        <v>0</v>
      </c>
      <c r="AR47" s="199">
        <f t="shared" si="35"/>
        <v>0</v>
      </c>
      <c r="AS47" s="200">
        <f t="shared" si="35"/>
        <v>0</v>
      </c>
      <c r="AV47" s="85">
        <v>0.3119</v>
      </c>
    </row>
    <row r="48" spans="1:48" ht="12.75">
      <c r="A48" s="117" t="s">
        <v>79</v>
      </c>
      <c r="B48" s="118" t="s">
        <v>120</v>
      </c>
      <c r="C48" s="125"/>
      <c r="D48" s="125"/>
      <c r="E48" s="125"/>
      <c r="F48" s="125"/>
      <c r="G48" s="125"/>
      <c r="H48" s="113"/>
      <c r="I48" s="113"/>
      <c r="J48" s="125"/>
      <c r="K48" s="126"/>
      <c r="L48" s="126"/>
      <c r="M48" s="126"/>
      <c r="N48" s="126"/>
      <c r="O48" s="126"/>
      <c r="P48" s="139"/>
      <c r="Q48" s="127"/>
      <c r="R48" s="128"/>
      <c r="S48" s="128"/>
      <c r="T48" s="128"/>
      <c r="U48" s="128"/>
      <c r="V48" s="128"/>
      <c r="W48" s="128"/>
      <c r="X48" s="116">
        <f t="shared" si="20"/>
        <v>0</v>
      </c>
      <c r="Y48" s="116">
        <f t="shared" si="20"/>
        <v>0</v>
      </c>
      <c r="Z48" s="116">
        <f t="shared" si="20"/>
        <v>0</v>
      </c>
      <c r="AA48" s="116">
        <f t="shared" si="20"/>
        <v>0</v>
      </c>
      <c r="AB48" s="116">
        <f t="shared" si="20"/>
        <v>0</v>
      </c>
      <c r="AC48" s="116">
        <f t="shared" si="20"/>
        <v>0</v>
      </c>
      <c r="AD48" s="116">
        <f t="shared" si="20"/>
        <v>0</v>
      </c>
      <c r="AE48" s="116">
        <f t="shared" si="20"/>
        <v>0</v>
      </c>
      <c r="AF48" s="116">
        <f t="shared" si="20"/>
        <v>0</v>
      </c>
      <c r="AG48" s="167">
        <f t="shared" si="20"/>
        <v>0</v>
      </c>
      <c r="AH48" s="116">
        <f t="shared" si="20"/>
        <v>0</v>
      </c>
      <c r="AI48" s="116">
        <f t="shared" si="20"/>
        <v>0</v>
      </c>
      <c r="AJ48" s="116">
        <f t="shared" si="20"/>
        <v>0</v>
      </c>
      <c r="AK48" s="116">
        <f t="shared" si="20"/>
        <v>0</v>
      </c>
      <c r="AL48" s="116">
        <f t="shared" si="20"/>
        <v>0</v>
      </c>
      <c r="AM48" s="116">
        <f t="shared" si="20"/>
        <v>0</v>
      </c>
      <c r="AN48" s="116">
        <f t="shared" si="34"/>
        <v>0</v>
      </c>
      <c r="AO48" s="116">
        <f t="shared" si="34"/>
        <v>0</v>
      </c>
      <c r="AP48" s="116">
        <f t="shared" si="34"/>
        <v>0</v>
      </c>
      <c r="AQ48" s="116">
        <f t="shared" si="34"/>
        <v>0</v>
      </c>
      <c r="AR48" s="116">
        <f t="shared" si="34"/>
        <v>0</v>
      </c>
      <c r="AS48" s="168">
        <f t="shared" si="34"/>
        <v>0</v>
      </c>
      <c r="AV48" s="85">
        <v>0.1494</v>
      </c>
    </row>
    <row r="49" spans="1:48" ht="12.75">
      <c r="A49" s="117" t="s">
        <v>81</v>
      </c>
      <c r="B49" s="118" t="s">
        <v>121</v>
      </c>
      <c r="C49" s="125"/>
      <c r="D49" s="125"/>
      <c r="E49" s="125"/>
      <c r="F49" s="125"/>
      <c r="G49" s="125"/>
      <c r="H49" s="113"/>
      <c r="I49" s="113"/>
      <c r="J49" s="125"/>
      <c r="K49" s="126"/>
      <c r="L49" s="126"/>
      <c r="M49" s="126"/>
      <c r="N49" s="126"/>
      <c r="O49" s="126"/>
      <c r="P49" s="139"/>
      <c r="Q49" s="127"/>
      <c r="R49" s="128"/>
      <c r="S49" s="128"/>
      <c r="T49" s="128"/>
      <c r="U49" s="128"/>
      <c r="V49" s="128"/>
      <c r="W49" s="128"/>
      <c r="X49" s="116">
        <f t="shared" si="20"/>
        <v>0</v>
      </c>
      <c r="Y49" s="116">
        <f t="shared" si="20"/>
        <v>0</v>
      </c>
      <c r="Z49" s="116">
        <f t="shared" si="20"/>
        <v>0</v>
      </c>
      <c r="AA49" s="116">
        <f t="shared" si="20"/>
        <v>0</v>
      </c>
      <c r="AB49" s="116">
        <f t="shared" si="20"/>
        <v>0</v>
      </c>
      <c r="AC49" s="116">
        <f t="shared" si="20"/>
        <v>0</v>
      </c>
      <c r="AD49" s="116">
        <f t="shared" si="20"/>
        <v>0</v>
      </c>
      <c r="AE49" s="116">
        <f t="shared" si="20"/>
        <v>0</v>
      </c>
      <c r="AF49" s="116">
        <f t="shared" si="20"/>
        <v>0</v>
      </c>
      <c r="AG49" s="167">
        <f t="shared" si="20"/>
        <v>0</v>
      </c>
      <c r="AH49" s="116">
        <f t="shared" si="20"/>
        <v>0</v>
      </c>
      <c r="AI49" s="116">
        <f t="shared" si="20"/>
        <v>0</v>
      </c>
      <c r="AJ49" s="116">
        <f t="shared" si="20"/>
        <v>0</v>
      </c>
      <c r="AK49" s="116">
        <f t="shared" si="20"/>
        <v>0</v>
      </c>
      <c r="AL49" s="116">
        <f t="shared" si="20"/>
        <v>0</v>
      </c>
      <c r="AM49" s="116">
        <f t="shared" si="20"/>
        <v>0</v>
      </c>
      <c r="AN49" s="116">
        <f t="shared" si="34"/>
        <v>0</v>
      </c>
      <c r="AO49" s="116">
        <f t="shared" si="34"/>
        <v>0</v>
      </c>
      <c r="AP49" s="116">
        <f t="shared" si="34"/>
        <v>0</v>
      </c>
      <c r="AQ49" s="116">
        <f t="shared" si="34"/>
        <v>0</v>
      </c>
      <c r="AR49" s="116">
        <f t="shared" si="34"/>
        <v>0</v>
      </c>
      <c r="AS49" s="168">
        <f t="shared" si="34"/>
        <v>0</v>
      </c>
      <c r="AV49" s="85">
        <v>0.006500000000000001</v>
      </c>
    </row>
    <row r="50" spans="1:48" ht="12.75">
      <c r="A50" s="120" t="s">
        <v>122</v>
      </c>
      <c r="B50" s="121" t="s">
        <v>123</v>
      </c>
      <c r="C50" s="113">
        <f>C41</f>
        <v>2729814</v>
      </c>
      <c r="D50" s="113">
        <f aca="true" t="shared" si="36" ref="D50:AS50">D41</f>
        <v>-793304</v>
      </c>
      <c r="E50" s="113">
        <f t="shared" si="36"/>
        <v>1936510</v>
      </c>
      <c r="F50" s="113">
        <f t="shared" si="36"/>
        <v>6547700</v>
      </c>
      <c r="G50" s="113">
        <f t="shared" si="36"/>
        <v>3759100</v>
      </c>
      <c r="H50" s="113">
        <f t="shared" si="36"/>
        <v>4731686</v>
      </c>
      <c r="I50" s="113">
        <f t="shared" si="36"/>
        <v>1200000</v>
      </c>
      <c r="J50" s="113">
        <f t="shared" si="36"/>
        <v>800000</v>
      </c>
      <c r="K50" s="114">
        <f t="shared" si="36"/>
        <v>0</v>
      </c>
      <c r="L50" s="114">
        <f t="shared" si="36"/>
        <v>0</v>
      </c>
      <c r="M50" s="114">
        <f t="shared" si="36"/>
        <v>0</v>
      </c>
      <c r="N50" s="114">
        <f t="shared" si="36"/>
        <v>0</v>
      </c>
      <c r="O50" s="114">
        <f t="shared" si="36"/>
        <v>0</v>
      </c>
      <c r="P50" s="114">
        <f t="shared" si="36"/>
        <v>0</v>
      </c>
      <c r="Q50" s="114">
        <f t="shared" si="36"/>
        <v>0</v>
      </c>
      <c r="R50" s="201">
        <f t="shared" si="36"/>
        <v>0</v>
      </c>
      <c r="S50" s="201">
        <f t="shared" si="36"/>
        <v>0</v>
      </c>
      <c r="T50" s="201">
        <f t="shared" si="36"/>
        <v>0</v>
      </c>
      <c r="U50" s="201">
        <f t="shared" si="36"/>
        <v>0</v>
      </c>
      <c r="V50" s="128">
        <f t="shared" si="36"/>
        <v>0</v>
      </c>
      <c r="W50" s="128">
        <f t="shared" si="36"/>
        <v>0</v>
      </c>
      <c r="X50" s="128">
        <f t="shared" si="36"/>
        <v>0</v>
      </c>
      <c r="Y50" s="128">
        <f t="shared" si="36"/>
        <v>0</v>
      </c>
      <c r="Z50" s="128">
        <f t="shared" si="36"/>
        <v>0</v>
      </c>
      <c r="AA50" s="128">
        <f t="shared" si="36"/>
        <v>0</v>
      </c>
      <c r="AB50" s="128">
        <f t="shared" si="36"/>
        <v>0</v>
      </c>
      <c r="AC50" s="128">
        <f t="shared" si="36"/>
        <v>0</v>
      </c>
      <c r="AD50" s="128">
        <f t="shared" si="36"/>
        <v>0</v>
      </c>
      <c r="AE50" s="128">
        <f t="shared" si="36"/>
        <v>0</v>
      </c>
      <c r="AF50" s="128">
        <f t="shared" si="36"/>
        <v>0</v>
      </c>
      <c r="AG50" s="128">
        <f t="shared" si="36"/>
        <v>0</v>
      </c>
      <c r="AH50" s="128">
        <f t="shared" si="36"/>
        <v>0</v>
      </c>
      <c r="AI50" s="128">
        <f t="shared" si="36"/>
        <v>0</v>
      </c>
      <c r="AJ50" s="128">
        <f t="shared" si="36"/>
        <v>0</v>
      </c>
      <c r="AK50" s="128">
        <f t="shared" si="36"/>
        <v>0</v>
      </c>
      <c r="AL50" s="128">
        <f t="shared" si="36"/>
        <v>0</v>
      </c>
      <c r="AM50" s="128">
        <f t="shared" si="36"/>
        <v>0</v>
      </c>
      <c r="AN50" s="128">
        <f t="shared" si="36"/>
        <v>0</v>
      </c>
      <c r="AO50" s="128">
        <f t="shared" si="36"/>
        <v>0</v>
      </c>
      <c r="AP50" s="128">
        <f t="shared" si="36"/>
        <v>0</v>
      </c>
      <c r="AQ50" s="128">
        <f t="shared" si="36"/>
        <v>0</v>
      </c>
      <c r="AR50" s="128">
        <f t="shared" si="36"/>
        <v>0</v>
      </c>
      <c r="AS50" s="128">
        <f t="shared" si="36"/>
        <v>0</v>
      </c>
      <c r="AV50" s="85">
        <f>SUM(AV47:AV49)</f>
        <v>0.4678</v>
      </c>
    </row>
    <row r="51" spans="1:45" ht="23.25">
      <c r="A51" s="202"/>
      <c r="B51" s="203" t="s">
        <v>124</v>
      </c>
      <c r="C51" s="204"/>
      <c r="D51" s="204"/>
      <c r="E51" s="204"/>
      <c r="F51" s="204"/>
      <c r="G51" s="204"/>
      <c r="H51" s="150"/>
      <c r="I51" s="150"/>
      <c r="J51" s="204"/>
      <c r="K51" s="204"/>
      <c r="L51" s="204"/>
      <c r="M51" s="204"/>
      <c r="N51" s="204"/>
      <c r="O51" s="204"/>
      <c r="P51" s="205"/>
      <c r="Q51" s="206"/>
      <c r="R51" s="207"/>
      <c r="S51" s="207"/>
      <c r="T51" s="207"/>
      <c r="U51" s="207"/>
      <c r="V51" s="207"/>
      <c r="W51" s="207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</row>
    <row r="52" spans="1:45" ht="12">
      <c r="A52" s="209"/>
      <c r="B52" s="210" t="s">
        <v>125</v>
      </c>
      <c r="C52" s="211"/>
      <c r="D52" s="211"/>
      <c r="E52" s="211"/>
      <c r="F52" s="211"/>
      <c r="G52" s="211"/>
      <c r="H52" s="151"/>
      <c r="I52" s="151"/>
      <c r="J52" s="211"/>
      <c r="K52" s="211"/>
      <c r="L52" s="211"/>
      <c r="M52" s="211"/>
      <c r="N52" s="211"/>
      <c r="O52" s="211"/>
      <c r="P52" s="212"/>
      <c r="Q52" s="213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</row>
    <row r="53" spans="1:45" ht="11.25">
      <c r="A53" s="214"/>
      <c r="B53" s="215"/>
      <c r="C53" s="216"/>
      <c r="D53" s="216"/>
      <c r="E53" s="216"/>
      <c r="F53" s="216"/>
      <c r="G53" s="216"/>
      <c r="H53" s="217"/>
      <c r="I53" s="217"/>
      <c r="J53" s="216"/>
      <c r="K53" s="216"/>
      <c r="L53" s="216"/>
      <c r="M53" s="216"/>
      <c r="N53" s="216"/>
      <c r="O53" s="216"/>
      <c r="P53" s="218"/>
      <c r="Q53" s="219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</row>
    <row r="54" spans="3:45" ht="11.25">
      <c r="C54" s="95"/>
      <c r="D54" s="95"/>
      <c r="E54" s="95"/>
      <c r="F54" s="95"/>
      <c r="G54" s="95"/>
      <c r="H54" s="95"/>
      <c r="I54" s="95"/>
      <c r="J54" s="95"/>
      <c r="K54" s="216"/>
      <c r="L54" s="216"/>
      <c r="M54" s="216"/>
      <c r="N54" s="216"/>
      <c r="O54" s="216"/>
      <c r="P54" s="216"/>
      <c r="Q54" s="216"/>
      <c r="R54" s="221"/>
      <c r="S54" s="221"/>
      <c r="T54" s="221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</row>
    <row r="55" spans="3:45" ht="11.25">
      <c r="C55" s="222"/>
      <c r="D55" s="222"/>
      <c r="E55" s="222"/>
      <c r="F55" s="222"/>
      <c r="G55" s="222"/>
      <c r="H55" s="222"/>
      <c r="I55" s="222"/>
      <c r="J55" s="222"/>
      <c r="K55" s="222"/>
      <c r="L55" s="216"/>
      <c r="M55" s="216"/>
      <c r="N55" s="216"/>
      <c r="O55" s="216"/>
      <c r="P55" s="218"/>
      <c r="Q55" s="219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</row>
    <row r="56" spans="3:45" ht="11.25">
      <c r="C56" s="222"/>
      <c r="D56" s="222"/>
      <c r="E56" s="222"/>
      <c r="K56" s="216"/>
      <c r="L56" s="216"/>
      <c r="M56" s="216"/>
      <c r="N56" s="216"/>
      <c r="O56" s="216"/>
      <c r="P56" s="218"/>
      <c r="Q56" s="219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</row>
    <row r="57" spans="3:45" ht="11.25">
      <c r="C57" s="223"/>
      <c r="D57" s="223"/>
      <c r="E57" s="223"/>
      <c r="F57" s="96"/>
      <c r="K57" s="216"/>
      <c r="L57" s="216"/>
      <c r="M57" s="216"/>
      <c r="N57" s="216"/>
      <c r="O57" s="216"/>
      <c r="P57" s="218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</row>
    <row r="58" spans="3:45" ht="11.25">
      <c r="C58" s="96"/>
      <c r="D58" s="96"/>
      <c r="E58" s="96"/>
      <c r="F58" s="96"/>
      <c r="K58" s="216"/>
      <c r="L58" s="216"/>
      <c r="M58" s="216"/>
      <c r="N58" s="216"/>
      <c r="O58" s="216"/>
      <c r="P58" s="218"/>
      <c r="Q58" s="219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</row>
    <row r="59" spans="3:23" ht="11.25">
      <c r="C59" s="96"/>
      <c r="D59" s="96"/>
      <c r="E59" s="96"/>
      <c r="F59" s="96"/>
      <c r="K59" s="224"/>
      <c r="L59" s="224"/>
      <c r="M59" s="224"/>
      <c r="N59" s="224"/>
      <c r="O59" s="224"/>
      <c r="P59" s="224"/>
      <c r="Q59" s="225"/>
      <c r="R59" s="226"/>
      <c r="S59" s="226"/>
      <c r="T59" s="226"/>
      <c r="U59" s="226"/>
      <c r="V59" s="226"/>
      <c r="W59" s="226"/>
    </row>
    <row r="60" spans="3:6" ht="13.5">
      <c r="C60" s="96"/>
      <c r="D60" s="96"/>
      <c r="E60" s="96"/>
      <c r="F60" s="96"/>
    </row>
    <row r="61" spans="3:5" ht="13.5">
      <c r="C61" s="95"/>
      <c r="D61" s="95"/>
      <c r="E61" s="95"/>
    </row>
    <row r="62" spans="3:23" ht="12.75">
      <c r="C62" s="95"/>
      <c r="D62" s="95"/>
      <c r="E62" s="95"/>
      <c r="K62" s="227"/>
      <c r="L62" s="228"/>
      <c r="M62" s="228"/>
      <c r="N62" s="228"/>
      <c r="O62" s="228"/>
      <c r="P62" s="228"/>
      <c r="Q62" s="228"/>
      <c r="R62" s="92"/>
      <c r="S62" s="92"/>
      <c r="T62" s="92"/>
      <c r="U62" s="92"/>
      <c r="V62" s="92"/>
      <c r="W62" s="92"/>
    </row>
    <row r="63" spans="3:11" ht="13.5">
      <c r="C63" s="95"/>
      <c r="D63" s="95"/>
      <c r="E63" s="95"/>
      <c r="K63" s="229"/>
    </row>
    <row r="64" spans="3:11" ht="13.5">
      <c r="C64" s="95"/>
      <c r="D64" s="95"/>
      <c r="E64" s="95"/>
      <c r="K64" s="229"/>
    </row>
    <row r="65" spans="3:11" ht="13.5">
      <c r="C65" s="95"/>
      <c r="D65" s="95"/>
      <c r="E65" s="95"/>
      <c r="K65" s="229"/>
    </row>
    <row r="66" spans="3:11" ht="13.5">
      <c r="C66" s="95"/>
      <c r="D66" s="95"/>
      <c r="E66" s="95"/>
      <c r="K66" s="229"/>
    </row>
    <row r="67" spans="3:11" ht="13.5">
      <c r="C67" s="95"/>
      <c r="D67" s="95"/>
      <c r="E67" s="95"/>
      <c r="K67" s="229"/>
    </row>
    <row r="68" spans="3:11" ht="13.5">
      <c r="C68" s="95"/>
      <c r="D68" s="95"/>
      <c r="E68" s="95"/>
      <c r="K68" s="229"/>
    </row>
    <row r="69" ht="13.5">
      <c r="K69" s="229"/>
    </row>
    <row r="70" ht="13.5">
      <c r="K70" s="229"/>
    </row>
    <row r="71" ht="13.5">
      <c r="K71" s="229"/>
    </row>
    <row r="72" ht="13.5">
      <c r="K72" s="229"/>
    </row>
    <row r="73" ht="13.5">
      <c r="K73" s="229"/>
    </row>
    <row r="74" ht="13.5">
      <c r="K74" s="229"/>
    </row>
    <row r="75" ht="13.5">
      <c r="K75" s="229"/>
    </row>
    <row r="76" ht="13.5">
      <c r="K76" s="229"/>
    </row>
    <row r="77" ht="13.5">
      <c r="K77" s="229"/>
    </row>
  </sheetData>
  <sheetProtection selectLockedCells="1" selectUnlockedCells="1"/>
  <hyperlinks>
    <hyperlink ref="B5" r:id="rId1" display="Dochody ogółem[1], w tym: "/>
    <hyperlink ref="B9" r:id="rId2" display="Wydatki bieżące[2] (bez odsetek i prowizji od kredytów i pożyczek oraz wyemitowanych papierów wartościowych ), w tym:"/>
    <hyperlink ref="B10" r:id="rId3" display="na wynagrodzenia i składki od nich naliczane[3]"/>
    <hyperlink ref="B11" r:id="rId4" display="związane z funkcjonowaniem organów JST[4]"/>
    <hyperlink ref="B14" r:id="rId5" display="wydatki bieżące objęte limitem art. 226 ust. 4 ufp[5]"/>
    <hyperlink ref="B18" r:id="rId6" display="Inne przychody niezwiązane z zaciągnięciem długu[6]"/>
    <hyperlink ref="B25" r:id="rId7" display="Wydatki majątkowe[7],  w tym:"/>
    <hyperlink ref="B27" r:id="rId8" display="Przychody (kredyty, pożyczki, emisje obligacji)[8]"/>
    <hyperlink ref="B28" r:id="rId9" display="Wynik finansowy budżetu (9-10+11)"/>
    <hyperlink ref="B30" r:id="rId10" display="Kwota długu[10], w tym:"/>
    <hyperlink ref="B31" r:id="rId11" display="łączna kwota wyłączeń z art. 243 ust. 3 pkt 1 ufp oraz z art. 170 ust. 3 sufp[11]"/>
    <hyperlink ref="B33" r:id="rId12" display="Kwota zobowiązań związku współtworzonego przez jst przypadających do spłaty w danym roku budżetowym podlegające doliczeniu zgodnie z art. 244 ufp[12]"/>
    <hyperlink ref="B34" r:id="rId13" display="Planowana łączna kwota spłaty zobowiązań[13]"/>
    <hyperlink ref="B35" r:id="rId14" display="Maksymalny dopuszczalny wskaźnik spłaty  z art. 243 ufp[14]"/>
    <hyperlink ref="B36" r:id="rId15" display="Spełnienie wskaźnika spłaty z art. 243 ufp po uwzględnieniu art. 244 ufp [15]"/>
    <hyperlink ref="B37" r:id="rId16" display="Spłata zadłużenia/dochody ogółem (7-13a +2c –2d):1)  -max 15%  z art. 169 sufp[16]"/>
    <hyperlink ref="B38" r:id="rId17" display="Zadłużenie/dochody ogółem (13 –13a):1) - max 60% z art. 170 sufp[17]"/>
  </hyperlinks>
  <printOptions/>
  <pageMargins left="0" right="0" top="0.15763888888888888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