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ĄŁ. NR 6" sheetId="6" r:id="rId6"/>
    <sheet name="ZAŁ. NR 7" sheetId="7" r:id="rId7"/>
    <sheet name="Arkusz1" sheetId="8" r:id="rId8"/>
  </sheets>
  <definedNames>
    <definedName name="_xlnm.Print_Titles" localSheetId="0">'ZAŁ. NR 1'!$6:$6</definedName>
    <definedName name="_xlnm.Print_Titles" localSheetId="1">'ZAŁ. NR 2'!$6:$6</definedName>
    <definedName name="_xlnm.Print_Titles" localSheetId="2">'ZAŁ. NR 3'!$6:$6</definedName>
    <definedName name="_xlnm.Print_Titles" localSheetId="3">'ZAŁ. NR 4'!$6:$6</definedName>
    <definedName name="_xlnm.Print_Titles" localSheetId="4">'zał. NR 5'!$13:$13</definedName>
    <definedName name="_xlnm.Print_Titles" localSheetId="6">'ZAŁ. NR 7'!$7:$7</definedName>
    <definedName name="_xlnm.Print_Titles" localSheetId="5">'ZĄŁ. NR 6'!$6:$6</definedName>
  </definedNames>
  <calcPr fullCalcOnLoad="1"/>
</workbook>
</file>

<file path=xl/comments2.xml><?xml version="1.0" encoding="utf-8"?>
<comments xmlns="http://schemas.openxmlformats.org/spreadsheetml/2006/main">
  <authors>
    <author>izawalniak</author>
  </authors>
  <commentList>
    <comment ref="F222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25.000 Policja
5.000 poromocja MDK
40000 promocja poprzez sport
248.684 ogólna
</t>
        </r>
      </text>
    </comment>
  </commentList>
</comments>
</file>

<file path=xl/sharedStrings.xml><?xml version="1.0" encoding="utf-8"?>
<sst xmlns="http://schemas.openxmlformats.org/spreadsheetml/2006/main" count="1587" uniqueCount="540">
  <si>
    <t>dział</t>
  </si>
  <si>
    <t>rozdział</t>
  </si>
  <si>
    <t>§</t>
  </si>
  <si>
    <t>nazwa</t>
  </si>
  <si>
    <t>010</t>
  </si>
  <si>
    <t>Rolnictwo i łowiectwo</t>
  </si>
  <si>
    <t>pozostała działalność</t>
  </si>
  <si>
    <t>wpływy z innych lokalnych opłat pobieranych przez jednostki samorządu terytorialnego na podstawie odrębnych ustaw</t>
  </si>
  <si>
    <t>700</t>
  </si>
  <si>
    <t>Gospodarka mieszkaniowa</t>
  </si>
  <si>
    <t>70005</t>
  </si>
  <si>
    <t>pozostałe odsetki</t>
  </si>
  <si>
    <t>wpływy z różnych dochodów</t>
  </si>
  <si>
    <t>710</t>
  </si>
  <si>
    <t>cmentarze</t>
  </si>
  <si>
    <t>750</t>
  </si>
  <si>
    <t xml:space="preserve">Administracja publiczna </t>
  </si>
  <si>
    <t>urzędy wojewódzkie</t>
  </si>
  <si>
    <t>75023</t>
  </si>
  <si>
    <t>urzędy gmin (miast i miast na prawach powiatu)</t>
  </si>
  <si>
    <t xml:space="preserve">Urzędy naczelnych organów władzy państwowej, kontroli i ochrony prawa oraz sądownictwa </t>
  </si>
  <si>
    <t>urzędy naczelnych organów władzy państwowej, kontroli i ochrony prawa</t>
  </si>
  <si>
    <t>754</t>
  </si>
  <si>
    <t>Bezpieczeństwo publiczne i ochrona przeciwpożarowa</t>
  </si>
  <si>
    <t>75416</t>
  </si>
  <si>
    <t>straż miejska</t>
  </si>
  <si>
    <t>756</t>
  </si>
  <si>
    <t xml:space="preserve">wpływy z podatku dochodowego od osób fizycznych </t>
  </si>
  <si>
    <t>podatek od działalności gospodarczej osób fizycznych, opłacany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</si>
  <si>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</si>
  <si>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</si>
  <si>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</si>
  <si>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</si>
  <si>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</si>
  <si>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wpływy z opłaty eksploatacyjnej</t>
  </si>
  <si>
    <t>odsetki z tytułu nieterminowych wpłat z tytułu podatków i opłat</t>
  </si>
  <si>
    <t>wpływy z opłaty targowej</t>
  </si>
  <si>
    <t>podatek od czynności cywilnoprawnych</t>
  </si>
  <si>
    <t>75618</t>
  </si>
  <si>
    <t>wpływy z innych opłat stanowiących dochody jednostek samorządu terytorialnego na podstawie ustaw</t>
  </si>
  <si>
    <t>wpływy z opłaty skarbowej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</si>
  <si>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</si>
  <si>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</si>
  <si>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</si>
  <si>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</si>
  <si>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</si>
  <si>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</si>
  <si>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</si>
  <si>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</si>
  <si>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subwencje ogólne z budżetu państwa</t>
  </si>
  <si>
    <t>różne rozliczenia finansowe</t>
  </si>
  <si>
    <t>szkoły podstawowe</t>
  </si>
  <si>
    <t>gimnazja</t>
  </si>
  <si>
    <t>Ochrona zdrowia</t>
  </si>
  <si>
    <t>przeciwdziałanie alkoholizmowi</t>
  </si>
  <si>
    <t>dochody z najmu i dzierżawy składników majątkowych Skarbu Państwa, jednostek samorządu terytorialnego lub  innych jednostek zaliczanych do sektora finansów publicznych oraz innych umów o podobnym charakterze</t>
  </si>
  <si>
    <t xml:space="preserve">zasiłki i pomoc w naturze oraz składki na ubezpieczenia społeczne </t>
  </si>
  <si>
    <t>dodatki mieszkaniowe</t>
  </si>
  <si>
    <t>ośrodki pomocy społecznej</t>
  </si>
  <si>
    <t>Edukacyjna opieka wychowawcza</t>
  </si>
  <si>
    <t>świetlice szkolne</t>
  </si>
  <si>
    <t>Gospodarka komunalna i ochrona środowiska</t>
  </si>
  <si>
    <t>gospodarka ściekowa i ochrona wód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</si>
  <si>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</si>
  <si>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</si>
  <si>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</si>
  <si>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</si>
  <si>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</si>
  <si>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</si>
  <si>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 xml:space="preserve">Kultura i ochrona dziedzictwa narodowego </t>
  </si>
  <si>
    <t>01030</t>
  </si>
  <si>
    <t>izby rolnicze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</si>
  <si>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</si>
  <si>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</si>
  <si>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</si>
  <si>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</si>
  <si>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</si>
  <si>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</si>
  <si>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</si>
  <si>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</si>
  <si>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</si>
  <si>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71004</t>
  </si>
  <si>
    <t>plany zagospodarowania przestrzennego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</si>
  <si>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</si>
  <si>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</si>
  <si>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</si>
  <si>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</si>
  <si>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</si>
  <si>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</si>
  <si>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różne wydatki na rzecz osób fizycznych</t>
  </si>
  <si>
    <t>podróże służbowe krajowe</t>
  </si>
  <si>
    <t>75022</t>
  </si>
  <si>
    <t xml:space="preserve">zakup materiałów i wyposażenia </t>
  </si>
  <si>
    <t>podróże służbowe zagraniczne</t>
  </si>
  <si>
    <t>różne opłaty i składki</t>
  </si>
  <si>
    <t>zakup energii</t>
  </si>
  <si>
    <t>wydatki na zakupy inwestycyjne jednostek budżetowych</t>
  </si>
  <si>
    <t>wynagrodzenia agencyjno-prowizyjne</t>
  </si>
  <si>
    <t>Urzędy naczelnych organów władzy państwowej, kontroli i ochrony prawa oraz sądownictwa</t>
  </si>
  <si>
    <t>75412</t>
  </si>
  <si>
    <t>ochotnicze straże pożarne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</si>
  <si>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</si>
  <si>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</si>
  <si>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</si>
  <si>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</si>
  <si>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</si>
  <si>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</si>
  <si>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</si>
  <si>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</si>
  <si>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</si>
  <si>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</si>
  <si>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</si>
  <si>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</si>
  <si>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80104</t>
  </si>
  <si>
    <t>odpisy na zakłdowy fundusz świadczeń socjalnych</t>
  </si>
  <si>
    <t xml:space="preserve">80110 </t>
  </si>
  <si>
    <t>80113</t>
  </si>
  <si>
    <t>dowożenie uczniów do szkół</t>
  </si>
  <si>
    <t>851</t>
  </si>
  <si>
    <t>85154</t>
  </si>
  <si>
    <t>składki na ubezpieczenia zdrowotne</t>
  </si>
  <si>
    <t>usługi opiekuńcze i specjalistyczne usługi opiekuńcze</t>
  </si>
  <si>
    <t>854</t>
  </si>
  <si>
    <t>zakup pomocy naukowych, dydaktycznych i książek</t>
  </si>
  <si>
    <t xml:space="preserve">przedszkola </t>
  </si>
  <si>
    <t xml:space="preserve">dotacja podmiotowa z budżetu dla zakładu budżetowego </t>
  </si>
  <si>
    <t>85412</t>
  </si>
  <si>
    <t>900</t>
  </si>
  <si>
    <t>90001</t>
  </si>
  <si>
    <t>90003</t>
  </si>
  <si>
    <t>oczyszczanie miast i wsi</t>
  </si>
  <si>
    <t>90004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</si>
  <si>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</si>
  <si>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</si>
  <si>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</si>
  <si>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</si>
  <si>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</si>
  <si>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</si>
  <si>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</si>
  <si>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92118</t>
  </si>
  <si>
    <t>muzea</t>
  </si>
  <si>
    <t>926</t>
  </si>
  <si>
    <t>plan</t>
  </si>
  <si>
    <t xml:space="preserve">plan </t>
  </si>
  <si>
    <t>wpływy z różnych opłat</t>
  </si>
  <si>
    <t>opłaty na rzecz budżetu państwa</t>
  </si>
  <si>
    <t>dokształcanie i doskonalenie nauczycieli</t>
  </si>
  <si>
    <t>gospodarka gruntami i nieruchomościami</t>
  </si>
  <si>
    <t>rady gmin (miast i miast na prawach powiatu)</t>
  </si>
  <si>
    <t>dotacje celowe przekazane dla powiatu na zadania bieżące realizowane na podstawie porozumień (umów) między jednostkami samorządu terytorialnego</t>
  </si>
  <si>
    <t>domy i ośrodki kultury, świetlice i kluby</t>
  </si>
  <si>
    <t>utrzymanie zieleni w miastach i gminach</t>
  </si>
  <si>
    <t>Dochody od osób prawnych, od osób fizycznych i od innych jednostek nieposiadających osobowości prawnej oraz wydatki związane z ich poborem</t>
  </si>
  <si>
    <t>852</t>
  </si>
  <si>
    <t>85214</t>
  </si>
  <si>
    <t>85219</t>
  </si>
  <si>
    <t>85295</t>
  </si>
  <si>
    <t>kolonie i obozy  oraz inne formy wypoczynku dzieci i młodzieży szkolnej, a także szkolenia młodzieży</t>
  </si>
  <si>
    <t>0490</t>
  </si>
  <si>
    <t>0470</t>
  </si>
  <si>
    <t>0750</t>
  </si>
  <si>
    <t>0920</t>
  </si>
  <si>
    <t>0970</t>
  </si>
  <si>
    <t>0570</t>
  </si>
  <si>
    <t>0350</t>
  </si>
  <si>
    <t>0910</t>
  </si>
  <si>
    <t>0310</t>
  </si>
  <si>
    <t>0320</t>
  </si>
  <si>
    <t>0330</t>
  </si>
  <si>
    <t>0340</t>
  </si>
  <si>
    <t>0430</t>
  </si>
  <si>
    <t>0460</t>
  </si>
  <si>
    <t>0500</t>
  </si>
  <si>
    <t>0410</t>
  </si>
  <si>
    <t>0010</t>
  </si>
  <si>
    <t>0020</t>
  </si>
  <si>
    <t>0740</t>
  </si>
  <si>
    <t>0480</t>
  </si>
  <si>
    <t>2010</t>
  </si>
  <si>
    <t>zakup środków żywności</t>
  </si>
  <si>
    <t>pobór podatków, opłat i niepodatkowych należności budżetowych</t>
  </si>
  <si>
    <t>koszty postępowania sądowego i prokuratorskiego</t>
  </si>
  <si>
    <t>0690</t>
  </si>
  <si>
    <t>część wyrównawcza subwencji ogólnej dla gmin</t>
  </si>
  <si>
    <t>75807</t>
  </si>
  <si>
    <t xml:space="preserve">Pomoc społeczna </t>
  </si>
  <si>
    <t>Pomoc społeczna</t>
  </si>
  <si>
    <t>dotacja podmiotowa z budżetu dla samorządowej instytucji kultury</t>
  </si>
  <si>
    <t xml:space="preserve"> wydatki osobowe niezaliczone do wynagrodzeń</t>
  </si>
  <si>
    <t xml:space="preserve">wpływy z podatku rolnego, podatku leśnego, podatku od czynności cywilnoprawnych, podatków i opłat lokalnych od osób prawnych i innych jednostek organizacyjnych </t>
  </si>
  <si>
    <t>wynagrodzenia bezosobowe</t>
  </si>
  <si>
    <t>0830</t>
  </si>
  <si>
    <t>wpływy z usług</t>
  </si>
  <si>
    <t>wynagrodzenie bezosobowe</t>
  </si>
  <si>
    <t>zwiększenia</t>
  </si>
  <si>
    <t>zmniejszenia</t>
  </si>
  <si>
    <t>instytucje kultury fizycznej</t>
  </si>
  <si>
    <t>zakup usług zdrowotnych</t>
  </si>
  <si>
    <t>różne jednostki obsługi gospodarki mieszkaniowej</t>
  </si>
  <si>
    <t>odsetki od nieterminowych wpłat 
z tytułu podatków i opłat</t>
  </si>
  <si>
    <t xml:space="preserve">pozostała działalność </t>
  </si>
  <si>
    <t>oddziały przedszkolne w szkołach podstawowych</t>
  </si>
  <si>
    <t>promocja jednostek samorządu terytorialnego</t>
  </si>
  <si>
    <t xml:space="preserve">zasiłki i pomoc w naturze oraz składki na ubezpieczenia emerytalne i rentowe </t>
  </si>
  <si>
    <t>zakup usług dostępu do sieci Internet</t>
  </si>
  <si>
    <t>zakup usług dostepu do sieci Internet</t>
  </si>
  <si>
    <t xml:space="preserve"> </t>
  </si>
  <si>
    <t xml:space="preserve">       </t>
  </si>
  <si>
    <t xml:space="preserve">                   </t>
  </si>
  <si>
    <t>wydatki osobowe niezaliczone do wynagrodzeń</t>
  </si>
  <si>
    <t>wpływy z opłat za zarząd, użytkowanie i użytkowanie wieczyste nieruchomości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</si>
  <si>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</si>
  <si>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</si>
  <si>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dotacje celowe otrzymane z powiatu na zadania bieżące realizowane na podstawie porozumień  między jednostkami samorządu terytorialnego</t>
  </si>
  <si>
    <t>75831</t>
  </si>
  <si>
    <t>część równoważąca subwencji ogólnej dla gmin</t>
  </si>
  <si>
    <t>dotacje celowe otrzymane z budżetu państwa na realizację zadań bieżących z zakresu administracji rządowej oraz innych zadań zleconych gminie (zwiazkom gmin) ustawami</t>
  </si>
  <si>
    <t>zakup usług medycznych</t>
  </si>
  <si>
    <t>składki na fundusz pracy</t>
  </si>
  <si>
    <t>zasiłki i pomoc w naturze oraz składki na ubezpieczenia emerytalne i rentowe</t>
  </si>
  <si>
    <t>zwalczanie narkomanii</t>
  </si>
  <si>
    <t>0760</t>
  </si>
  <si>
    <t>zakup materiałów papierniczych do sprzętu drukarskiego i urządzeń kesrograficznych</t>
  </si>
  <si>
    <t>zakup akcesoriów komputerowych, w tym programów i licencji</t>
  </si>
  <si>
    <t xml:space="preserve">pomoc materialna dla uczniów </t>
  </si>
  <si>
    <t>stypendia dla uczniów</t>
  </si>
  <si>
    <t>dotacje celowe otrzymane z gminy na zadania bieżące realizowane na podstawie porozumień  (umów) między jednostkami samorządu terytorialnego</t>
  </si>
  <si>
    <t>Nazwa jednostki</t>
  </si>
  <si>
    <t>Zakres dotacji</t>
  </si>
  <si>
    <t>Gminne Przedszkola Publiczne</t>
  </si>
  <si>
    <t>prowadzenie przedszkoli</t>
  </si>
  <si>
    <t>dokształcanie i doskonalenie zawodowe nauczycieli</t>
  </si>
  <si>
    <t xml:space="preserve">Katolicka Szkoła Podstawowa im. św. Siostry Faustyny w Trzciance  </t>
  </si>
  <si>
    <t>Oddział Przedszkolny przy Katolickiej Szkole Podstawowej św. Siostry Faustyny w Trzciance</t>
  </si>
  <si>
    <t>Trzcianecki Dom Kultury</t>
  </si>
  <si>
    <t>działalność instytucji kultury</t>
  </si>
  <si>
    <t>Biblioteka Publiczna Miasta i Gminy im. Kazimiery Iłłakowiczówny</t>
  </si>
  <si>
    <t>Muzeum Ziemi Nadnoteckiej im. Wiktora Stachowiaka</t>
  </si>
  <si>
    <t xml:space="preserve">Starostwo Powiatowe </t>
  </si>
  <si>
    <t>Starostwo Powiatowe</t>
  </si>
  <si>
    <t>utrzymanie pracownika ZNP</t>
  </si>
  <si>
    <t>opłaty za administrowanie i czynsze za budynki, lokale i pomieszczenia garażowe</t>
  </si>
  <si>
    <t>01095</t>
  </si>
  <si>
    <t>0770</t>
  </si>
  <si>
    <t>wpływy z tytułu odpłatnego nabycia prawa własności oraz prawa użytkowania wieczystego nieruchomości</t>
  </si>
  <si>
    <t>wpływy z dywidend</t>
  </si>
  <si>
    <t>stołówki szkolne</t>
  </si>
  <si>
    <t>zakup leków, wyrobów medycznych i produktów biobójczych</t>
  </si>
  <si>
    <t>obiekty sportowe</t>
  </si>
  <si>
    <t>szkolenia pracowników niebędących członkami korpusu służby cywilnej</t>
  </si>
  <si>
    <t>wpływy z tytułu przekształcenia prawa użytkowania wieczystego przysługującego osobom fizycznym 
w prawo własności</t>
  </si>
  <si>
    <t>rekompensaty utraconych dochodów w podatkach
 i opłatach lokalnych</t>
  </si>
  <si>
    <t>rezerwa na inwestycje i zakupy inwestycyjne</t>
  </si>
  <si>
    <t>zakup akcesoriów komputerowych, w tym programów  i licencji</t>
  </si>
  <si>
    <t>dotacja podmiotowa z budżetu dla publicznej jednostki systemu oświaty prowadzonej przez osobe prawną inną niż jadnostka samorządu terytorialnego lub przez osobę fizyczną</t>
  </si>
  <si>
    <t>zakup usług obejmujących wykonanie ekspertyz, analiz i opinii</t>
  </si>
  <si>
    <t>prowadzenie gimnazjum</t>
  </si>
  <si>
    <t>0370</t>
  </si>
  <si>
    <t>opłata od posiadania psów</t>
  </si>
  <si>
    <t>Pozostałe zadania w zakresie polityki społecznej</t>
  </si>
  <si>
    <t xml:space="preserve">rehabilitacja zawodowa i społeczna </t>
  </si>
  <si>
    <t>ochrona zabytków i opieka nad zabytkami</t>
  </si>
  <si>
    <t>dotacje celowe z budżetu na finansowanie lub dofinansowanie prac remontowych lub konserwatorskich obiektów zabytkowych, przekazane jednostkom niezaliczonym do sektora finansów publicznych</t>
  </si>
  <si>
    <t>wydatki na zakup i objęcie akcji, wniesienie wkładów do spółek prawa handlowego oraz na uzupełnienie funduszy statutowych banków państwowych i innych instytucji finansowych</t>
  </si>
  <si>
    <t>stypendia różne</t>
  </si>
  <si>
    <t>dofinansowanie działalności Warsztatów Terapii Zajęciowej</t>
  </si>
  <si>
    <t xml:space="preserve">wpływy z podatku rolnego, podatku leśnego,podatku od spadków i darowizn, podatku od czynności cywilnoprawnych oraz podatków i opłat lokalnych od osób fizycznych </t>
  </si>
  <si>
    <t>zakup materiałów papierniczych do sprzętu drukarskiego i urządzeń kserograficznych</t>
  </si>
  <si>
    <t>składki na ubezpieczenie zdrowotne opłacane za osoby pobierające niektóre świadczenia z pomocy społecznej, niektóre świadczenia rodzinne oraz za osoby uczestniczące w zajęciach w centrum integracji społecznej</t>
  </si>
  <si>
    <t>dotacja celowa na pomoc finansową udzielaną między jednostkami samorządu terytorialnego na dofinansowanie własnych zadań bieżących</t>
  </si>
  <si>
    <t>świadczenia rodzinne, świadczenia z funduszu alimentacyjnego oraz składki na ubezpieczenia emerytalne i rentowe z ubezpieczenia społecznego</t>
  </si>
  <si>
    <t>I. Dotacje dla jednostek sektora finansów publicznych</t>
  </si>
  <si>
    <t>II. Dotacje dla jednostek spoza sektora finansów publicznych</t>
  </si>
  <si>
    <t>prowadzenie szkoły podstawowej</t>
  </si>
  <si>
    <t>prowadzenie oddziału przedszkolnego przy szkole podstawowej</t>
  </si>
  <si>
    <t>Rodzaj dotacji</t>
  </si>
  <si>
    <t>podmiotowa</t>
  </si>
  <si>
    <t>celowa</t>
  </si>
  <si>
    <t>zasiłki stałe</t>
  </si>
  <si>
    <t>01009</t>
  </si>
  <si>
    <t>Spółki wodne</t>
  </si>
  <si>
    <t>Rejonowy Związek Spółek Wodnych w Trzciance</t>
  </si>
  <si>
    <t>konserwacje i remonty rowów meliracyjnych będących własnością gminy Trzcianka</t>
  </si>
  <si>
    <t xml:space="preserve">rozbudowa gimnazjum w Siedlisku z budową sali gimnastycznej </t>
  </si>
  <si>
    <t>termomodernizacja Gimnazjum Nr 1</t>
  </si>
  <si>
    <t>termomodernizacja Szkoły Podstawowej Nr 3</t>
  </si>
  <si>
    <t>Parafia Rzymskokatolicka  pw. Trójcy Świętej w Róży Wielkiej</t>
  </si>
  <si>
    <t>prace konserwatorskie i roboty budowlane przy kościele zabytkowym p.w. Matki Bożej Królowej Polski w Łomnicy</t>
  </si>
  <si>
    <t>01041</t>
  </si>
  <si>
    <t>budowa sali przy Gimnzajum Nr 2</t>
  </si>
  <si>
    <t>PT termomodernizacji Gimnzajum Nr 2 i Szkoły Podstawowej Nr 2</t>
  </si>
  <si>
    <t>budowa chodnika w Radolinie</t>
  </si>
  <si>
    <t>przebudowa parkingu przy ul. Kościuszki I etap</t>
  </si>
  <si>
    <t>budowa zjazdów z ul. Łomnickiej na osiedla przy jez. Okunie</t>
  </si>
  <si>
    <t>wykupy nieruchomości</t>
  </si>
  <si>
    <t>zakup samochodu dla OSP Nowa Wieś</t>
  </si>
  <si>
    <t>Info Kiosk</t>
  </si>
  <si>
    <t>rezerwa na współpracę z ZDP</t>
  </si>
  <si>
    <t xml:space="preserve">wniesienie udziałów do Spółki Z.I.K. Sp. z o.o. </t>
  </si>
  <si>
    <t>budowa boiska w Białej</t>
  </si>
  <si>
    <t>budowa boiska "ORLIK"</t>
  </si>
  <si>
    <t>działalność instytucji kultury - porozumienie</t>
  </si>
  <si>
    <t>projekt i wykonanie sieci teleinformatycznej</t>
  </si>
  <si>
    <t>Program Rozwoju Obszarów Wiejskich 2007 - 2013</t>
  </si>
  <si>
    <t>rózne opłaty i składki</t>
  </si>
  <si>
    <t>Podsumowanie I i II.</t>
  </si>
  <si>
    <t>wniesienie udziałów do Spółki OSIR Sp. z o.o.</t>
  </si>
  <si>
    <t>Wydatki majątkowe - plan na 2010 rok</t>
  </si>
  <si>
    <t xml:space="preserve">Wydatki  budżetu gminy Trzcianka - plan na 2010 rok </t>
  </si>
  <si>
    <t>Dochody budżetu gminy Trzcianka - plan na 2010 rok</t>
  </si>
  <si>
    <t xml:space="preserve">Dotacje otrzymywane do budżetu - plan na 2010 rok                                    </t>
  </si>
  <si>
    <t>Wydatki związane z realizacją zadań z zakresu administracji rządowej i innych zadań zleconych ustawami - plan na 2010 rok</t>
  </si>
  <si>
    <t xml:space="preserve">Publiczne Gimnazjum Katolickie im. św. Siostry Faustyny w Trzciance  </t>
  </si>
  <si>
    <t>zakup wyparzacza do kuchni (SP Łomnica)</t>
  </si>
  <si>
    <t>dotacja celowa z budżetu na finansowanie lub dofinansowanie zadań zleconych do realizacji pozostałym jednostkom niezaliczanym do sektora finansów publicznych</t>
  </si>
  <si>
    <t>utrzymanie hali sportowo-widowiskowej przy L.O. 
w Trzciance</t>
  </si>
  <si>
    <t>zmiana</t>
  </si>
  <si>
    <t>dotacja podmiotowa z budżetu dla publicznej jednostki systemu oświaty prowadzonej przez osobę prawną inną niż jadnostka samorządu terytorialnego lub przez osobę fizyczną</t>
  </si>
  <si>
    <t>dotacja podmiotowa z budżetu dla publicznej jednostki systemu oświaty prowadzonej przez osobę prawną inną niż jednostka samorządu terytorialnego lub przez osobę fizyczną</t>
  </si>
  <si>
    <t>odsetki od samorządowych papierów wartościowych lub zaciągniętych przez jednostkę samorządu terytorialnego kredytów i pożyczek</t>
  </si>
  <si>
    <t>budowa wodociągu w Biernatowie</t>
  </si>
  <si>
    <t>budowa sieci kanalizacji sanitarnej w rejonie ulic Chrobrego, Batorego, przedłużenie ulicy Reymonta</t>
  </si>
  <si>
    <t xml:space="preserve">przebudowa drogi Żurawiec - Łomnica I </t>
  </si>
  <si>
    <t>PT budowy strażnicy OSP w Stobnie</t>
  </si>
  <si>
    <t>budowa oświetlenia w Teresinie</t>
  </si>
  <si>
    <t>budowa oświetlenia w Sarczu</t>
  </si>
  <si>
    <t>budowa drogi w Sarczu</t>
  </si>
  <si>
    <t>opracowanie koncepcji budowy pływalni przy 
Gimnazjum nr 1</t>
  </si>
  <si>
    <t>projekty techniczne dróg - ulice: Jarzębinowa, Olchowa, Jesionowa</t>
  </si>
  <si>
    <t>opracowanie koncepcji i projektu technicznego monitoringu miasta oraz montaż dwóch kamer na parkingu przy ul. Kościuszki  oraz przy Pl. Pocztowym</t>
  </si>
  <si>
    <t>rozbudowa strażnicy OSP w Białej</t>
  </si>
  <si>
    <t>PT kanalizacji deszczowej ul. Jaworowa</t>
  </si>
  <si>
    <t>PT rozbudowy cmentarza komunalnego w Trzciance</t>
  </si>
  <si>
    <t>plan po 
zmianach</t>
  </si>
  <si>
    <t>wpłaty gmin na rzecz izb rolniczych 
w wysokości 2% uzyskanych wpływów 
z podatku rolnego</t>
  </si>
  <si>
    <t>zmiany</t>
  </si>
  <si>
    <t>Załącznik Nr 1 do Zarządzenia Nr 10/10</t>
  </si>
  <si>
    <t>Burmistrza Trzcianki z dnia 4 lutego 2009 r. zmieniający</t>
  </si>
  <si>
    <t>Załącznik Nr 1 do Uchwały XXXVII/266/09</t>
  </si>
  <si>
    <t>Rady Miejskiej Trzcianki z dnia 17 grudnia 2009 r.</t>
  </si>
  <si>
    <t>Załącznik Nr 2 do Zarządzenia Nr 10/10</t>
  </si>
  <si>
    <t>Załącznik Nr 2 do Uchwały XXXVII/266/09</t>
  </si>
  <si>
    <t>Załącznik Nr 3 do Zarządzenia Nr 10/10</t>
  </si>
  <si>
    <t>Załącznik Nr 3 do Uchwały XXXVII/266/09</t>
  </si>
  <si>
    <t xml:space="preserve">Burmistrza Trzcianki z dnia 4 lutego 2010 r. </t>
  </si>
  <si>
    <t>Burmistrza Trzcianki z dnia 4 lutego 2010 r. zmieniający</t>
  </si>
  <si>
    <t>Caritas Parafii p.w. Ś. Jana Chrzciciela</t>
  </si>
  <si>
    <t>prowadzenie świetlic środowiskowych (program GKRPA)</t>
  </si>
  <si>
    <t>plan po zmianach</t>
  </si>
  <si>
    <t>Załącznik Nr 4 do Uchwały Nr XXXVII/266/09</t>
  </si>
  <si>
    <t xml:space="preserve">Rady Miejskie Trzcianki z dnia 17 grudnia 2010 r. </t>
  </si>
  <si>
    <t>Zestawienie planowanych kwot dotacji udzielanych z budżetu gminy - plan po zmianach na 2010 rok</t>
  </si>
  <si>
    <t>Burmistrza Trzcianki z dnia 1 marca 2010 r. zmieniający</t>
  </si>
  <si>
    <t>Załącznik Nr 2 do Zarządzenia Nr 19/10</t>
  </si>
  <si>
    <t>Załącznik Nr 1 do Zarządzenia Nr 19/10</t>
  </si>
  <si>
    <t>Załącznik Nr 3 do Zarządzenia Nr 19/10</t>
  </si>
  <si>
    <t xml:space="preserve">plan przed zmianą </t>
  </si>
  <si>
    <t xml:space="preserve">plan przed zminaą </t>
  </si>
  <si>
    <t>Załącznik Nr 4 do Zarządzenia Nr 19/10</t>
  </si>
  <si>
    <t>Załącznik Nr 5 do Zarządzenia Nr 19/10</t>
  </si>
  <si>
    <t>Załącznik Nr 5 do Uchwały Nr XXXVII/266/09</t>
  </si>
  <si>
    <t>plan przed 
zmianą</t>
  </si>
  <si>
    <t>składki na ubezpieczenie zdrowotne opłacane za osoby pobierające niektóre świadczenia z pomocy społecznej, niektóre świadczenia rodzinne oraz za osoby uczestniczące w zajęciach 
w centrum integracji społecznej</t>
  </si>
  <si>
    <t>plan przed zmianą</t>
  </si>
  <si>
    <t xml:space="preserve">Burmistrza Trzcianki z dnia 1 marca 2010 r. </t>
  </si>
  <si>
    <t>budowa ścieżki pieszo - rowerowej od ul. Dąbrowskiego wzdłuż ul. Wieleńskiej do zakrętu na ogrody działkowe, lewa strona , 
I etap, nawierzchnia polbruk</t>
  </si>
  <si>
    <t>buodwa chodnika w Siedlisku 
(wydatek z funduszu sołeckiego)</t>
  </si>
  <si>
    <t>zakup serwera do nowej sieci internetowej 
SP Nr 3)</t>
  </si>
  <si>
    <t>PT sieci wodociągowej i kanalizacji sanitarnej 
w kwartale ulic Reymonta i Krzywoustego</t>
  </si>
  <si>
    <t>pozostałe zadania w zakresie kultury</t>
  </si>
  <si>
    <t xml:space="preserve">Rady Miejskiej Trzcianki z dnia 17 grudnia 2009 r. </t>
  </si>
  <si>
    <t>Załącznik Nr 6 do Uchwały Nr XXXVII/266/09</t>
  </si>
  <si>
    <t>wpływy i wydatki związane z gromadzeniem środków z opłat i kar za korzystanie ze środowiska</t>
  </si>
  <si>
    <t>pozostałe podatki na rzecz budżetów jednostek samorządu terytorialnego</t>
  </si>
  <si>
    <t>ochrona powietrza atmosferycznego i klimatu</t>
  </si>
  <si>
    <t>opłaty na rzecz budżetów jednostek samorzadu terytorialnego</t>
  </si>
  <si>
    <t>dotacja celowa na pomoc finansową udzieloną między jednostkami samorzadu terytorialnego na dofinansowanie własnych zadań inwestycyjnych i zakupów inwestycyjnych</t>
  </si>
  <si>
    <t>drogi publiczne powiatowe</t>
  </si>
  <si>
    <t>zmn.</t>
  </si>
  <si>
    <t>pl.zabaw</t>
  </si>
  <si>
    <t>zarządzanie kryzysowe</t>
  </si>
  <si>
    <t>Siedlisko</t>
  </si>
  <si>
    <t>G 1</t>
  </si>
  <si>
    <t>współdziałanie przy realizacji zadania z zakresu promocji poprzez kulturę</t>
  </si>
  <si>
    <t>Gmina Piła</t>
  </si>
  <si>
    <t xml:space="preserve">refundacja kosztów ponoszonych przez gminę Piła na dzieci będące mieszkańcami gminy Trzcianka a uczęszczające do pilskich niepublicznych przedszkoli </t>
  </si>
  <si>
    <t>dotacje celowe przekazane gminie na zadania bieżące realizowane na podstawie porozumień  (umów) między jednostkami samorządu terytorialnego</t>
  </si>
  <si>
    <t>0960</t>
  </si>
  <si>
    <t>pomoc finansowa dla Powiatu Czarnkowsko - Trzcianeckiego z przeznaczeniem dla zarządu Dróg Powiatowych w Czarnkowie na wspólne finansowanie przebudowy chodnika przy drodze powiatowej w Białej - 75.000 zł i w Łomnicy - 25.000 zł</t>
  </si>
  <si>
    <t>1. dotacje na zadania inwestycyjne</t>
  </si>
  <si>
    <t>2. dotacje na zadania bieżące</t>
  </si>
  <si>
    <t xml:space="preserve">podsumowanie </t>
  </si>
  <si>
    <t>podsumowanie</t>
  </si>
  <si>
    <t xml:space="preserve">razem 1. i 2. </t>
  </si>
  <si>
    <t>1. dotacje na zadania bieżące</t>
  </si>
  <si>
    <t>szkolenie dzieci i mlodzieży prowadzone przez kluby sportowe na terenie gminy Trzcianka</t>
  </si>
  <si>
    <t>MKS SAPA Lubuszanin</t>
  </si>
  <si>
    <t xml:space="preserve">MKS MDK </t>
  </si>
  <si>
    <t>UKS Fortuna Biała</t>
  </si>
  <si>
    <t xml:space="preserve">szkolenie dzieci i młodzieży prowadzone przez uczniowskie kluby sportowe </t>
  </si>
  <si>
    <t>UKS Forma G 1</t>
  </si>
  <si>
    <t xml:space="preserve">UKS Kajak G 1 </t>
  </si>
  <si>
    <t>UKS Dysk SP 3</t>
  </si>
  <si>
    <t>UKS Relax SP 2</t>
  </si>
  <si>
    <t>LKS Zuch Rychlik</t>
  </si>
  <si>
    <t>propagowanie kultury fizycznej i sportu wśród dzieci i młodzieży zamieszkałej na terenach wiejskich poprzez prowadzenie zajęć oraz udział w zawodach o zasięgu gminnym, regionalnym oraz ogólnopolskim</t>
  </si>
  <si>
    <t>organizacja imprez sportowych na terenie gminy</t>
  </si>
  <si>
    <t>Stowarzyszenie Przyjaźni Niesłyszącym</t>
  </si>
  <si>
    <t>propagowanie kultury fizycznej i sportu wśród dzieci i młodzieży niepełnosprawnej zamieszakłej na terenie gminy</t>
  </si>
  <si>
    <t>Stowarzyszenie "Olimpijczyk"</t>
  </si>
  <si>
    <t>TSD</t>
  </si>
  <si>
    <t>organizacja rajdów turystycznych i krajoznawczych</t>
  </si>
  <si>
    <t>Stowarzyszenie Pomagajmy Dzieciom</t>
  </si>
  <si>
    <t>Klub Sportów Motorowych i Motorowodnych</t>
  </si>
  <si>
    <t>Fedracja Podnoszenia Ciężarów</t>
  </si>
  <si>
    <t>Stowarzyszenie Sprawni Razem</t>
  </si>
  <si>
    <t xml:space="preserve">ZHP </t>
  </si>
  <si>
    <t>Załącznik Nr 6 do Uchwały Nr XXXIX/278/10</t>
  </si>
  <si>
    <t>Rady Miejskiej Trzcianki z dnia 25 marca 2010 r. zmieniający</t>
  </si>
  <si>
    <t>Załącznik Nr 5 do Uchwały Nr XXXIX/278/10</t>
  </si>
  <si>
    <t>Załącznik Nr 3 do Uchwały Nr XXXIX/278/10</t>
  </si>
  <si>
    <t>Załącznik Nr 2 do Uchwały Nr XXXIX/278/10</t>
  </si>
  <si>
    <t>Załącznik Nr 1 do Uchwały Nr XXXIX/278/10</t>
  </si>
  <si>
    <t>wynagordzenia bezosobowe</t>
  </si>
  <si>
    <t>dotacja celowa z budżetu na finansowanie lub dofinansowanie zadań zleconych do realizacji stowarzyszeniom</t>
  </si>
  <si>
    <t>otrzymane spadki, zapisy i darowizny w postaci pieniężnej</t>
  </si>
  <si>
    <t>budowa placu zabaw przy 
Szkole Podstawowej nr 3</t>
  </si>
  <si>
    <t xml:space="preserve">Rady Miejskiej Trzcianki z dnia 25 marca 2010 r. </t>
  </si>
  <si>
    <t>Rady Miejskiej Trzcianki z dnia 25 marca 2010 r.</t>
  </si>
  <si>
    <t>stołówki szkolne i przedszkolne</t>
  </si>
  <si>
    <t>wpływy z opłat za zezwolenia na sprzedaż napojów alkoholowych</t>
  </si>
  <si>
    <t>grzywny, mandaty i inne kary pieniężne od osób fizycznych</t>
  </si>
  <si>
    <t>opłaty z tytułu zakupu usług telekomunikacyjnych świadczonych 
w  stacjonarnej publicznej sieci telefonicznej</t>
  </si>
  <si>
    <t xml:space="preserve">opłaty z tytułu zakupu usług telekomunikacyjnych świadczonych 
w ruchomej publicznej sieci telefonicznej </t>
  </si>
  <si>
    <t>pomo materialna dla uczniów</t>
  </si>
  <si>
    <t>0360</t>
  </si>
  <si>
    <t>podatek od spadków i darowizn</t>
  </si>
  <si>
    <t>przekształcenia</t>
  </si>
  <si>
    <t>spadki i darowizny</t>
  </si>
  <si>
    <t>pod.czynności c pr.</t>
  </si>
  <si>
    <t>dotacaj 85415.2030</t>
  </si>
  <si>
    <t>pomoc finansowa powiatowi czarnkowsko - trzcianeckiemu z przeznaczeniem na wspólne finansowanie przebudowy drogi powiatowej nr 1317P na odcinku od miejscowości Smolarnia do drogi wojewódzkiej nr 180</t>
  </si>
  <si>
    <t xml:space="preserve">rozbudowa i remont sali wiejskiej w Niekursku oraz remont sali wiejskiej w Runowie </t>
  </si>
  <si>
    <t>Załącznik Nr 1 do Uchwały Nr XL/290/10</t>
  </si>
  <si>
    <t>Rady Miejskiej Trzcianki z dnia 22 kwietnia 2010 r. zmieniający</t>
  </si>
  <si>
    <t>Załącznik Nr 5 do Uchwały Nr XL/290/10</t>
  </si>
  <si>
    <t>Załącznik Nr 2 do Uchwały Nr XL/290/10</t>
  </si>
  <si>
    <t>Załącznik Nr 4 do Uchwały Nr XL/290/10</t>
  </si>
  <si>
    <t>Załącznik Nr 3 do Uchwały Nr XL/290/10</t>
  </si>
  <si>
    <t xml:space="preserve">Rady Miejskiej Trzcianki z dnia 22 kwietnia 2010 r. </t>
  </si>
  <si>
    <t>Rady Miejskiej Trzcianki z dnia 22 kwietnia 2010 r.</t>
  </si>
  <si>
    <t>dotacje celowe otrzymane z budżetu państwa na realizację inwestycji i zakupów inwestycyjnych własnych gmin (związków gmin)</t>
  </si>
  <si>
    <t>85295.2030.</t>
  </si>
  <si>
    <t>85219.2030</t>
  </si>
  <si>
    <t>80101.2030</t>
  </si>
  <si>
    <t>80101.6330</t>
  </si>
  <si>
    <t>Załącznik Nr 1 do Zarządzenia Nr 52/10</t>
  </si>
  <si>
    <t>Burmistrza Trzcianki z dnia 12 maja 2010 r. zmieniający</t>
  </si>
  <si>
    <t>Załącznik Nr 2 do Zarządzenia Nr 52/10</t>
  </si>
  <si>
    <t>Załącznik Nr 3 do Zarządzenia Nr 52/10</t>
  </si>
  <si>
    <t>Załącznik Nr 4 do Zarządzenia Nr 52/10</t>
  </si>
  <si>
    <t>Załącznik Nr 5 do Zarządzenia Nr 52/10</t>
  </si>
  <si>
    <t>Załącznik Nr 6 do Zarządzenia Nr 19/10</t>
  </si>
  <si>
    <t>Załącznik Nr 9 do Uchwały Nr XXXVII/266/09</t>
  </si>
  <si>
    <t xml:space="preserve">Dochody i wydatki na rok 2010 z tytułu opłat za wydawanie zezwoleń na sprzedaż napojów alkoholowych oraz wydatki na realizację zadań określonych w programie profilaktyki i rozwiązywania problemów alkoholowych - plan po zmianach </t>
  </si>
  <si>
    <t xml:space="preserve">Dochody z tytułu opłat za wydawanie zezwoleń na sprzedaż napojów alkoholowych </t>
  </si>
  <si>
    <t>Dochody od osób prawnych, od osób fizycznych i od innych jednostek nie posiadających osobowości prawnej</t>
  </si>
  <si>
    <t xml:space="preserve">wpływy z innych opłat stanowiacych dochody jednostek samorządu terytorialnego na podstawie ustaw </t>
  </si>
  <si>
    <t>wpływy z opłat za wydawanie zezwoleń na sprzedaż alkoholu</t>
  </si>
  <si>
    <t xml:space="preserve">Wydatki na realizację zadań określonych w programie profilaktyki i rozwiązywania problemów alkoholowych </t>
  </si>
  <si>
    <t xml:space="preserve">      Ochrona zdrowia</t>
  </si>
  <si>
    <t>dotacja celowa na pomoc finansową udzielana między jednostkami samorządu terytorialnego na dofinansowanie własnych zadań bieżących</t>
  </si>
  <si>
    <t xml:space="preserve">wynagrodzenia bezosobowe </t>
  </si>
  <si>
    <t>opłaty z tytułu zakupu usług telekomunikacyjnych telefonii stacjonarnej</t>
  </si>
  <si>
    <t xml:space="preserve">Burmistrza Trzcianki z dnia 12 maja 2010 r. </t>
  </si>
  <si>
    <t>zakup usług w Ośrodku Profilaktyki i Rozwiązywania Problemów Alkoholowych w Plie w zakresie działań profilaktycznych dla przebywających w nim osób nietrzeżwych z terenu gminy Trzcianka</t>
  </si>
  <si>
    <t>składki na Fundusz Emerytur Pomostowych</t>
  </si>
  <si>
    <t>dotacje otrzymane z państwowych funduszy celowych na realizację zadań bieżących jednosek sektora finansów publicznych</t>
  </si>
  <si>
    <t>Załącznik Nr 1 do uchwały Nr XLIII/295/10</t>
  </si>
  <si>
    <t>Rady Miejskiej Trzcianki z dnia 25 maja 2010 r. zmieniający</t>
  </si>
  <si>
    <t>Załącznik Nr 3 do Uchwały Nr XLIII/295/10</t>
  </si>
  <si>
    <t>Załącznik Nr 4 do Uchwały Nr XLIII/295/10</t>
  </si>
  <si>
    <t>Załącznik Nr 6 do uchwały Nr XLIII/295/10</t>
  </si>
  <si>
    <t>Załącznik Nr 2 do Uchwały Nr XLIII/295/10</t>
  </si>
  <si>
    <t>Wybory Prezydenta Rzeczypospolitej Polskiej</t>
  </si>
  <si>
    <t>zakup akcesoriów komputerowych, 
w tym programów i licencji</t>
  </si>
  <si>
    <t>Załącznik Nr 5 do Uchwały Nr XLIII/295/10</t>
  </si>
  <si>
    <t>Załącznik Nr 7 do uchwały Nr XLIII/295/10</t>
  </si>
  <si>
    <t xml:space="preserve">Rady Miejskiej Trzcianki z dnia 25 maja 2010 r. </t>
  </si>
  <si>
    <t xml:space="preserve">Załącznik Nr 1 do zarządzenia Nr </t>
  </si>
  <si>
    <t>Burmistrza Trzcianki z dnia 17 czerwca 2010 r. zmieniający</t>
  </si>
  <si>
    <t xml:space="preserve">Załącznik Nr 4 do zarządzenia Nr </t>
  </si>
  <si>
    <t xml:space="preserve">Burmistrza Trzcianki z dnia 17 czerwca 2010 r. </t>
  </si>
  <si>
    <t xml:space="preserve">zakup środkó </t>
  </si>
  <si>
    <t>współdziałanie przy organizacji wypoczynku letniego (program GKRPA)</t>
  </si>
  <si>
    <t>Załącznik Nr 2 do Zarządzenia Nr 77/10</t>
  </si>
  <si>
    <t>Załącznik Nr 1 do zarządzenia Nr 77/10</t>
  </si>
  <si>
    <t>Załącznik Nr 3 do Zarządzenia Nr 77/10</t>
  </si>
  <si>
    <t>Załącznik Nr 4 do zarządzenia Nr 77/10</t>
  </si>
  <si>
    <t>Rady Miejskiej Trzcianki z dnia 24 czerwca 2010 r. zmieniający</t>
  </si>
  <si>
    <t>budowa chodnika na ulicy Staszica w Białej</t>
  </si>
  <si>
    <t>pomoc finansowa powiatowi czarnkowsko - trzcianeckiemu z przeznaczeniem dla Zarządu Dróg Powiatowych na wspólne finansowanie przebudowy chodnika przy drodze powiatowej w Radolinie</t>
  </si>
  <si>
    <t>Załącznik Nr 3 do Uchwały Nr XLIV/303/10</t>
  </si>
  <si>
    <t>zorganizowanie wypoczynku dla dzieci i młodzieży z rodzin zagrożonych patologią społeczną (program GKRPA)</t>
  </si>
  <si>
    <t>Załącznik Nr 5 do uchwały Nr XLIV/303/10</t>
  </si>
  <si>
    <t>Załącznik Nr 4 do Uchwały Nr XLIV/303/10</t>
  </si>
  <si>
    <t>Załącznik Nr 2 do Uchwały Nr XLIV/303/10</t>
  </si>
  <si>
    <t xml:space="preserve">Załącznik Nr 8 do Uchwały Nr XLIV/303/10 </t>
  </si>
  <si>
    <t>Załącznik Nr 9 do Uchwały Nr XLIV/303/10</t>
  </si>
  <si>
    <t>Załącznik Nr 1 do Uchwały Nr XLIV/303/10</t>
  </si>
  <si>
    <t xml:space="preserve">Rady Miejskiej Trzcianki z dnia 24 czerwca 2010 r. </t>
  </si>
  <si>
    <t>Załącznik Nr 2 do Zarządzenia Nr 82/10</t>
  </si>
  <si>
    <t>Burmistrza Trzcianki z dnia 30 czerwca 2010 r. zmieniający</t>
  </si>
  <si>
    <t xml:space="preserve">Załącznik Nr 1 do Zarządzenia Nr 82/10 </t>
  </si>
  <si>
    <t xml:space="preserve">Załącznik Nr 3 do Zarządzenia Nr 82/10 </t>
  </si>
  <si>
    <t>Załącznik Nr 4 do Zarządzenia Nr 82/10</t>
  </si>
  <si>
    <t xml:space="preserve">Burmistrza Trzcianki z dnia 30 czerwca 2010 r. </t>
  </si>
  <si>
    <t>spis powszechny i inne</t>
  </si>
  <si>
    <t>Spis powszechny i inne</t>
  </si>
  <si>
    <t>inne formy pomocy dla uczniów</t>
  </si>
  <si>
    <t>Załącznik Nr 5 do uchwały Nr XLV/316/10</t>
  </si>
  <si>
    <t>Rady Miejskiej Trzcianki z dnia 22 lipca 2010 r. zmieniający</t>
  </si>
  <si>
    <t>Załącznik Nr 3 do uchwały Nr XLV/316/10</t>
  </si>
  <si>
    <t>Załącznik Nr 1 do Uchwały Nr XLV/316/10</t>
  </si>
  <si>
    <t>Załącznik Nr 6 do Uchwały Nr XLV/316/10</t>
  </si>
  <si>
    <t>Komendy powiatowe Policji</t>
  </si>
  <si>
    <t>zakup kserokopiarki dla Komisariatu Policji 
w Trzciance</t>
  </si>
  <si>
    <t>pomoc finansowa powiatowi czarnkowsko - trzcianeckiemu z przeznaczenime dla Zarzadu Dróg Powiatowych na wspólne finansowanie przebudowy chodnika przy drodze powiatowej 
nr 1332P: ulica 22 Lipca w Białej</t>
  </si>
  <si>
    <t>pomoc finansowa powiatowi czarnkowsko - trzcianeckiemu z przeznaczenime dla Zarzadu Dróg Powiatowych na wspólne finansowanie wykonanie chodnika przy drodze powiatowej 
nr 1328P w Łomnicy</t>
  </si>
  <si>
    <t>pomoc finansowa powiatowi czarnkowsko - trzcianeckiemu z przeznaczeniem dla Zarządu Dróg Powiatowych na wspólne finansowanie przebudowy chodnika przy drodze powiatowej 
w Radolinie</t>
  </si>
  <si>
    <t>budowa zjazdu z ul. Sikorskiego do bloków na 
ul. Sikorskiego 25-27</t>
  </si>
  <si>
    <t>I etap budowy ścieżki pieszo - rowerowej od przejazdu PKP i dalej  wzdłuż torów kolejowych 
i wiaduktu do ulicy asfaltowej przy cmentarzu komunalnym</t>
  </si>
  <si>
    <t>rezerwa na dofinansowanie zakupu samochodu dla Państwowej Straży Pożarnej w Czarnkowie dla Jednostki Ratowniczo - Gaśniczej 
w Trzciance</t>
  </si>
  <si>
    <t>zakup zamiatarki do boiska sztucznego 
(SP Nr 3)</t>
  </si>
  <si>
    <t>projekt techniczny sieci wodno - kanalizacyjnej 
w rejonie ulic Reymonta, Grottgera, Krzywoustego, Chrobrego, do jeziora Sarcz oraz osiedle Poniatowskiego</t>
  </si>
  <si>
    <t>Załącznik Nr 7 do Uchwały Nr XLV/316/10</t>
  </si>
  <si>
    <t>Gmina Jodłowa</t>
  </si>
  <si>
    <t>pomoc finansowa dla Gminy Jodłowa na dofinansowanie odbudowy infrastruktury drogowej</t>
  </si>
  <si>
    <t>Załącznik Nr 4 do Uchwały Nr XLV/316/10</t>
  </si>
  <si>
    <t>Załącznik Nr 2 do Uchwały Nr XLV/316/10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</si>
</sst>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35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0"/>
    </font>
    <font>
      <sz val="9"/>
      <color indexed="10"/>
      <name val="Arial CE"/>
      <family val="0"/>
    </font>
    <font>
      <b/>
      <sz val="10"/>
      <color indexed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33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4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24" borderId="10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24" borderId="10" xfId="0" applyFont="1" applyFill="1" applyBorder="1" applyAlignment="1" quotePrefix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 wrapText="1" indent="1"/>
    </xf>
    <xf numFmtId="4" fontId="3" fillId="24" borderId="10" xfId="0" applyNumberFormat="1" applyFont="1" applyFill="1" applyBorder="1" applyAlignment="1">
      <alignment vertical="center"/>
    </xf>
    <xf numFmtId="0" fontId="2" fillId="24" borderId="10" xfId="0" applyFont="1" applyFill="1" applyBorder="1" applyAlignment="1">
      <alignment horizontal="left" vertical="center" wrapText="1" inden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4" fontId="7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 indent="1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 indent="1"/>
    </xf>
    <xf numFmtId="4" fontId="3" fillId="0" borderId="0" xfId="0" applyNumberFormat="1" applyFont="1" applyAlignment="1">
      <alignment vertical="center"/>
    </xf>
    <xf numFmtId="4" fontId="3" fillId="0" borderId="15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24" borderId="10" xfId="0" applyNumberFormat="1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 quotePrefix="1">
      <alignment horizontal="center" vertical="center" wrapText="1"/>
    </xf>
    <xf numFmtId="164" fontId="3" fillId="24" borderId="10" xfId="0" applyNumberFormat="1" applyFont="1" applyFill="1" applyBorder="1" applyAlignment="1">
      <alignment horizontal="right" vertical="center" wrapText="1"/>
    </xf>
    <xf numFmtId="0" fontId="3" fillId="24" borderId="11" xfId="0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horizontal="right" vertical="center"/>
    </xf>
    <xf numFmtId="0" fontId="2" fillId="24" borderId="12" xfId="0" applyFont="1" applyFill="1" applyBorder="1" applyAlignment="1">
      <alignment horizontal="left" vertical="center" wrapText="1" indent="1"/>
    </xf>
    <xf numFmtId="0" fontId="2" fillId="24" borderId="10" xfId="0" applyFont="1" applyFill="1" applyBorder="1" applyAlignment="1" quotePrefix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 quotePrefix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vertical="center"/>
    </xf>
    <xf numFmtId="0" fontId="2" fillId="24" borderId="12" xfId="0" applyFont="1" applyFill="1" applyBorder="1" applyAlignment="1" quotePrefix="1">
      <alignment horizontal="center" vertical="center" wrapText="1"/>
    </xf>
    <xf numFmtId="0" fontId="2" fillId="24" borderId="10" xfId="0" applyFont="1" applyFill="1" applyBorder="1" applyAlignment="1" quotePrefix="1">
      <alignment horizontal="center" vertical="center"/>
    </xf>
    <xf numFmtId="0" fontId="2" fillId="24" borderId="12" xfId="0" applyFont="1" applyFill="1" applyBorder="1" applyAlignment="1" quotePrefix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6" fillId="24" borderId="10" xfId="0" applyFont="1" applyFill="1" applyBorder="1" applyAlignment="1" quotePrefix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indent="1"/>
    </xf>
    <xf numFmtId="164" fontId="2" fillId="24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64" fontId="2" fillId="24" borderId="10" xfId="0" applyNumberFormat="1" applyFont="1" applyFill="1" applyBorder="1" applyAlignment="1">
      <alignment horizontal="right" vertical="center"/>
    </xf>
    <xf numFmtId="4" fontId="2" fillId="24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3" fillId="24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164" fontId="3" fillId="24" borderId="1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 quotePrefix="1">
      <alignment horizontal="center" vertical="center"/>
    </xf>
    <xf numFmtId="16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64" fontId="3" fillId="24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13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4" fontId="3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right" vertical="center" wrapText="1"/>
    </xf>
    <xf numFmtId="0" fontId="2" fillId="24" borderId="11" xfId="0" applyFont="1" applyFill="1" applyBorder="1" applyAlignment="1" quotePrefix="1">
      <alignment horizontal="center" vertical="center"/>
    </xf>
    <xf numFmtId="0" fontId="2" fillId="24" borderId="16" xfId="0" applyFont="1" applyFill="1" applyBorder="1" applyAlignment="1">
      <alignment horizontal="left" vertical="center" wrapText="1" indent="1"/>
    </xf>
    <xf numFmtId="4" fontId="2" fillId="24" borderId="15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0" xfId="0" applyFont="1" applyAlignment="1">
      <alignment/>
    </xf>
    <xf numFmtId="0" fontId="3" fillId="0" borderId="12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164" fontId="8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4" fontId="7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4" fontId="2" fillId="0" borderId="10" xfId="0" applyNumberFormat="1" applyFont="1" applyFill="1" applyBorder="1" applyAlignment="1">
      <alignment horizontal="right" vertical="center"/>
    </xf>
    <xf numFmtId="0" fontId="6" fillId="24" borderId="10" xfId="0" applyFont="1" applyFill="1" applyBorder="1" applyAlignment="1" quotePrefix="1">
      <alignment horizontal="center" vertical="center" wrapText="1"/>
    </xf>
    <xf numFmtId="0" fontId="6" fillId="24" borderId="12" xfId="0" applyFont="1" applyFill="1" applyBorder="1" applyAlignment="1" quotePrefix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left" vertical="center" wrapText="1" inden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 quotePrefix="1">
      <alignment horizontal="center" vertical="center" wrapText="1"/>
    </xf>
    <xf numFmtId="0" fontId="2" fillId="24" borderId="12" xfId="0" applyFont="1" applyFill="1" applyBorder="1" applyAlignment="1" quotePrefix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 indent="1"/>
    </xf>
    <xf numFmtId="0" fontId="2" fillId="24" borderId="12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2" fillId="0" borderId="16" xfId="0" applyFont="1" applyFill="1" applyBorder="1" applyAlignment="1">
      <alignment horizontal="left" vertical="center" wrapText="1" indent="1"/>
    </xf>
    <xf numFmtId="4" fontId="2" fillId="0" borderId="15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left" vertical="center" wrapText="1" indent="1"/>
    </xf>
    <xf numFmtId="4" fontId="7" fillId="0" borderId="15" xfId="0" applyNumberFormat="1" applyFont="1" applyFill="1" applyBorder="1" applyAlignment="1">
      <alignment horizontal="right" vertical="center"/>
    </xf>
    <xf numFmtId="4" fontId="7" fillId="24" borderId="15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10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4" fillId="24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6" fillId="24" borderId="1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4" fontId="4" fillId="0" borderId="11" xfId="0" applyNumberFormat="1" applyFont="1" applyFill="1" applyBorder="1" applyAlignment="1" quotePrefix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4" fontId="4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31" fillId="24" borderId="10" xfId="0" applyFont="1" applyFill="1" applyBorder="1" applyAlignment="1" quotePrefix="1">
      <alignment horizontal="center" vertical="center" wrapText="1"/>
    </xf>
    <xf numFmtId="0" fontId="31" fillId="24" borderId="12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 wrapText="1"/>
    </xf>
    <xf numFmtId="0" fontId="7" fillId="24" borderId="10" xfId="0" applyFont="1" applyFill="1" applyBorder="1" applyAlignment="1" quotePrefix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4" fontId="32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0" fontId="7" fillId="24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 quotePrefix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 indent="1"/>
    </xf>
    <xf numFmtId="4" fontId="32" fillId="0" borderId="10" xfId="0" applyNumberFormat="1" applyFont="1" applyBorder="1" applyAlignment="1">
      <alignment horizontal="right" vertical="center"/>
    </xf>
    <xf numFmtId="0" fontId="7" fillId="24" borderId="10" xfId="0" applyFont="1" applyFill="1" applyBorder="1" applyAlignment="1">
      <alignment horizontal="left" vertical="center" wrapText="1" indent="1"/>
    </xf>
    <xf numFmtId="4" fontId="3" fillId="24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4" fontId="3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 indent="1"/>
    </xf>
    <xf numFmtId="164" fontId="2" fillId="24" borderId="10" xfId="0" applyNumberFormat="1" applyFont="1" applyFill="1" applyBorder="1" applyAlignment="1">
      <alignment horizontal="right" vertical="center" wrapText="1"/>
    </xf>
    <xf numFmtId="164" fontId="3" fillId="24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vertical="center"/>
    </xf>
    <xf numFmtId="0" fontId="2" fillId="0" borderId="11" xfId="0" applyFont="1" applyFill="1" applyBorder="1" applyAlignment="1" quotePrefix="1">
      <alignment horizontal="center" vertical="center"/>
    </xf>
    <xf numFmtId="4" fontId="3" fillId="0" borderId="0" xfId="0" applyNumberFormat="1" applyFont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0" borderId="10" xfId="0" applyNumberFormat="1" applyFont="1" applyFill="1" applyBorder="1" applyAlignment="1">
      <alignment horizontal="right" vertical="center" wrapText="1"/>
    </xf>
    <xf numFmtId="4" fontId="2" fillId="24" borderId="10" xfId="0" applyNumberFormat="1" applyFont="1" applyFill="1" applyBorder="1" applyAlignment="1">
      <alignment vertical="center"/>
    </xf>
    <xf numFmtId="4" fontId="31" fillId="24" borderId="10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/>
    </xf>
    <xf numFmtId="4" fontId="33" fillId="0" borderId="1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31" fillId="0" borderId="10" xfId="0" applyFont="1" applyFill="1" applyBorder="1" applyAlignment="1">
      <alignment horizontal="center" vertical="center"/>
    </xf>
    <xf numFmtId="4" fontId="33" fillId="0" borderId="0" xfId="0" applyNumberFormat="1" applyFont="1" applyBorder="1" applyAlignment="1">
      <alignment vertical="center"/>
    </xf>
    <xf numFmtId="4" fontId="33" fillId="0" borderId="0" xfId="0" applyNumberFormat="1" applyFont="1" applyAlignment="1">
      <alignment/>
    </xf>
    <xf numFmtId="0" fontId="5" fillId="24" borderId="10" xfId="0" applyFont="1" applyFill="1" applyBorder="1" applyAlignment="1" quotePrefix="1">
      <alignment horizontal="center" vertical="center" wrapText="1"/>
    </xf>
    <xf numFmtId="0" fontId="5" fillId="24" borderId="12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left" vertical="center" wrapText="1" indent="1"/>
    </xf>
    <xf numFmtId="164" fontId="5" fillId="24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 quotePrefix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 quotePrefix="1">
      <alignment horizontal="center" vertical="center"/>
    </xf>
    <xf numFmtId="0" fontId="3" fillId="0" borderId="17" xfId="0" applyFont="1" applyFill="1" applyBorder="1" applyAlignment="1" quotePrefix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4" fillId="0" borderId="15" xfId="0" applyFont="1" applyFill="1" applyBorder="1" applyAlignment="1" quotePrefix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horizontal="left" vertical="center" wrapText="1" indent="1"/>
    </xf>
    <xf numFmtId="4" fontId="5" fillId="0" borderId="10" xfId="0" applyNumberFormat="1" applyFont="1" applyFill="1" applyBorder="1" applyAlignment="1">
      <alignment vertical="center"/>
    </xf>
    <xf numFmtId="164" fontId="5" fillId="24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 indent="1"/>
    </xf>
    <xf numFmtId="4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 indent="1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4" fontId="2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164" fontId="3" fillId="24" borderId="10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3" fillId="24" borderId="10" xfId="0" applyNumberFormat="1" applyFont="1" applyFill="1" applyBorder="1" applyAlignment="1">
      <alignment horizontal="right" vertical="center" wrapText="1"/>
    </xf>
    <xf numFmtId="0" fontId="3" fillId="24" borderId="10" xfId="0" applyFont="1" applyFill="1" applyBorder="1" applyAlignment="1" quotePrefix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2" fillId="24" borderId="12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7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4"/>
  <sheetViews>
    <sheetView tabSelected="1" zoomScalePageLayoutView="0" workbookViewId="0" topLeftCell="A1">
      <selection activeCell="AB15" sqref="AB15"/>
    </sheetView>
  </sheetViews>
  <sheetFormatPr defaultColWidth="9.00390625" defaultRowHeight="12.75"/>
  <cols>
    <col min="1" max="1" width="5.25390625" style="7" customWidth="1"/>
    <col min="2" max="2" width="7.25390625" style="7" bestFit="1" customWidth="1"/>
    <col min="3" max="3" width="4.375" style="7" bestFit="1" customWidth="1"/>
    <col min="4" max="4" width="34.25390625" style="7" customWidth="1"/>
    <col min="5" max="5" width="14.875" style="28" hidden="1" customWidth="1"/>
    <col min="6" max="6" width="9.875" style="28" hidden="1" customWidth="1"/>
    <col min="7" max="7" width="40.25390625" style="28" hidden="1" customWidth="1"/>
    <col min="8" max="8" width="6.875" style="28" hidden="1" customWidth="1"/>
    <col min="9" max="22" width="14.875" style="28" hidden="1" customWidth="1"/>
    <col min="23" max="25" width="14.875" style="28" customWidth="1"/>
  </cols>
  <sheetData>
    <row r="1" spans="1:25" ht="12.75">
      <c r="A1" s="56"/>
      <c r="B1" s="56"/>
      <c r="C1" s="56"/>
      <c r="D1" s="56"/>
      <c r="E1" s="57" t="s">
        <v>336</v>
      </c>
      <c r="F1" s="57"/>
      <c r="G1" s="57" t="s">
        <v>354</v>
      </c>
      <c r="H1" s="57"/>
      <c r="I1" s="57" t="s">
        <v>422</v>
      </c>
      <c r="J1" s="57"/>
      <c r="K1" s="57" t="s">
        <v>443</v>
      </c>
      <c r="L1" s="57"/>
      <c r="M1" s="57" t="s">
        <v>456</v>
      </c>
      <c r="N1" s="57"/>
      <c r="O1" s="57" t="s">
        <v>478</v>
      </c>
      <c r="P1" s="57"/>
      <c r="Q1" s="57" t="s">
        <v>489</v>
      </c>
      <c r="R1" s="57"/>
      <c r="S1" s="57" t="s">
        <v>509</v>
      </c>
      <c r="T1" s="57"/>
      <c r="U1" s="57" t="s">
        <v>513</v>
      </c>
      <c r="V1" s="57"/>
      <c r="W1" s="57" t="s">
        <v>523</v>
      </c>
      <c r="X1" s="57"/>
      <c r="Y1" s="57"/>
    </row>
    <row r="2" spans="1:25" ht="12.75">
      <c r="A2" s="56"/>
      <c r="B2" s="56"/>
      <c r="C2" s="56"/>
      <c r="D2" s="56"/>
      <c r="E2" s="57" t="s">
        <v>337</v>
      </c>
      <c r="F2" s="57"/>
      <c r="G2" s="57" t="s">
        <v>352</v>
      </c>
      <c r="H2" s="57"/>
      <c r="I2" s="57" t="s">
        <v>418</v>
      </c>
      <c r="J2" s="57"/>
      <c r="K2" s="57" t="s">
        <v>444</v>
      </c>
      <c r="L2" s="57"/>
      <c r="M2" s="57" t="s">
        <v>457</v>
      </c>
      <c r="N2" s="57"/>
      <c r="O2" s="57" t="s">
        <v>479</v>
      </c>
      <c r="P2" s="57"/>
      <c r="Q2" s="57" t="s">
        <v>490</v>
      </c>
      <c r="R2" s="57"/>
      <c r="S2" s="57" t="s">
        <v>499</v>
      </c>
      <c r="T2" s="57"/>
      <c r="U2" s="57" t="s">
        <v>512</v>
      </c>
      <c r="V2" s="57"/>
      <c r="W2" s="57" t="s">
        <v>521</v>
      </c>
      <c r="X2" s="57"/>
      <c r="Y2" s="57"/>
    </row>
    <row r="3" spans="1:25" ht="12.75">
      <c r="A3" s="56"/>
      <c r="B3" s="56"/>
      <c r="C3" s="56"/>
      <c r="D3" s="56"/>
      <c r="E3" s="57" t="s">
        <v>338</v>
      </c>
      <c r="F3" s="57"/>
      <c r="G3" s="57" t="s">
        <v>336</v>
      </c>
      <c r="H3" s="57"/>
      <c r="I3" s="57" t="s">
        <v>354</v>
      </c>
      <c r="J3" s="57"/>
      <c r="K3" s="57" t="s">
        <v>422</v>
      </c>
      <c r="L3" s="57"/>
      <c r="M3" s="57" t="s">
        <v>443</v>
      </c>
      <c r="N3" s="57"/>
      <c r="O3" s="57" t="s">
        <v>456</v>
      </c>
      <c r="P3" s="57"/>
      <c r="Q3" s="57" t="s">
        <v>478</v>
      </c>
      <c r="R3" s="57"/>
      <c r="S3" s="57" t="s">
        <v>496</v>
      </c>
      <c r="T3" s="57"/>
      <c r="U3" s="57" t="s">
        <v>509</v>
      </c>
      <c r="V3" s="57"/>
      <c r="W3" s="57" t="s">
        <v>513</v>
      </c>
      <c r="X3" s="57"/>
      <c r="Y3" s="57"/>
    </row>
    <row r="4" spans="1:25" ht="12.75">
      <c r="A4" s="56"/>
      <c r="B4" s="56"/>
      <c r="C4" s="56"/>
      <c r="D4" s="56"/>
      <c r="E4" s="57" t="s">
        <v>339</v>
      </c>
      <c r="F4" s="57"/>
      <c r="G4" s="57" t="s">
        <v>344</v>
      </c>
      <c r="H4" s="57"/>
      <c r="I4" s="57" t="s">
        <v>364</v>
      </c>
      <c r="J4" s="57"/>
      <c r="K4" s="57" t="s">
        <v>427</v>
      </c>
      <c r="L4" s="57"/>
      <c r="M4" s="57" t="s">
        <v>449</v>
      </c>
      <c r="N4" s="57"/>
      <c r="O4" s="57" t="s">
        <v>474</v>
      </c>
      <c r="P4" s="57"/>
      <c r="Q4" s="57" t="s">
        <v>488</v>
      </c>
      <c r="R4" s="57"/>
      <c r="S4" s="57" t="s">
        <v>492</v>
      </c>
      <c r="T4" s="57"/>
      <c r="U4" s="57" t="s">
        <v>510</v>
      </c>
      <c r="V4" s="57"/>
      <c r="W4" s="57" t="s">
        <v>516</v>
      </c>
      <c r="X4" s="57"/>
      <c r="Y4" s="57"/>
    </row>
    <row r="5" spans="1:25" ht="18.75" customHeight="1">
      <c r="A5" s="131" t="s">
        <v>309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</row>
    <row r="6" spans="1:25" s="7" customFormat="1" ht="24.75" customHeight="1">
      <c r="A6" s="5" t="s">
        <v>0</v>
      </c>
      <c r="B6" s="4" t="s">
        <v>1</v>
      </c>
      <c r="C6" s="20" t="s">
        <v>2</v>
      </c>
      <c r="D6" s="5" t="s">
        <v>3</v>
      </c>
      <c r="E6" s="8" t="s">
        <v>142</v>
      </c>
      <c r="F6" s="8" t="s">
        <v>316</v>
      </c>
      <c r="G6" s="125" t="s">
        <v>143</v>
      </c>
      <c r="H6" s="8" t="s">
        <v>316</v>
      </c>
      <c r="I6" s="125" t="s">
        <v>361</v>
      </c>
      <c r="J6" s="8" t="s">
        <v>316</v>
      </c>
      <c r="K6" s="125" t="s">
        <v>143</v>
      </c>
      <c r="L6" s="8" t="s">
        <v>316</v>
      </c>
      <c r="M6" s="125" t="s">
        <v>143</v>
      </c>
      <c r="N6" s="8" t="s">
        <v>316</v>
      </c>
      <c r="O6" s="125" t="s">
        <v>143</v>
      </c>
      <c r="P6" s="8" t="s">
        <v>316</v>
      </c>
      <c r="Q6" s="125" t="s">
        <v>143</v>
      </c>
      <c r="R6" s="8" t="s">
        <v>316</v>
      </c>
      <c r="S6" s="125" t="s">
        <v>143</v>
      </c>
      <c r="T6" s="8" t="s">
        <v>316</v>
      </c>
      <c r="U6" s="125" t="s">
        <v>143</v>
      </c>
      <c r="V6" s="8" t="s">
        <v>316</v>
      </c>
      <c r="W6" s="125" t="s">
        <v>143</v>
      </c>
      <c r="X6" s="8" t="s">
        <v>316</v>
      </c>
      <c r="Y6" s="125" t="s">
        <v>333</v>
      </c>
    </row>
    <row r="7" spans="1:25" s="7" customFormat="1" ht="20.25" customHeight="1">
      <c r="A7" s="101" t="s">
        <v>4</v>
      </c>
      <c r="B7" s="4"/>
      <c r="C7" s="20"/>
      <c r="D7" s="129" t="s">
        <v>5</v>
      </c>
      <c r="E7" s="18">
        <f aca="true" t="shared" si="0" ref="E7:Y7">SUM(E8)</f>
        <v>639800</v>
      </c>
      <c r="F7" s="18">
        <f t="shared" si="0"/>
        <v>0</v>
      </c>
      <c r="G7" s="18">
        <f t="shared" si="0"/>
        <v>639800</v>
      </c>
      <c r="H7" s="18">
        <f t="shared" si="0"/>
        <v>0</v>
      </c>
      <c r="I7" s="18">
        <f t="shared" si="0"/>
        <v>639800</v>
      </c>
      <c r="J7" s="18">
        <f t="shared" si="0"/>
        <v>0</v>
      </c>
      <c r="K7" s="18">
        <f t="shared" si="0"/>
        <v>639800</v>
      </c>
      <c r="L7" s="18">
        <f t="shared" si="0"/>
        <v>0</v>
      </c>
      <c r="M7" s="18">
        <f t="shared" si="0"/>
        <v>639800</v>
      </c>
      <c r="N7" s="18">
        <f t="shared" si="0"/>
        <v>0</v>
      </c>
      <c r="O7" s="18">
        <f t="shared" si="0"/>
        <v>639800</v>
      </c>
      <c r="P7" s="18">
        <f t="shared" si="0"/>
        <v>271797</v>
      </c>
      <c r="Q7" s="18">
        <f t="shared" si="0"/>
        <v>911597</v>
      </c>
      <c r="R7" s="18">
        <f t="shared" si="0"/>
        <v>0</v>
      </c>
      <c r="S7" s="18">
        <f t="shared" si="0"/>
        <v>911597</v>
      </c>
      <c r="T7" s="18">
        <f t="shared" si="0"/>
        <v>0</v>
      </c>
      <c r="U7" s="18">
        <f t="shared" si="0"/>
        <v>911597</v>
      </c>
      <c r="V7" s="18">
        <f t="shared" si="0"/>
        <v>0</v>
      </c>
      <c r="W7" s="18">
        <f t="shared" si="0"/>
        <v>911597</v>
      </c>
      <c r="X7" s="18">
        <f t="shared" si="0"/>
        <v>0</v>
      </c>
      <c r="Y7" s="18">
        <f t="shared" si="0"/>
        <v>911597</v>
      </c>
    </row>
    <row r="8" spans="1:25" s="24" customFormat="1" ht="18.75" customHeight="1">
      <c r="A8" s="78"/>
      <c r="B8" s="76" t="s">
        <v>242</v>
      </c>
      <c r="C8" s="80"/>
      <c r="D8" s="130" t="s">
        <v>6</v>
      </c>
      <c r="E8" s="85">
        <f aca="true" t="shared" si="1" ref="E8:K8">SUM(E9:E10)</f>
        <v>639800</v>
      </c>
      <c r="F8" s="85">
        <f t="shared" si="1"/>
        <v>0</v>
      </c>
      <c r="G8" s="85">
        <f t="shared" si="1"/>
        <v>639800</v>
      </c>
      <c r="H8" s="85">
        <f t="shared" si="1"/>
        <v>0</v>
      </c>
      <c r="I8" s="85">
        <f t="shared" si="1"/>
        <v>639800</v>
      </c>
      <c r="J8" s="85">
        <f t="shared" si="1"/>
        <v>0</v>
      </c>
      <c r="K8" s="85">
        <f t="shared" si="1"/>
        <v>639800</v>
      </c>
      <c r="L8" s="85">
        <f>SUM(L9:L10)</f>
        <v>0</v>
      </c>
      <c r="M8" s="85">
        <f>SUM(M9:M10)</f>
        <v>639800</v>
      </c>
      <c r="N8" s="85">
        <f>SUM(N9:N10)</f>
        <v>0</v>
      </c>
      <c r="O8" s="85">
        <f aca="true" t="shared" si="2" ref="O8:U8">SUM(O9:O11)</f>
        <v>639800</v>
      </c>
      <c r="P8" s="85">
        <f t="shared" si="2"/>
        <v>271797</v>
      </c>
      <c r="Q8" s="85">
        <f t="shared" si="2"/>
        <v>911597</v>
      </c>
      <c r="R8" s="85">
        <f t="shared" si="2"/>
        <v>0</v>
      </c>
      <c r="S8" s="85">
        <f t="shared" si="2"/>
        <v>911597</v>
      </c>
      <c r="T8" s="85">
        <f t="shared" si="2"/>
        <v>0</v>
      </c>
      <c r="U8" s="85">
        <f t="shared" si="2"/>
        <v>911597</v>
      </c>
      <c r="V8" s="85">
        <f>SUM(V9:V11)</f>
        <v>0</v>
      </c>
      <c r="W8" s="85">
        <f>SUM(W9:W11)</f>
        <v>911597</v>
      </c>
      <c r="X8" s="85">
        <f>SUM(X9:X11)</f>
        <v>0</v>
      </c>
      <c r="Y8" s="85">
        <f>SUM(Y9:Y11)</f>
        <v>911597</v>
      </c>
    </row>
    <row r="9" spans="1:25" s="24" customFormat="1" ht="73.5" customHeight="1">
      <c r="A9" s="78"/>
      <c r="B9" s="47"/>
      <c r="C9" s="79" t="s">
        <v>160</v>
      </c>
      <c r="D9" s="77" t="s">
        <v>55</v>
      </c>
      <c r="E9" s="85">
        <f>110000+9800</f>
        <v>119800</v>
      </c>
      <c r="F9" s="85"/>
      <c r="G9" s="85">
        <f>SUM(E9:F9)</f>
        <v>119800</v>
      </c>
      <c r="H9" s="85"/>
      <c r="I9" s="85">
        <f>SUM(G9:H9)</f>
        <v>119800</v>
      </c>
      <c r="J9" s="85"/>
      <c r="K9" s="85">
        <f>SUM(I9:J9)</f>
        <v>119800</v>
      </c>
      <c r="L9" s="85"/>
      <c r="M9" s="85">
        <f>SUM(K9:L9)</f>
        <v>119800</v>
      </c>
      <c r="N9" s="85"/>
      <c r="O9" s="85">
        <f>SUM(M9:N9)</f>
        <v>119800</v>
      </c>
      <c r="P9" s="85"/>
      <c r="Q9" s="85">
        <f>SUM(O9:P9)</f>
        <v>119800</v>
      </c>
      <c r="R9" s="85"/>
      <c r="S9" s="85">
        <f>SUM(Q9:R9)</f>
        <v>119800</v>
      </c>
      <c r="T9" s="85"/>
      <c r="U9" s="85">
        <f>SUM(S9:T9)</f>
        <v>119800</v>
      </c>
      <c r="V9" s="85"/>
      <c r="W9" s="85">
        <f>SUM(U9:V9)</f>
        <v>119800</v>
      </c>
      <c r="X9" s="85"/>
      <c r="Y9" s="85">
        <f>SUM(W9:X9)</f>
        <v>119800</v>
      </c>
    </row>
    <row r="10" spans="1:25" s="24" customFormat="1" ht="38.25" customHeight="1">
      <c r="A10" s="78"/>
      <c r="B10" s="47"/>
      <c r="C10" s="79" t="s">
        <v>243</v>
      </c>
      <c r="D10" s="77" t="s">
        <v>244</v>
      </c>
      <c r="E10" s="85">
        <v>520000</v>
      </c>
      <c r="F10" s="85"/>
      <c r="G10" s="85">
        <f>SUM(E10:F10)</f>
        <v>520000</v>
      </c>
      <c r="H10" s="85"/>
      <c r="I10" s="85">
        <f>SUM(G10:H10)</f>
        <v>520000</v>
      </c>
      <c r="J10" s="85"/>
      <c r="K10" s="85">
        <f>SUM(I10:J10)</f>
        <v>520000</v>
      </c>
      <c r="L10" s="85"/>
      <c r="M10" s="85">
        <f>SUM(K10:L10)</f>
        <v>520000</v>
      </c>
      <c r="N10" s="85"/>
      <c r="O10" s="85">
        <f>SUM(M10:N10)</f>
        <v>520000</v>
      </c>
      <c r="P10" s="85"/>
      <c r="Q10" s="85">
        <f>SUM(O10:P10)</f>
        <v>520000</v>
      </c>
      <c r="R10" s="85"/>
      <c r="S10" s="85">
        <f>SUM(Q10:R10)</f>
        <v>520000</v>
      </c>
      <c r="T10" s="85"/>
      <c r="U10" s="85">
        <f>SUM(S10:T10)</f>
        <v>520000</v>
      </c>
      <c r="V10" s="85"/>
      <c r="W10" s="85">
        <f>SUM(U10:V10)</f>
        <v>520000</v>
      </c>
      <c r="X10" s="85"/>
      <c r="Y10" s="85">
        <f>SUM(W10:X10)</f>
        <v>520000</v>
      </c>
    </row>
    <row r="11" spans="1:25" s="24" customFormat="1" ht="61.5" customHeight="1">
      <c r="A11" s="78"/>
      <c r="B11" s="47"/>
      <c r="C11" s="79">
        <v>2010</v>
      </c>
      <c r="D11" s="77" t="s">
        <v>211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>
        <v>0</v>
      </c>
      <c r="P11" s="85">
        <v>271797</v>
      </c>
      <c r="Q11" s="85">
        <f>SUM(O11:P11)</f>
        <v>271797</v>
      </c>
      <c r="R11" s="85"/>
      <c r="S11" s="85">
        <f>SUM(Q11:R11)</f>
        <v>271797</v>
      </c>
      <c r="T11" s="85"/>
      <c r="U11" s="85">
        <f>SUM(S11:T11)</f>
        <v>271797</v>
      </c>
      <c r="V11" s="85"/>
      <c r="W11" s="85">
        <f>SUM(U11:V11)</f>
        <v>271797</v>
      </c>
      <c r="X11" s="85"/>
      <c r="Y11" s="85">
        <f>SUM(W11:X11)</f>
        <v>271797</v>
      </c>
    </row>
    <row r="12" spans="1:25" s="6" customFormat="1" ht="24.75" customHeight="1">
      <c r="A12" s="29" t="s">
        <v>8</v>
      </c>
      <c r="B12" s="2"/>
      <c r="C12" s="3"/>
      <c r="D12" s="30" t="s">
        <v>9</v>
      </c>
      <c r="E12" s="58">
        <f aca="true" t="shared" si="3" ref="E12:R12">SUM(E13,)</f>
        <v>4836700</v>
      </c>
      <c r="F12" s="58">
        <f t="shared" si="3"/>
        <v>0</v>
      </c>
      <c r="G12" s="58">
        <f t="shared" si="3"/>
        <v>4836700</v>
      </c>
      <c r="H12" s="58">
        <f t="shared" si="3"/>
        <v>0</v>
      </c>
      <c r="I12" s="58">
        <f t="shared" si="3"/>
        <v>4836700</v>
      </c>
      <c r="J12" s="58">
        <f t="shared" si="3"/>
        <v>30000</v>
      </c>
      <c r="K12" s="58">
        <f t="shared" si="3"/>
        <v>4866700</v>
      </c>
      <c r="L12" s="58">
        <f t="shared" si="3"/>
        <v>131000</v>
      </c>
      <c r="M12" s="58">
        <f t="shared" si="3"/>
        <v>4997700</v>
      </c>
      <c r="N12" s="58">
        <f t="shared" si="3"/>
        <v>0</v>
      </c>
      <c r="O12" s="58">
        <f t="shared" si="3"/>
        <v>4997700</v>
      </c>
      <c r="P12" s="58">
        <f t="shared" si="3"/>
        <v>0</v>
      </c>
      <c r="Q12" s="58">
        <f t="shared" si="3"/>
        <v>4997700</v>
      </c>
      <c r="R12" s="58">
        <f t="shared" si="3"/>
        <v>0</v>
      </c>
      <c r="S12" s="58">
        <f aca="true" t="shared" si="4" ref="S12:Y12">SUM(S13,S20)</f>
        <v>4997700</v>
      </c>
      <c r="T12" s="58">
        <f t="shared" si="4"/>
        <v>58000</v>
      </c>
      <c r="U12" s="58">
        <f t="shared" si="4"/>
        <v>5055700</v>
      </c>
      <c r="V12" s="58">
        <f t="shared" si="4"/>
        <v>0</v>
      </c>
      <c r="W12" s="58">
        <f t="shared" si="4"/>
        <v>5055700</v>
      </c>
      <c r="X12" s="58">
        <f t="shared" si="4"/>
        <v>94850</v>
      </c>
      <c r="Y12" s="58">
        <f t="shared" si="4"/>
        <v>5150550</v>
      </c>
    </row>
    <row r="13" spans="1:25" s="24" customFormat="1" ht="25.5" customHeight="1">
      <c r="A13" s="72"/>
      <c r="B13" s="73" t="s">
        <v>10</v>
      </c>
      <c r="C13" s="80"/>
      <c r="D13" s="77" t="s">
        <v>147</v>
      </c>
      <c r="E13" s="71">
        <f>SUM(E14:E18)</f>
        <v>4836700</v>
      </c>
      <c r="F13" s="71">
        <f>SUM(F14:F18)</f>
        <v>0</v>
      </c>
      <c r="G13" s="71">
        <f>SUM(G14:G18)</f>
        <v>4836700</v>
      </c>
      <c r="H13" s="71">
        <f>SUM(H14:H18)</f>
        <v>0</v>
      </c>
      <c r="I13" s="71">
        <f aca="true" t="shared" si="5" ref="I13:O13">SUM(I14:I19)</f>
        <v>4836700</v>
      </c>
      <c r="J13" s="71">
        <f t="shared" si="5"/>
        <v>30000</v>
      </c>
      <c r="K13" s="71">
        <f t="shared" si="5"/>
        <v>4866700</v>
      </c>
      <c r="L13" s="71">
        <f t="shared" si="5"/>
        <v>131000</v>
      </c>
      <c r="M13" s="71">
        <f t="shared" si="5"/>
        <v>4997700</v>
      </c>
      <c r="N13" s="71">
        <f t="shared" si="5"/>
        <v>0</v>
      </c>
      <c r="O13" s="71">
        <f t="shared" si="5"/>
        <v>4997700</v>
      </c>
      <c r="P13" s="71">
        <f aca="true" t="shared" si="6" ref="P13:U13">SUM(P14:P19)</f>
        <v>0</v>
      </c>
      <c r="Q13" s="71">
        <f t="shared" si="6"/>
        <v>4997700</v>
      </c>
      <c r="R13" s="71">
        <f t="shared" si="6"/>
        <v>0</v>
      </c>
      <c r="S13" s="71">
        <f t="shared" si="6"/>
        <v>4997700</v>
      </c>
      <c r="T13" s="71">
        <f t="shared" si="6"/>
        <v>41800</v>
      </c>
      <c r="U13" s="71">
        <f t="shared" si="6"/>
        <v>5039500</v>
      </c>
      <c r="V13" s="71">
        <f>SUM(V14:V19)</f>
        <v>0</v>
      </c>
      <c r="W13" s="71">
        <f>SUM(W14:W19)</f>
        <v>5039500</v>
      </c>
      <c r="X13" s="71">
        <f>SUM(X14:X19)</f>
        <v>94850</v>
      </c>
      <c r="Y13" s="71">
        <f>SUM(Y14:Y19)</f>
        <v>5134350</v>
      </c>
    </row>
    <row r="14" spans="1:25" s="24" customFormat="1" ht="32.25" customHeight="1">
      <c r="A14" s="72"/>
      <c r="B14" s="47"/>
      <c r="C14" s="79" t="s">
        <v>159</v>
      </c>
      <c r="D14" s="77" t="s">
        <v>210</v>
      </c>
      <c r="E14" s="71">
        <v>120000</v>
      </c>
      <c r="F14" s="71"/>
      <c r="G14" s="71">
        <f>SUM(E14:F14)</f>
        <v>120000</v>
      </c>
      <c r="H14" s="71"/>
      <c r="I14" s="71">
        <f>SUM(G14:H14)</f>
        <v>120000</v>
      </c>
      <c r="J14" s="71"/>
      <c r="K14" s="71">
        <f aca="true" t="shared" si="7" ref="K14:K19">SUM(I14:J14)</f>
        <v>120000</v>
      </c>
      <c r="L14" s="71"/>
      <c r="M14" s="71">
        <f aca="true" t="shared" si="8" ref="M14:M19">SUM(K14:L14)</f>
        <v>120000</v>
      </c>
      <c r="N14" s="71"/>
      <c r="O14" s="71">
        <f aca="true" t="shared" si="9" ref="O14:O19">SUM(M14:N14)</f>
        <v>120000</v>
      </c>
      <c r="P14" s="71"/>
      <c r="Q14" s="71">
        <f aca="true" t="shared" si="10" ref="Q14:Q19">SUM(O14:P14)</f>
        <v>120000</v>
      </c>
      <c r="R14" s="71"/>
      <c r="S14" s="71">
        <f aca="true" t="shared" si="11" ref="S14:S19">SUM(Q14:R14)</f>
        <v>120000</v>
      </c>
      <c r="T14" s="71"/>
      <c r="U14" s="71">
        <f aca="true" t="shared" si="12" ref="U14:U21">SUM(S14:T14)</f>
        <v>120000</v>
      </c>
      <c r="V14" s="71"/>
      <c r="W14" s="71">
        <f aca="true" t="shared" si="13" ref="W14:W19">SUM(U14:V14)</f>
        <v>120000</v>
      </c>
      <c r="X14" s="71">
        <v>42000</v>
      </c>
      <c r="Y14" s="71">
        <f aca="true" t="shared" si="14" ref="Y14:Y19">SUM(W14:X14)</f>
        <v>162000</v>
      </c>
    </row>
    <row r="15" spans="1:25" s="24" customFormat="1" ht="72" customHeight="1">
      <c r="A15" s="72"/>
      <c r="B15" s="47"/>
      <c r="C15" s="74" t="s">
        <v>160</v>
      </c>
      <c r="D15" s="77" t="s">
        <v>55</v>
      </c>
      <c r="E15" s="71">
        <f>1850000+16000+82000+8000+4000</f>
        <v>1960000</v>
      </c>
      <c r="F15" s="71"/>
      <c r="G15" s="71">
        <f>SUM(E15:F15)</f>
        <v>1960000</v>
      </c>
      <c r="H15" s="71"/>
      <c r="I15" s="71">
        <f>SUM(G15:H15)</f>
        <v>1960000</v>
      </c>
      <c r="J15" s="71"/>
      <c r="K15" s="71">
        <f t="shared" si="7"/>
        <v>1960000</v>
      </c>
      <c r="L15" s="71"/>
      <c r="M15" s="71">
        <f t="shared" si="8"/>
        <v>1960000</v>
      </c>
      <c r="N15" s="71"/>
      <c r="O15" s="71">
        <f t="shared" si="9"/>
        <v>1960000</v>
      </c>
      <c r="P15" s="71"/>
      <c r="Q15" s="71">
        <f t="shared" si="10"/>
        <v>1960000</v>
      </c>
      <c r="R15" s="71"/>
      <c r="S15" s="71">
        <f t="shared" si="11"/>
        <v>1960000</v>
      </c>
      <c r="T15" s="71"/>
      <c r="U15" s="71">
        <f t="shared" si="12"/>
        <v>1960000</v>
      </c>
      <c r="V15" s="71"/>
      <c r="W15" s="71">
        <f t="shared" si="13"/>
        <v>1960000</v>
      </c>
      <c r="X15" s="71"/>
      <c r="Y15" s="71">
        <f t="shared" si="14"/>
        <v>1960000</v>
      </c>
    </row>
    <row r="16" spans="1:25" s="24" customFormat="1" ht="45">
      <c r="A16" s="72"/>
      <c r="B16" s="47"/>
      <c r="C16" s="74" t="s">
        <v>221</v>
      </c>
      <c r="D16" s="77" t="s">
        <v>250</v>
      </c>
      <c r="E16" s="71">
        <v>30000</v>
      </c>
      <c r="F16" s="71"/>
      <c r="G16" s="71">
        <f>SUM(E16:F16)</f>
        <v>30000</v>
      </c>
      <c r="H16" s="71"/>
      <c r="I16" s="71">
        <f>SUM(G16:H16)</f>
        <v>30000</v>
      </c>
      <c r="J16" s="71"/>
      <c r="K16" s="71">
        <f t="shared" si="7"/>
        <v>30000</v>
      </c>
      <c r="L16" s="71">
        <f>177000-46000</f>
        <v>131000</v>
      </c>
      <c r="M16" s="71">
        <f t="shared" si="8"/>
        <v>161000</v>
      </c>
      <c r="N16" s="71"/>
      <c r="O16" s="71">
        <f t="shared" si="9"/>
        <v>161000</v>
      </c>
      <c r="P16" s="71"/>
      <c r="Q16" s="71">
        <f t="shared" si="10"/>
        <v>161000</v>
      </c>
      <c r="R16" s="71"/>
      <c r="S16" s="71">
        <f t="shared" si="11"/>
        <v>161000</v>
      </c>
      <c r="T16" s="71"/>
      <c r="U16" s="71">
        <f t="shared" si="12"/>
        <v>161000</v>
      </c>
      <c r="V16" s="71"/>
      <c r="W16" s="71">
        <f t="shared" si="13"/>
        <v>161000</v>
      </c>
      <c r="X16" s="71">
        <v>52850</v>
      </c>
      <c r="Y16" s="71">
        <f t="shared" si="14"/>
        <v>213850</v>
      </c>
    </row>
    <row r="17" spans="1:25" s="24" customFormat="1" ht="33.75">
      <c r="A17" s="72"/>
      <c r="B17" s="47"/>
      <c r="C17" s="74" t="s">
        <v>243</v>
      </c>
      <c r="D17" s="77" t="s">
        <v>244</v>
      </c>
      <c r="E17" s="71">
        <f>150000+450000+1300000+800000+9900+4800+2000</f>
        <v>2716700</v>
      </c>
      <c r="F17" s="71"/>
      <c r="G17" s="71">
        <f>SUM(E17:F17)</f>
        <v>2716700</v>
      </c>
      <c r="H17" s="71"/>
      <c r="I17" s="71">
        <f>SUM(G17:H17)</f>
        <v>2716700</v>
      </c>
      <c r="J17" s="71"/>
      <c r="K17" s="71">
        <f t="shared" si="7"/>
        <v>2716700</v>
      </c>
      <c r="L17" s="71"/>
      <c r="M17" s="71">
        <f t="shared" si="8"/>
        <v>2716700</v>
      </c>
      <c r="N17" s="71"/>
      <c r="O17" s="71">
        <f t="shared" si="9"/>
        <v>2716700</v>
      </c>
      <c r="P17" s="71"/>
      <c r="Q17" s="71">
        <f t="shared" si="10"/>
        <v>2716700</v>
      </c>
      <c r="R17" s="71"/>
      <c r="S17" s="71">
        <f t="shared" si="11"/>
        <v>2716700</v>
      </c>
      <c r="T17" s="71">
        <v>41800</v>
      </c>
      <c r="U17" s="71">
        <f t="shared" si="12"/>
        <v>2758500</v>
      </c>
      <c r="V17" s="71"/>
      <c r="W17" s="71">
        <f t="shared" si="13"/>
        <v>2758500</v>
      </c>
      <c r="X17" s="71"/>
      <c r="Y17" s="71">
        <f t="shared" si="14"/>
        <v>2758500</v>
      </c>
    </row>
    <row r="18" spans="1:25" s="24" customFormat="1" ht="21.75" customHeight="1">
      <c r="A18" s="72"/>
      <c r="B18" s="47"/>
      <c r="C18" s="74" t="s">
        <v>161</v>
      </c>
      <c r="D18" s="77" t="s">
        <v>11</v>
      </c>
      <c r="E18" s="71">
        <v>10000</v>
      </c>
      <c r="F18" s="71"/>
      <c r="G18" s="71">
        <f>SUM(E18:F18)</f>
        <v>10000</v>
      </c>
      <c r="H18" s="71"/>
      <c r="I18" s="71">
        <f>SUM(G18:H18)</f>
        <v>10000</v>
      </c>
      <c r="J18" s="71"/>
      <c r="K18" s="71">
        <f t="shared" si="7"/>
        <v>10000</v>
      </c>
      <c r="L18" s="71"/>
      <c r="M18" s="71">
        <f t="shared" si="8"/>
        <v>10000</v>
      </c>
      <c r="N18" s="71"/>
      <c r="O18" s="71">
        <f t="shared" si="9"/>
        <v>10000</v>
      </c>
      <c r="P18" s="71"/>
      <c r="Q18" s="71">
        <f t="shared" si="10"/>
        <v>10000</v>
      </c>
      <c r="R18" s="71"/>
      <c r="S18" s="71">
        <f t="shared" si="11"/>
        <v>10000</v>
      </c>
      <c r="T18" s="71"/>
      <c r="U18" s="71">
        <f t="shared" si="12"/>
        <v>10000</v>
      </c>
      <c r="V18" s="71"/>
      <c r="W18" s="71">
        <f t="shared" si="13"/>
        <v>10000</v>
      </c>
      <c r="X18" s="71"/>
      <c r="Y18" s="71">
        <f t="shared" si="14"/>
        <v>10000</v>
      </c>
    </row>
    <row r="19" spans="1:25" s="24" customFormat="1" ht="22.5">
      <c r="A19" s="72"/>
      <c r="B19" s="47"/>
      <c r="C19" s="74" t="s">
        <v>387</v>
      </c>
      <c r="D19" s="77" t="s">
        <v>425</v>
      </c>
      <c r="E19" s="71"/>
      <c r="F19" s="71"/>
      <c r="G19" s="71"/>
      <c r="H19" s="71"/>
      <c r="I19" s="71">
        <v>0</v>
      </c>
      <c r="J19" s="71">
        <v>30000</v>
      </c>
      <c r="K19" s="71">
        <f t="shared" si="7"/>
        <v>30000</v>
      </c>
      <c r="L19" s="71"/>
      <c r="M19" s="71">
        <f t="shared" si="8"/>
        <v>30000</v>
      </c>
      <c r="N19" s="71"/>
      <c r="O19" s="71">
        <f t="shared" si="9"/>
        <v>30000</v>
      </c>
      <c r="P19" s="71"/>
      <c r="Q19" s="71">
        <f t="shared" si="10"/>
        <v>30000</v>
      </c>
      <c r="R19" s="71"/>
      <c r="S19" s="71">
        <f t="shared" si="11"/>
        <v>30000</v>
      </c>
      <c r="T19" s="71"/>
      <c r="U19" s="71">
        <f t="shared" si="12"/>
        <v>30000</v>
      </c>
      <c r="V19" s="71"/>
      <c r="W19" s="71">
        <f t="shared" si="13"/>
        <v>30000</v>
      </c>
      <c r="X19" s="71"/>
      <c r="Y19" s="71">
        <f t="shared" si="14"/>
        <v>30000</v>
      </c>
    </row>
    <row r="20" spans="1:25" s="24" customFormat="1" ht="21.75" customHeight="1">
      <c r="A20" s="72"/>
      <c r="B20" s="47">
        <v>70095</v>
      </c>
      <c r="C20" s="74"/>
      <c r="D20" s="77" t="s">
        <v>6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>
        <f aca="true" t="shared" si="15" ref="S20:Y20">SUM(S21)</f>
        <v>0</v>
      </c>
      <c r="T20" s="71">
        <f t="shared" si="15"/>
        <v>16200</v>
      </c>
      <c r="U20" s="71">
        <f t="shared" si="15"/>
        <v>16200</v>
      </c>
      <c r="V20" s="71">
        <f t="shared" si="15"/>
        <v>0</v>
      </c>
      <c r="W20" s="71">
        <f t="shared" si="15"/>
        <v>16200</v>
      </c>
      <c r="X20" s="71">
        <f t="shared" si="15"/>
        <v>0</v>
      </c>
      <c r="Y20" s="71">
        <f t="shared" si="15"/>
        <v>16200</v>
      </c>
    </row>
    <row r="21" spans="1:25" s="24" customFormat="1" ht="21.75" customHeight="1">
      <c r="A21" s="72"/>
      <c r="B21" s="47"/>
      <c r="C21" s="74" t="s">
        <v>162</v>
      </c>
      <c r="D21" s="77" t="s">
        <v>12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>
        <v>0</v>
      </c>
      <c r="T21" s="71">
        <v>16200</v>
      </c>
      <c r="U21" s="71">
        <f t="shared" si="12"/>
        <v>16200</v>
      </c>
      <c r="V21" s="71"/>
      <c r="W21" s="71">
        <f>SUM(U21:V21)</f>
        <v>16200</v>
      </c>
      <c r="X21" s="71"/>
      <c r="Y21" s="71">
        <f>SUM(W21:X21)</f>
        <v>16200</v>
      </c>
    </row>
    <row r="22" spans="1:25" s="6" customFormat="1" ht="20.25" customHeight="1">
      <c r="A22" s="29" t="s">
        <v>15</v>
      </c>
      <c r="B22" s="2"/>
      <c r="C22" s="3"/>
      <c r="D22" s="30" t="s">
        <v>16</v>
      </c>
      <c r="E22" s="58">
        <f aca="true" t="shared" si="16" ref="E22:K22">SUM(E23,E25)</f>
        <v>168600</v>
      </c>
      <c r="F22" s="58">
        <f t="shared" si="16"/>
        <v>0</v>
      </c>
      <c r="G22" s="58">
        <f t="shared" si="16"/>
        <v>168600</v>
      </c>
      <c r="H22" s="58">
        <f t="shared" si="16"/>
        <v>0</v>
      </c>
      <c r="I22" s="58">
        <f t="shared" si="16"/>
        <v>168600</v>
      </c>
      <c r="J22" s="58">
        <f t="shared" si="16"/>
        <v>0</v>
      </c>
      <c r="K22" s="58">
        <f t="shared" si="16"/>
        <v>168600</v>
      </c>
      <c r="L22" s="58">
        <f aca="true" t="shared" si="17" ref="L22:Q22">SUM(L23,L25)</f>
        <v>0</v>
      </c>
      <c r="M22" s="58">
        <f t="shared" si="17"/>
        <v>168600</v>
      </c>
      <c r="N22" s="58">
        <f t="shared" si="17"/>
        <v>0</v>
      </c>
      <c r="O22" s="58">
        <f t="shared" si="17"/>
        <v>168600</v>
      </c>
      <c r="P22" s="58">
        <f t="shared" si="17"/>
        <v>0</v>
      </c>
      <c r="Q22" s="58">
        <f t="shared" si="17"/>
        <v>168600</v>
      </c>
      <c r="R22" s="58">
        <f>SUM(R23,R25)</f>
        <v>0</v>
      </c>
      <c r="S22" s="58">
        <f>SUM(S23,S25)</f>
        <v>168600</v>
      </c>
      <c r="T22" s="58">
        <f>SUM(T23,T25)</f>
        <v>0</v>
      </c>
      <c r="U22" s="58">
        <f>SUM(U23,U25)</f>
        <v>168600</v>
      </c>
      <c r="V22" s="58">
        <f>SUM(V23,V25)</f>
        <v>0</v>
      </c>
      <c r="W22" s="58">
        <f>SUM(W23,W25,W27)</f>
        <v>168600</v>
      </c>
      <c r="X22" s="58">
        <f>SUM(X23,X25,X27)</f>
        <v>14329</v>
      </c>
      <c r="Y22" s="58">
        <f>SUM(Y23,Y25,Y27)</f>
        <v>182929</v>
      </c>
    </row>
    <row r="23" spans="1:25" s="24" customFormat="1" ht="18.75" customHeight="1">
      <c r="A23" s="72"/>
      <c r="B23" s="73">
        <v>75011</v>
      </c>
      <c r="C23" s="80"/>
      <c r="D23" s="77" t="s">
        <v>17</v>
      </c>
      <c r="E23" s="71">
        <f aca="true" t="shared" si="18" ref="E23:Y23">SUM(E24:E24)</f>
        <v>156600</v>
      </c>
      <c r="F23" s="71">
        <f t="shared" si="18"/>
        <v>0</v>
      </c>
      <c r="G23" s="71">
        <f t="shared" si="18"/>
        <v>156600</v>
      </c>
      <c r="H23" s="71">
        <f t="shared" si="18"/>
        <v>0</v>
      </c>
      <c r="I23" s="71">
        <f t="shared" si="18"/>
        <v>156600</v>
      </c>
      <c r="J23" s="71">
        <f t="shared" si="18"/>
        <v>0</v>
      </c>
      <c r="K23" s="71">
        <f t="shared" si="18"/>
        <v>156600</v>
      </c>
      <c r="L23" s="71">
        <f t="shared" si="18"/>
        <v>0</v>
      </c>
      <c r="M23" s="71">
        <f t="shared" si="18"/>
        <v>156600</v>
      </c>
      <c r="N23" s="71">
        <f t="shared" si="18"/>
        <v>0</v>
      </c>
      <c r="O23" s="71">
        <f t="shared" si="18"/>
        <v>156600</v>
      </c>
      <c r="P23" s="71">
        <f t="shared" si="18"/>
        <v>0</v>
      </c>
      <c r="Q23" s="71">
        <f t="shared" si="18"/>
        <v>156600</v>
      </c>
      <c r="R23" s="71">
        <f t="shared" si="18"/>
        <v>0</v>
      </c>
      <c r="S23" s="71">
        <f t="shared" si="18"/>
        <v>156600</v>
      </c>
      <c r="T23" s="71">
        <f t="shared" si="18"/>
        <v>0</v>
      </c>
      <c r="U23" s="71">
        <f t="shared" si="18"/>
        <v>156600</v>
      </c>
      <c r="V23" s="71">
        <f t="shared" si="18"/>
        <v>0</v>
      </c>
      <c r="W23" s="71">
        <f t="shared" si="18"/>
        <v>156600</v>
      </c>
      <c r="X23" s="71">
        <f t="shared" si="18"/>
        <v>0</v>
      </c>
      <c r="Y23" s="71">
        <f t="shared" si="18"/>
        <v>156600</v>
      </c>
    </row>
    <row r="24" spans="1:25" s="24" customFormat="1" ht="56.25">
      <c r="A24" s="72"/>
      <c r="B24" s="47"/>
      <c r="C24" s="74">
        <v>2010</v>
      </c>
      <c r="D24" s="77" t="s">
        <v>211</v>
      </c>
      <c r="E24" s="85">
        <v>156600</v>
      </c>
      <c r="F24" s="85"/>
      <c r="G24" s="85">
        <f>SUM(E24:F24)</f>
        <v>156600</v>
      </c>
      <c r="H24" s="85"/>
      <c r="I24" s="85">
        <f>SUM(G24:H24)</f>
        <v>156600</v>
      </c>
      <c r="J24" s="85"/>
      <c r="K24" s="85">
        <f>SUM(I24:J24)</f>
        <v>156600</v>
      </c>
      <c r="L24" s="85"/>
      <c r="M24" s="85">
        <f>SUM(K24:L24)</f>
        <v>156600</v>
      </c>
      <c r="N24" s="85"/>
      <c r="O24" s="85">
        <f>SUM(M24:N24)</f>
        <v>156600</v>
      </c>
      <c r="P24" s="85"/>
      <c r="Q24" s="85">
        <f>SUM(O24:P24)</f>
        <v>156600</v>
      </c>
      <c r="R24" s="85"/>
      <c r="S24" s="85">
        <f>SUM(Q24:R24)</f>
        <v>156600</v>
      </c>
      <c r="T24" s="85"/>
      <c r="U24" s="85">
        <f>SUM(S24:T24)</f>
        <v>156600</v>
      </c>
      <c r="V24" s="85"/>
      <c r="W24" s="85">
        <f>SUM(U24:V24)</f>
        <v>156600</v>
      </c>
      <c r="X24" s="85"/>
      <c r="Y24" s="85">
        <f>SUM(W24:X24)</f>
        <v>156600</v>
      </c>
    </row>
    <row r="25" spans="1:25" s="24" customFormat="1" ht="24" customHeight="1">
      <c r="A25" s="72"/>
      <c r="B25" s="47">
        <v>75023</v>
      </c>
      <c r="C25" s="74"/>
      <c r="D25" s="38" t="s">
        <v>19</v>
      </c>
      <c r="E25" s="71">
        <f aca="true" t="shared" si="19" ref="E25:Y25">SUM(E26)</f>
        <v>12000</v>
      </c>
      <c r="F25" s="71">
        <f t="shared" si="19"/>
        <v>0</v>
      </c>
      <c r="G25" s="71">
        <f t="shared" si="19"/>
        <v>12000</v>
      </c>
      <c r="H25" s="71">
        <f t="shared" si="19"/>
        <v>0</v>
      </c>
      <c r="I25" s="71">
        <f t="shared" si="19"/>
        <v>12000</v>
      </c>
      <c r="J25" s="71">
        <f t="shared" si="19"/>
        <v>0</v>
      </c>
      <c r="K25" s="71">
        <f t="shared" si="19"/>
        <v>12000</v>
      </c>
      <c r="L25" s="71">
        <f t="shared" si="19"/>
        <v>0</v>
      </c>
      <c r="M25" s="71">
        <f t="shared" si="19"/>
        <v>12000</v>
      </c>
      <c r="N25" s="71">
        <f t="shared" si="19"/>
        <v>0</v>
      </c>
      <c r="O25" s="71">
        <f t="shared" si="19"/>
        <v>12000</v>
      </c>
      <c r="P25" s="71">
        <f t="shared" si="19"/>
        <v>0</v>
      </c>
      <c r="Q25" s="71">
        <f t="shared" si="19"/>
        <v>12000</v>
      </c>
      <c r="R25" s="71">
        <f t="shared" si="19"/>
        <v>0</v>
      </c>
      <c r="S25" s="71">
        <f t="shared" si="19"/>
        <v>12000</v>
      </c>
      <c r="T25" s="71">
        <f t="shared" si="19"/>
        <v>0</v>
      </c>
      <c r="U25" s="71">
        <f t="shared" si="19"/>
        <v>12000</v>
      </c>
      <c r="V25" s="71">
        <f t="shared" si="19"/>
        <v>0</v>
      </c>
      <c r="W25" s="71">
        <f t="shared" si="19"/>
        <v>12000</v>
      </c>
      <c r="X25" s="71">
        <f t="shared" si="19"/>
        <v>0</v>
      </c>
      <c r="Y25" s="71">
        <f t="shared" si="19"/>
        <v>12000</v>
      </c>
    </row>
    <row r="26" spans="1:25" s="24" customFormat="1" ht="21.75" customHeight="1">
      <c r="A26" s="72"/>
      <c r="B26" s="47"/>
      <c r="C26" s="74" t="s">
        <v>162</v>
      </c>
      <c r="D26" s="77" t="s">
        <v>12</v>
      </c>
      <c r="E26" s="71">
        <v>12000</v>
      </c>
      <c r="F26" s="71"/>
      <c r="G26" s="71">
        <f>SUM(E26:F26)</f>
        <v>12000</v>
      </c>
      <c r="H26" s="71"/>
      <c r="I26" s="71">
        <f>SUM(G26:H26)</f>
        <v>12000</v>
      </c>
      <c r="J26" s="71"/>
      <c r="K26" s="71">
        <f>SUM(I26:J26)</f>
        <v>12000</v>
      </c>
      <c r="L26" s="71"/>
      <c r="M26" s="71">
        <f>SUM(K26:L26)</f>
        <v>12000</v>
      </c>
      <c r="N26" s="71"/>
      <c r="O26" s="71">
        <f>SUM(M26:N26)</f>
        <v>12000</v>
      </c>
      <c r="P26" s="71"/>
      <c r="Q26" s="71">
        <f>SUM(O26:P26)</f>
        <v>12000</v>
      </c>
      <c r="R26" s="71"/>
      <c r="S26" s="71">
        <f>SUM(Q26:R26)</f>
        <v>12000</v>
      </c>
      <c r="T26" s="71"/>
      <c r="U26" s="71">
        <f>SUM(S26:T26)</f>
        <v>12000</v>
      </c>
      <c r="V26" s="71"/>
      <c r="W26" s="71">
        <f>SUM(U26:V26)</f>
        <v>12000</v>
      </c>
      <c r="X26" s="71"/>
      <c r="Y26" s="71">
        <f>SUM(W26:X26)</f>
        <v>12000</v>
      </c>
    </row>
    <row r="27" spans="1:25" s="24" customFormat="1" ht="21.75" customHeight="1">
      <c r="A27" s="72"/>
      <c r="B27" s="47">
        <v>75056</v>
      </c>
      <c r="C27" s="74"/>
      <c r="D27" s="77" t="s">
        <v>517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>
        <f>SUM(W28)</f>
        <v>0</v>
      </c>
      <c r="X27" s="71">
        <f>SUM(X28)</f>
        <v>14329</v>
      </c>
      <c r="Y27" s="71">
        <f>SUM(Y28)</f>
        <v>14329</v>
      </c>
    </row>
    <row r="28" spans="1:25" s="24" customFormat="1" ht="56.25">
      <c r="A28" s="72"/>
      <c r="B28" s="47"/>
      <c r="C28" s="74">
        <v>2010</v>
      </c>
      <c r="D28" s="77" t="s">
        <v>211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>
        <v>0</v>
      </c>
      <c r="X28" s="71">
        <v>14329</v>
      </c>
      <c r="Y28" s="71">
        <f>SUM(W28:X28)</f>
        <v>14329</v>
      </c>
    </row>
    <row r="29" spans="1:25" s="6" customFormat="1" ht="36">
      <c r="A29" s="29">
        <v>751</v>
      </c>
      <c r="B29" s="4"/>
      <c r="C29" s="20"/>
      <c r="D29" s="30" t="s">
        <v>20</v>
      </c>
      <c r="E29" s="58">
        <f aca="true" t="shared" si="20" ref="E29:X30">SUM(E30)</f>
        <v>3952</v>
      </c>
      <c r="F29" s="58">
        <f t="shared" si="20"/>
        <v>0</v>
      </c>
      <c r="G29" s="58">
        <f t="shared" si="20"/>
        <v>3952</v>
      </c>
      <c r="H29" s="58">
        <f t="shared" si="20"/>
        <v>0</v>
      </c>
      <c r="I29" s="58">
        <f t="shared" si="20"/>
        <v>3952</v>
      </c>
      <c r="J29" s="58">
        <f t="shared" si="20"/>
        <v>0</v>
      </c>
      <c r="K29" s="58">
        <f t="shared" si="20"/>
        <v>3952</v>
      </c>
      <c r="L29" s="58">
        <f t="shared" si="20"/>
        <v>0</v>
      </c>
      <c r="M29" s="58">
        <f t="shared" si="20"/>
        <v>3952</v>
      </c>
      <c r="N29" s="58">
        <f t="shared" si="20"/>
        <v>0</v>
      </c>
      <c r="O29" s="58">
        <f aca="true" t="shared" si="21" ref="O29:U29">SUM(O30,O32)</f>
        <v>3952</v>
      </c>
      <c r="P29" s="58">
        <f t="shared" si="21"/>
        <v>20663</v>
      </c>
      <c r="Q29" s="58">
        <f t="shared" si="21"/>
        <v>24615</v>
      </c>
      <c r="R29" s="58">
        <f t="shared" si="21"/>
        <v>21375</v>
      </c>
      <c r="S29" s="58">
        <f t="shared" si="21"/>
        <v>45990</v>
      </c>
      <c r="T29" s="58">
        <f t="shared" si="21"/>
        <v>11000</v>
      </c>
      <c r="U29" s="58">
        <f t="shared" si="21"/>
        <v>56990</v>
      </c>
      <c r="V29" s="58">
        <f>SUM(V30,V32)</f>
        <v>21375</v>
      </c>
      <c r="W29" s="58">
        <f>SUM(W30,W32)</f>
        <v>78365</v>
      </c>
      <c r="X29" s="58">
        <f>SUM(X30,X32)</f>
        <v>0</v>
      </c>
      <c r="Y29" s="58">
        <f>SUM(Y30,Y32)</f>
        <v>78365</v>
      </c>
    </row>
    <row r="30" spans="1:25" s="24" customFormat="1" ht="22.5">
      <c r="A30" s="78"/>
      <c r="B30" s="73">
        <v>75101</v>
      </c>
      <c r="C30" s="80"/>
      <c r="D30" s="77" t="s">
        <v>21</v>
      </c>
      <c r="E30" s="71">
        <f t="shared" si="20"/>
        <v>3952</v>
      </c>
      <c r="F30" s="71">
        <f t="shared" si="20"/>
        <v>0</v>
      </c>
      <c r="G30" s="71">
        <f t="shared" si="20"/>
        <v>3952</v>
      </c>
      <c r="H30" s="71">
        <f t="shared" si="20"/>
        <v>0</v>
      </c>
      <c r="I30" s="71">
        <f t="shared" si="20"/>
        <v>3952</v>
      </c>
      <c r="J30" s="71">
        <f t="shared" si="20"/>
        <v>0</v>
      </c>
      <c r="K30" s="71">
        <f t="shared" si="20"/>
        <v>3952</v>
      </c>
      <c r="L30" s="71">
        <f t="shared" si="20"/>
        <v>0</v>
      </c>
      <c r="M30" s="71">
        <f t="shared" si="20"/>
        <v>3952</v>
      </c>
      <c r="N30" s="71">
        <f t="shared" si="20"/>
        <v>0</v>
      </c>
      <c r="O30" s="71">
        <f t="shared" si="20"/>
        <v>3952</v>
      </c>
      <c r="P30" s="71">
        <f t="shared" si="20"/>
        <v>0</v>
      </c>
      <c r="Q30" s="71">
        <f t="shared" si="20"/>
        <v>3952</v>
      </c>
      <c r="R30" s="71">
        <f t="shared" si="20"/>
        <v>0</v>
      </c>
      <c r="S30" s="71">
        <f t="shared" si="20"/>
        <v>3952</v>
      </c>
      <c r="T30" s="71">
        <f t="shared" si="20"/>
        <v>0</v>
      </c>
      <c r="U30" s="71">
        <f>SUM(U31)</f>
        <v>3952</v>
      </c>
      <c r="V30" s="71">
        <f t="shared" si="20"/>
        <v>0</v>
      </c>
      <c r="W30" s="71">
        <f>SUM(W31)</f>
        <v>3952</v>
      </c>
      <c r="X30" s="71">
        <f t="shared" si="20"/>
        <v>0</v>
      </c>
      <c r="Y30" s="71">
        <f>SUM(Y31)</f>
        <v>3952</v>
      </c>
    </row>
    <row r="31" spans="1:25" s="24" customFormat="1" ht="56.25">
      <c r="A31" s="78"/>
      <c r="B31" s="73"/>
      <c r="C31" s="80">
        <v>2010</v>
      </c>
      <c r="D31" s="77" t="s">
        <v>211</v>
      </c>
      <c r="E31" s="71">
        <v>3952</v>
      </c>
      <c r="F31" s="71"/>
      <c r="G31" s="71">
        <f>SUM(E31:F31)</f>
        <v>3952</v>
      </c>
      <c r="H31" s="71"/>
      <c r="I31" s="71">
        <f>SUM(G31:H31)</f>
        <v>3952</v>
      </c>
      <c r="J31" s="71"/>
      <c r="K31" s="71">
        <f>SUM(I31:J31)</f>
        <v>3952</v>
      </c>
      <c r="L31" s="71"/>
      <c r="M31" s="71">
        <f>SUM(K31:L31)</f>
        <v>3952</v>
      </c>
      <c r="N31" s="71"/>
      <c r="O31" s="71">
        <f>SUM(M31:N31)</f>
        <v>3952</v>
      </c>
      <c r="P31" s="71"/>
      <c r="Q31" s="71">
        <f>SUM(O31:P31)</f>
        <v>3952</v>
      </c>
      <c r="R31" s="71"/>
      <c r="S31" s="71">
        <f>SUM(Q31:R31)</f>
        <v>3952</v>
      </c>
      <c r="T31" s="71"/>
      <c r="U31" s="71">
        <f>SUM(S31:T31)</f>
        <v>3952</v>
      </c>
      <c r="V31" s="71"/>
      <c r="W31" s="71">
        <f>SUM(U31:V31)</f>
        <v>3952</v>
      </c>
      <c r="X31" s="71"/>
      <c r="Y31" s="71">
        <f>SUM(W31:X31)</f>
        <v>3952</v>
      </c>
    </row>
    <row r="32" spans="1:25" s="24" customFormat="1" ht="22.5">
      <c r="A32" s="78"/>
      <c r="B32" s="73">
        <v>75107</v>
      </c>
      <c r="C32" s="80"/>
      <c r="D32" s="38" t="s">
        <v>484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>
        <f aca="true" t="shared" si="22" ref="O32:Y32">SUM(O33)</f>
        <v>0</v>
      </c>
      <c r="P32" s="71">
        <f t="shared" si="22"/>
        <v>20663</v>
      </c>
      <c r="Q32" s="71">
        <f t="shared" si="22"/>
        <v>20663</v>
      </c>
      <c r="R32" s="71">
        <f t="shared" si="22"/>
        <v>21375</v>
      </c>
      <c r="S32" s="71">
        <f t="shared" si="22"/>
        <v>42038</v>
      </c>
      <c r="T32" s="71">
        <f t="shared" si="22"/>
        <v>11000</v>
      </c>
      <c r="U32" s="71">
        <f t="shared" si="22"/>
        <v>53038</v>
      </c>
      <c r="V32" s="71">
        <f t="shared" si="22"/>
        <v>21375</v>
      </c>
      <c r="W32" s="71">
        <f t="shared" si="22"/>
        <v>74413</v>
      </c>
      <c r="X32" s="71">
        <f t="shared" si="22"/>
        <v>0</v>
      </c>
      <c r="Y32" s="71">
        <f t="shared" si="22"/>
        <v>74413</v>
      </c>
    </row>
    <row r="33" spans="1:25" s="24" customFormat="1" ht="56.25">
      <c r="A33" s="78"/>
      <c r="B33" s="73"/>
      <c r="C33" s="80">
        <v>2010</v>
      </c>
      <c r="D33" s="77" t="s">
        <v>211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>
        <v>0</v>
      </c>
      <c r="P33" s="71">
        <v>20663</v>
      </c>
      <c r="Q33" s="71">
        <f>SUM(O33:P33)</f>
        <v>20663</v>
      </c>
      <c r="R33" s="71">
        <v>21375</v>
      </c>
      <c r="S33" s="71">
        <f>SUM(Q33:R33)</f>
        <v>42038</v>
      </c>
      <c r="T33" s="71">
        <v>11000</v>
      </c>
      <c r="U33" s="71">
        <f>SUM(S33:T33)</f>
        <v>53038</v>
      </c>
      <c r="V33" s="71">
        <v>21375</v>
      </c>
      <c r="W33" s="71">
        <f>SUM(U33:V33)</f>
        <v>74413</v>
      </c>
      <c r="X33" s="71"/>
      <c r="Y33" s="71">
        <f>SUM(W33:X33)</f>
        <v>74413</v>
      </c>
    </row>
    <row r="34" spans="1:25" s="6" customFormat="1" ht="30" customHeight="1">
      <c r="A34" s="29" t="s">
        <v>22</v>
      </c>
      <c r="B34" s="2"/>
      <c r="C34" s="3"/>
      <c r="D34" s="30" t="s">
        <v>23</v>
      </c>
      <c r="E34" s="58">
        <f aca="true" t="shared" si="23" ref="E34:Y34">SUM(E35)</f>
        <v>5500</v>
      </c>
      <c r="F34" s="58">
        <f t="shared" si="23"/>
        <v>0</v>
      </c>
      <c r="G34" s="58">
        <f t="shared" si="23"/>
        <v>5500</v>
      </c>
      <c r="H34" s="58">
        <f t="shared" si="23"/>
        <v>0</v>
      </c>
      <c r="I34" s="58">
        <f t="shared" si="23"/>
        <v>5500</v>
      </c>
      <c r="J34" s="58">
        <f t="shared" si="23"/>
        <v>0</v>
      </c>
      <c r="K34" s="58">
        <f t="shared" si="23"/>
        <v>5500</v>
      </c>
      <c r="L34" s="58">
        <f t="shared" si="23"/>
        <v>0</v>
      </c>
      <c r="M34" s="58">
        <f t="shared" si="23"/>
        <v>5500</v>
      </c>
      <c r="N34" s="58">
        <f t="shared" si="23"/>
        <v>0</v>
      </c>
      <c r="O34" s="58">
        <f t="shared" si="23"/>
        <v>5500</v>
      </c>
      <c r="P34" s="58">
        <f t="shared" si="23"/>
        <v>0</v>
      </c>
      <c r="Q34" s="58">
        <f t="shared" si="23"/>
        <v>5500</v>
      </c>
      <c r="R34" s="58">
        <f t="shared" si="23"/>
        <v>0</v>
      </c>
      <c r="S34" s="58">
        <f t="shared" si="23"/>
        <v>5500</v>
      </c>
      <c r="T34" s="58">
        <f t="shared" si="23"/>
        <v>0</v>
      </c>
      <c r="U34" s="58">
        <f t="shared" si="23"/>
        <v>5500</v>
      </c>
      <c r="V34" s="58">
        <f t="shared" si="23"/>
        <v>0</v>
      </c>
      <c r="W34" s="58">
        <f t="shared" si="23"/>
        <v>5500</v>
      </c>
      <c r="X34" s="58">
        <f t="shared" si="23"/>
        <v>0</v>
      </c>
      <c r="Y34" s="58">
        <f t="shared" si="23"/>
        <v>5500</v>
      </c>
    </row>
    <row r="35" spans="1:25" s="24" customFormat="1" ht="24" customHeight="1">
      <c r="A35" s="78"/>
      <c r="B35" s="73" t="s">
        <v>24</v>
      </c>
      <c r="C35" s="80"/>
      <c r="D35" s="77" t="s">
        <v>25</v>
      </c>
      <c r="E35" s="71">
        <f aca="true" t="shared" si="24" ref="E35:K35">SUM(E36:E37)</f>
        <v>5500</v>
      </c>
      <c r="F35" s="71">
        <f t="shared" si="24"/>
        <v>0</v>
      </c>
      <c r="G35" s="71">
        <f t="shared" si="24"/>
        <v>5500</v>
      </c>
      <c r="H35" s="71">
        <f t="shared" si="24"/>
        <v>0</v>
      </c>
      <c r="I35" s="71">
        <f t="shared" si="24"/>
        <v>5500</v>
      </c>
      <c r="J35" s="71">
        <f t="shared" si="24"/>
        <v>0</v>
      </c>
      <c r="K35" s="71">
        <f t="shared" si="24"/>
        <v>5500</v>
      </c>
      <c r="L35" s="71">
        <f aca="true" t="shared" si="25" ref="L35:Q35">SUM(L36:L37)</f>
        <v>0</v>
      </c>
      <c r="M35" s="71">
        <f t="shared" si="25"/>
        <v>5500</v>
      </c>
      <c r="N35" s="71">
        <f t="shared" si="25"/>
        <v>0</v>
      </c>
      <c r="O35" s="71">
        <f t="shared" si="25"/>
        <v>5500</v>
      </c>
      <c r="P35" s="71">
        <f t="shared" si="25"/>
        <v>0</v>
      </c>
      <c r="Q35" s="71">
        <f t="shared" si="25"/>
        <v>5500</v>
      </c>
      <c r="R35" s="71">
        <f aca="true" t="shared" si="26" ref="R35:W35">SUM(R36:R37)</f>
        <v>0</v>
      </c>
      <c r="S35" s="71">
        <f t="shared" si="26"/>
        <v>5500</v>
      </c>
      <c r="T35" s="71">
        <f t="shared" si="26"/>
        <v>0</v>
      </c>
      <c r="U35" s="71">
        <f t="shared" si="26"/>
        <v>5500</v>
      </c>
      <c r="V35" s="71">
        <f t="shared" si="26"/>
        <v>0</v>
      </c>
      <c r="W35" s="71">
        <f t="shared" si="26"/>
        <v>5500</v>
      </c>
      <c r="X35" s="71">
        <f>SUM(X36:X37)</f>
        <v>0</v>
      </c>
      <c r="Y35" s="71">
        <f>SUM(Y36:Y37)</f>
        <v>5500</v>
      </c>
    </row>
    <row r="36" spans="1:25" s="24" customFormat="1" ht="21.75" customHeight="1">
      <c r="A36" s="78"/>
      <c r="B36" s="47"/>
      <c r="C36" s="74" t="s">
        <v>163</v>
      </c>
      <c r="D36" s="77" t="s">
        <v>431</v>
      </c>
      <c r="E36" s="71">
        <v>5000</v>
      </c>
      <c r="F36" s="71"/>
      <c r="G36" s="71">
        <f>SUM(E36:F36)</f>
        <v>5000</v>
      </c>
      <c r="H36" s="71"/>
      <c r="I36" s="71">
        <f>SUM(G36:H36)</f>
        <v>5000</v>
      </c>
      <c r="J36" s="71"/>
      <c r="K36" s="71">
        <f>SUM(I36:J36)</f>
        <v>5000</v>
      </c>
      <c r="L36" s="71"/>
      <c r="M36" s="71">
        <f>SUM(K36:L36)</f>
        <v>5000</v>
      </c>
      <c r="N36" s="71"/>
      <c r="O36" s="71">
        <f>SUM(M36:N36)</f>
        <v>5000</v>
      </c>
      <c r="P36" s="71"/>
      <c r="Q36" s="71">
        <f>SUM(O36:P36)</f>
        <v>5000</v>
      </c>
      <c r="R36" s="71"/>
      <c r="S36" s="71">
        <f>SUM(Q36:R36)</f>
        <v>5000</v>
      </c>
      <c r="T36" s="71"/>
      <c r="U36" s="71">
        <f>SUM(S36:T36)</f>
        <v>5000</v>
      </c>
      <c r="V36" s="71"/>
      <c r="W36" s="71">
        <f>SUM(U36:V36)</f>
        <v>5000</v>
      </c>
      <c r="X36" s="71"/>
      <c r="Y36" s="71">
        <f>SUM(W36:X36)</f>
        <v>5000</v>
      </c>
    </row>
    <row r="37" spans="1:25" s="24" customFormat="1" ht="21.75" customHeight="1">
      <c r="A37" s="78"/>
      <c r="B37" s="47"/>
      <c r="C37" s="74" t="s">
        <v>161</v>
      </c>
      <c r="D37" s="77" t="s">
        <v>11</v>
      </c>
      <c r="E37" s="71">
        <v>500</v>
      </c>
      <c r="F37" s="71"/>
      <c r="G37" s="71">
        <f>SUM(E37:F37)</f>
        <v>500</v>
      </c>
      <c r="H37" s="71"/>
      <c r="I37" s="71">
        <f>SUM(G37:H37)</f>
        <v>500</v>
      </c>
      <c r="J37" s="71"/>
      <c r="K37" s="71">
        <f>SUM(I37:J37)</f>
        <v>500</v>
      </c>
      <c r="L37" s="71"/>
      <c r="M37" s="71">
        <f>SUM(K37:L37)</f>
        <v>500</v>
      </c>
      <c r="N37" s="71"/>
      <c r="O37" s="71">
        <f>SUM(M37:N37)</f>
        <v>500</v>
      </c>
      <c r="P37" s="71"/>
      <c r="Q37" s="71">
        <f>SUM(O37:P37)</f>
        <v>500</v>
      </c>
      <c r="R37" s="71"/>
      <c r="S37" s="71">
        <f>SUM(Q37:R37)</f>
        <v>500</v>
      </c>
      <c r="T37" s="71"/>
      <c r="U37" s="71">
        <f>SUM(S37:T37)</f>
        <v>500</v>
      </c>
      <c r="V37" s="71"/>
      <c r="W37" s="71">
        <f>SUM(U37:V37)</f>
        <v>500</v>
      </c>
      <c r="X37" s="71"/>
      <c r="Y37" s="71">
        <f>SUM(W37:X37)</f>
        <v>500</v>
      </c>
    </row>
    <row r="38" spans="1:25" s="6" customFormat="1" ht="52.5" customHeight="1">
      <c r="A38" s="29" t="s">
        <v>26</v>
      </c>
      <c r="B38" s="2"/>
      <c r="C38" s="3"/>
      <c r="D38" s="30" t="s">
        <v>152</v>
      </c>
      <c r="E38" s="58">
        <f aca="true" t="shared" si="27" ref="E38:K38">SUM(E39,E42,E50,E60,E66,)</f>
        <v>22599894</v>
      </c>
      <c r="F38" s="58">
        <f t="shared" si="27"/>
        <v>0</v>
      </c>
      <c r="G38" s="58">
        <f t="shared" si="27"/>
        <v>22599894</v>
      </c>
      <c r="H38" s="58">
        <f t="shared" si="27"/>
        <v>0</v>
      </c>
      <c r="I38" s="58">
        <f t="shared" si="27"/>
        <v>22599894</v>
      </c>
      <c r="J38" s="58">
        <f t="shared" si="27"/>
        <v>284818</v>
      </c>
      <c r="K38" s="58">
        <f t="shared" si="27"/>
        <v>22884712</v>
      </c>
      <c r="L38" s="58">
        <f aca="true" t="shared" si="28" ref="L38:Q38">SUM(L39,L42,L50,L60,L66,)</f>
        <v>45904</v>
      </c>
      <c r="M38" s="58">
        <f t="shared" si="28"/>
        <v>22930616</v>
      </c>
      <c r="N38" s="58">
        <f t="shared" si="28"/>
        <v>0</v>
      </c>
      <c r="O38" s="58">
        <f t="shared" si="28"/>
        <v>22930616</v>
      </c>
      <c r="P38" s="58">
        <f t="shared" si="28"/>
        <v>0</v>
      </c>
      <c r="Q38" s="58">
        <f t="shared" si="28"/>
        <v>22930616</v>
      </c>
      <c r="R38" s="58">
        <f aca="true" t="shared" si="29" ref="R38:W38">SUM(R39,R42,R50,R60,R66,)</f>
        <v>0</v>
      </c>
      <c r="S38" s="58">
        <f t="shared" si="29"/>
        <v>22930616</v>
      </c>
      <c r="T38" s="58">
        <f t="shared" si="29"/>
        <v>0</v>
      </c>
      <c r="U38" s="58">
        <f t="shared" si="29"/>
        <v>22930616</v>
      </c>
      <c r="V38" s="58">
        <f t="shared" si="29"/>
        <v>0</v>
      </c>
      <c r="W38" s="58">
        <f t="shared" si="29"/>
        <v>22930616</v>
      </c>
      <c r="X38" s="58">
        <f>SUM(X39,X42,X50,X60,X66,)</f>
        <v>0</v>
      </c>
      <c r="Y38" s="58">
        <f>SUM(Y39,Y42,Y50,Y60,Y66,)</f>
        <v>22930616</v>
      </c>
    </row>
    <row r="39" spans="1:25" s="24" customFormat="1" ht="24" customHeight="1">
      <c r="A39" s="72"/>
      <c r="B39" s="47">
        <v>75601</v>
      </c>
      <c r="C39" s="80"/>
      <c r="D39" s="77" t="s">
        <v>27</v>
      </c>
      <c r="E39" s="71">
        <f aca="true" t="shared" si="30" ref="E39:K39">SUM(E40:E41)</f>
        <v>41500</v>
      </c>
      <c r="F39" s="71">
        <f t="shared" si="30"/>
        <v>0</v>
      </c>
      <c r="G39" s="71">
        <f t="shared" si="30"/>
        <v>41500</v>
      </c>
      <c r="H39" s="71">
        <f t="shared" si="30"/>
        <v>0</v>
      </c>
      <c r="I39" s="71">
        <f t="shared" si="30"/>
        <v>41500</v>
      </c>
      <c r="J39" s="71">
        <f t="shared" si="30"/>
        <v>0</v>
      </c>
      <c r="K39" s="71">
        <f t="shared" si="30"/>
        <v>41500</v>
      </c>
      <c r="L39" s="71">
        <f aca="true" t="shared" si="31" ref="L39:Q39">SUM(L40:L41)</f>
        <v>0</v>
      </c>
      <c r="M39" s="71">
        <f t="shared" si="31"/>
        <v>41500</v>
      </c>
      <c r="N39" s="71">
        <f t="shared" si="31"/>
        <v>0</v>
      </c>
      <c r="O39" s="71">
        <f t="shared" si="31"/>
        <v>41500</v>
      </c>
      <c r="P39" s="71">
        <f t="shared" si="31"/>
        <v>0</v>
      </c>
      <c r="Q39" s="71">
        <f t="shared" si="31"/>
        <v>41500</v>
      </c>
      <c r="R39" s="71">
        <f aca="true" t="shared" si="32" ref="R39:W39">SUM(R40:R41)</f>
        <v>0</v>
      </c>
      <c r="S39" s="71">
        <f t="shared" si="32"/>
        <v>41500</v>
      </c>
      <c r="T39" s="71">
        <f t="shared" si="32"/>
        <v>0</v>
      </c>
      <c r="U39" s="71">
        <f t="shared" si="32"/>
        <v>41500</v>
      </c>
      <c r="V39" s="71">
        <f t="shared" si="32"/>
        <v>0</v>
      </c>
      <c r="W39" s="71">
        <f t="shared" si="32"/>
        <v>41500</v>
      </c>
      <c r="X39" s="71">
        <f>SUM(X40:X41)</f>
        <v>0</v>
      </c>
      <c r="Y39" s="71">
        <f>SUM(Y40:Y41)</f>
        <v>41500</v>
      </c>
    </row>
    <row r="40" spans="1:25" s="24" customFormat="1" ht="24" customHeight="1">
      <c r="A40" s="72"/>
      <c r="B40" s="47"/>
      <c r="C40" s="79" t="s">
        <v>164</v>
      </c>
      <c r="D40" s="77" t="s">
        <v>28</v>
      </c>
      <c r="E40" s="71">
        <v>40000</v>
      </c>
      <c r="F40" s="71"/>
      <c r="G40" s="71">
        <f>SUM(E40:F40)</f>
        <v>40000</v>
      </c>
      <c r="H40" s="71"/>
      <c r="I40" s="71">
        <f>SUM(G40:H40)</f>
        <v>40000</v>
      </c>
      <c r="J40" s="71"/>
      <c r="K40" s="71">
        <f>SUM(I40:J40)</f>
        <v>40000</v>
      </c>
      <c r="L40" s="71"/>
      <c r="M40" s="71">
        <f>SUM(K40:L40)</f>
        <v>40000</v>
      </c>
      <c r="N40" s="71"/>
      <c r="O40" s="71">
        <f>SUM(M40:N40)</f>
        <v>40000</v>
      </c>
      <c r="P40" s="71"/>
      <c r="Q40" s="71">
        <f>SUM(O40:P40)</f>
        <v>40000</v>
      </c>
      <c r="R40" s="71"/>
      <c r="S40" s="71">
        <f>SUM(Q40:R40)</f>
        <v>40000</v>
      </c>
      <c r="T40" s="71"/>
      <c r="U40" s="71">
        <f>SUM(S40:T40)</f>
        <v>40000</v>
      </c>
      <c r="V40" s="71"/>
      <c r="W40" s="71">
        <f>SUM(U40:V40)</f>
        <v>40000</v>
      </c>
      <c r="X40" s="71"/>
      <c r="Y40" s="71">
        <f>SUM(W40:X40)</f>
        <v>40000</v>
      </c>
    </row>
    <row r="41" spans="1:25" s="24" customFormat="1" ht="24" customHeight="1">
      <c r="A41" s="72"/>
      <c r="B41" s="47"/>
      <c r="C41" s="79" t="s">
        <v>165</v>
      </c>
      <c r="D41" s="77" t="s">
        <v>35</v>
      </c>
      <c r="E41" s="71">
        <v>1500</v>
      </c>
      <c r="F41" s="71"/>
      <c r="G41" s="71">
        <f>SUM(E41:F41)</f>
        <v>1500</v>
      </c>
      <c r="H41" s="71"/>
      <c r="I41" s="71">
        <f>SUM(G41:H41)</f>
        <v>1500</v>
      </c>
      <c r="J41" s="71"/>
      <c r="K41" s="71">
        <f>SUM(I41:J41)</f>
        <v>1500</v>
      </c>
      <c r="L41" s="71"/>
      <c r="M41" s="71">
        <f>SUM(K41:L41)</f>
        <v>1500</v>
      </c>
      <c r="N41" s="71"/>
      <c r="O41" s="71">
        <f>SUM(M41:N41)</f>
        <v>1500</v>
      </c>
      <c r="P41" s="71"/>
      <c r="Q41" s="71">
        <f>SUM(O41:P41)</f>
        <v>1500</v>
      </c>
      <c r="R41" s="71"/>
      <c r="S41" s="71">
        <f>SUM(Q41:R41)</f>
        <v>1500</v>
      </c>
      <c r="T41" s="71"/>
      <c r="U41" s="71">
        <f>SUM(S41:T41)</f>
        <v>1500</v>
      </c>
      <c r="V41" s="71"/>
      <c r="W41" s="71">
        <f>SUM(U41:V41)</f>
        <v>1500</v>
      </c>
      <c r="X41" s="71"/>
      <c r="Y41" s="71">
        <f>SUM(W41:X41)</f>
        <v>1500</v>
      </c>
    </row>
    <row r="42" spans="1:25" s="24" customFormat="1" ht="51.75" customHeight="1">
      <c r="A42" s="72"/>
      <c r="B42" s="73" t="s">
        <v>29</v>
      </c>
      <c r="C42" s="80"/>
      <c r="D42" s="77" t="s">
        <v>189</v>
      </c>
      <c r="E42" s="71">
        <f aca="true" t="shared" si="33" ref="E42:K42">SUM(E43:E49)</f>
        <v>7409319</v>
      </c>
      <c r="F42" s="71">
        <f t="shared" si="33"/>
        <v>0</v>
      </c>
      <c r="G42" s="71">
        <f t="shared" si="33"/>
        <v>7409319</v>
      </c>
      <c r="H42" s="71">
        <f t="shared" si="33"/>
        <v>0</v>
      </c>
      <c r="I42" s="71">
        <f t="shared" si="33"/>
        <v>7409319</v>
      </c>
      <c r="J42" s="71">
        <f t="shared" si="33"/>
        <v>162701</v>
      </c>
      <c r="K42" s="71">
        <f t="shared" si="33"/>
        <v>7572020</v>
      </c>
      <c r="L42" s="71">
        <f aca="true" t="shared" si="34" ref="L42:Q42">SUM(L43:L49)</f>
        <v>40000</v>
      </c>
      <c r="M42" s="71">
        <f t="shared" si="34"/>
        <v>7612020</v>
      </c>
      <c r="N42" s="71">
        <f t="shared" si="34"/>
        <v>0</v>
      </c>
      <c r="O42" s="71">
        <f t="shared" si="34"/>
        <v>7612020</v>
      </c>
      <c r="P42" s="71">
        <f t="shared" si="34"/>
        <v>0</v>
      </c>
      <c r="Q42" s="71">
        <f t="shared" si="34"/>
        <v>7612020</v>
      </c>
      <c r="R42" s="71">
        <f aca="true" t="shared" si="35" ref="R42:W42">SUM(R43:R49)</f>
        <v>0</v>
      </c>
      <c r="S42" s="71">
        <f t="shared" si="35"/>
        <v>7612020</v>
      </c>
      <c r="T42" s="71">
        <f t="shared" si="35"/>
        <v>0</v>
      </c>
      <c r="U42" s="71">
        <f t="shared" si="35"/>
        <v>7612020</v>
      </c>
      <c r="V42" s="71">
        <f t="shared" si="35"/>
        <v>0</v>
      </c>
      <c r="W42" s="71">
        <f t="shared" si="35"/>
        <v>7612020</v>
      </c>
      <c r="X42" s="71">
        <f>SUM(X43:X49)</f>
        <v>0</v>
      </c>
      <c r="Y42" s="71">
        <f>SUM(Y43:Y49)</f>
        <v>7612020</v>
      </c>
    </row>
    <row r="43" spans="1:25" s="24" customFormat="1" ht="21.75" customHeight="1">
      <c r="A43" s="72"/>
      <c r="B43" s="73"/>
      <c r="C43" s="74" t="s">
        <v>166</v>
      </c>
      <c r="D43" s="77" t="s">
        <v>30</v>
      </c>
      <c r="E43" s="71">
        <v>6712218</v>
      </c>
      <c r="F43" s="71"/>
      <c r="G43" s="71">
        <f aca="true" t="shared" si="36" ref="G43:G49">SUM(E43:F43)</f>
        <v>6712218</v>
      </c>
      <c r="H43" s="71"/>
      <c r="I43" s="71">
        <f aca="true" t="shared" si="37" ref="I43:I49">SUM(G43:H43)</f>
        <v>6712218</v>
      </c>
      <c r="J43" s="71">
        <f>40254+58897+58631</f>
        <v>157782</v>
      </c>
      <c r="K43" s="71">
        <f aca="true" t="shared" si="38" ref="K43:K49">SUM(I43:J43)</f>
        <v>6870000</v>
      </c>
      <c r="L43" s="71"/>
      <c r="M43" s="71">
        <f aca="true" t="shared" si="39" ref="M43:M49">SUM(K43:L43)</f>
        <v>6870000</v>
      </c>
      <c r="N43" s="71"/>
      <c r="O43" s="71">
        <f aca="true" t="shared" si="40" ref="O43:O49">SUM(M43:N43)</f>
        <v>6870000</v>
      </c>
      <c r="P43" s="71"/>
      <c r="Q43" s="71">
        <f aca="true" t="shared" si="41" ref="Q43:Q49">SUM(O43:P43)</f>
        <v>6870000</v>
      </c>
      <c r="R43" s="71"/>
      <c r="S43" s="71">
        <f aca="true" t="shared" si="42" ref="S43:S49">SUM(Q43:R43)</f>
        <v>6870000</v>
      </c>
      <c r="T43" s="71"/>
      <c r="U43" s="71">
        <f aca="true" t="shared" si="43" ref="U43:U49">SUM(S43:T43)</f>
        <v>6870000</v>
      </c>
      <c r="V43" s="71"/>
      <c r="W43" s="71">
        <f aca="true" t="shared" si="44" ref="W43:W49">SUM(U43:V43)</f>
        <v>6870000</v>
      </c>
      <c r="X43" s="71"/>
      <c r="Y43" s="71">
        <f aca="true" t="shared" si="45" ref="Y43:Y49">SUM(W43:X43)</f>
        <v>6870000</v>
      </c>
    </row>
    <row r="44" spans="1:25" s="24" customFormat="1" ht="21.75" customHeight="1">
      <c r="A44" s="72"/>
      <c r="B44" s="73"/>
      <c r="C44" s="74" t="s">
        <v>167</v>
      </c>
      <c r="D44" s="77" t="s">
        <v>31</v>
      </c>
      <c r="E44" s="71">
        <v>26903</v>
      </c>
      <c r="F44" s="71"/>
      <c r="G44" s="71">
        <f t="shared" si="36"/>
        <v>26903</v>
      </c>
      <c r="H44" s="71"/>
      <c r="I44" s="71">
        <f t="shared" si="37"/>
        <v>26903</v>
      </c>
      <c r="J44" s="71"/>
      <c r="K44" s="71">
        <f t="shared" si="38"/>
        <v>26903</v>
      </c>
      <c r="L44" s="71"/>
      <c r="M44" s="71">
        <f t="shared" si="39"/>
        <v>26903</v>
      </c>
      <c r="N44" s="71"/>
      <c r="O44" s="71">
        <f t="shared" si="40"/>
        <v>26903</v>
      </c>
      <c r="P44" s="71"/>
      <c r="Q44" s="71">
        <f t="shared" si="41"/>
        <v>26903</v>
      </c>
      <c r="R44" s="71"/>
      <c r="S44" s="71">
        <f t="shared" si="42"/>
        <v>26903</v>
      </c>
      <c r="T44" s="71"/>
      <c r="U44" s="71">
        <f t="shared" si="43"/>
        <v>26903</v>
      </c>
      <c r="V44" s="71"/>
      <c r="W44" s="71">
        <f t="shared" si="44"/>
        <v>26903</v>
      </c>
      <c r="X44" s="71"/>
      <c r="Y44" s="71">
        <f t="shared" si="45"/>
        <v>26903</v>
      </c>
    </row>
    <row r="45" spans="1:25" s="24" customFormat="1" ht="21.75" customHeight="1">
      <c r="A45" s="72"/>
      <c r="B45" s="73"/>
      <c r="C45" s="74" t="s">
        <v>168</v>
      </c>
      <c r="D45" s="77" t="s">
        <v>32</v>
      </c>
      <c r="E45" s="71">
        <v>318660</v>
      </c>
      <c r="F45" s="71"/>
      <c r="G45" s="71">
        <f t="shared" si="36"/>
        <v>318660</v>
      </c>
      <c r="H45" s="71"/>
      <c r="I45" s="71">
        <f t="shared" si="37"/>
        <v>318660</v>
      </c>
      <c r="J45" s="71">
        <f>1660+1720+1539</f>
        <v>4919</v>
      </c>
      <c r="K45" s="71">
        <f t="shared" si="38"/>
        <v>323579</v>
      </c>
      <c r="L45" s="71"/>
      <c r="M45" s="71">
        <f t="shared" si="39"/>
        <v>323579</v>
      </c>
      <c r="N45" s="71"/>
      <c r="O45" s="71">
        <f t="shared" si="40"/>
        <v>323579</v>
      </c>
      <c r="P45" s="71"/>
      <c r="Q45" s="71">
        <f t="shared" si="41"/>
        <v>323579</v>
      </c>
      <c r="R45" s="71"/>
      <c r="S45" s="71">
        <f t="shared" si="42"/>
        <v>323579</v>
      </c>
      <c r="T45" s="71"/>
      <c r="U45" s="71">
        <f t="shared" si="43"/>
        <v>323579</v>
      </c>
      <c r="V45" s="71"/>
      <c r="W45" s="71">
        <f t="shared" si="44"/>
        <v>323579</v>
      </c>
      <c r="X45" s="71"/>
      <c r="Y45" s="71">
        <f t="shared" si="45"/>
        <v>323579</v>
      </c>
    </row>
    <row r="46" spans="1:25" s="24" customFormat="1" ht="21.75" customHeight="1">
      <c r="A46" s="72"/>
      <c r="B46" s="73"/>
      <c r="C46" s="74" t="s">
        <v>169</v>
      </c>
      <c r="D46" s="77" t="s">
        <v>33</v>
      </c>
      <c r="E46" s="71">
        <v>60000</v>
      </c>
      <c r="F46" s="71"/>
      <c r="G46" s="71">
        <f t="shared" si="36"/>
        <v>60000</v>
      </c>
      <c r="H46" s="71"/>
      <c r="I46" s="71">
        <f t="shared" si="37"/>
        <v>60000</v>
      </c>
      <c r="J46" s="71"/>
      <c r="K46" s="71">
        <f t="shared" si="38"/>
        <v>60000</v>
      </c>
      <c r="L46" s="71"/>
      <c r="M46" s="71">
        <f t="shared" si="39"/>
        <v>60000</v>
      </c>
      <c r="N46" s="71"/>
      <c r="O46" s="71">
        <f t="shared" si="40"/>
        <v>60000</v>
      </c>
      <c r="P46" s="71"/>
      <c r="Q46" s="71">
        <f t="shared" si="41"/>
        <v>60000</v>
      </c>
      <c r="R46" s="71"/>
      <c r="S46" s="71">
        <f t="shared" si="42"/>
        <v>60000</v>
      </c>
      <c r="T46" s="71"/>
      <c r="U46" s="71">
        <f t="shared" si="43"/>
        <v>60000</v>
      </c>
      <c r="V46" s="71"/>
      <c r="W46" s="71">
        <f t="shared" si="44"/>
        <v>60000</v>
      </c>
      <c r="X46" s="71"/>
      <c r="Y46" s="71">
        <f t="shared" si="45"/>
        <v>60000</v>
      </c>
    </row>
    <row r="47" spans="1:25" s="24" customFormat="1" ht="21.75" customHeight="1">
      <c r="A47" s="72"/>
      <c r="B47" s="73"/>
      <c r="C47" s="74" t="s">
        <v>172</v>
      </c>
      <c r="D47" s="77" t="s">
        <v>37</v>
      </c>
      <c r="E47" s="71"/>
      <c r="F47" s="71"/>
      <c r="G47" s="71"/>
      <c r="H47" s="71"/>
      <c r="I47" s="71"/>
      <c r="J47" s="71"/>
      <c r="K47" s="71">
        <v>0</v>
      </c>
      <c r="L47" s="71">
        <v>40000</v>
      </c>
      <c r="M47" s="71">
        <f t="shared" si="39"/>
        <v>40000</v>
      </c>
      <c r="N47" s="71"/>
      <c r="O47" s="71">
        <f t="shared" si="40"/>
        <v>40000</v>
      </c>
      <c r="P47" s="71"/>
      <c r="Q47" s="71">
        <f t="shared" si="41"/>
        <v>40000</v>
      </c>
      <c r="R47" s="71"/>
      <c r="S47" s="71">
        <f t="shared" si="42"/>
        <v>40000</v>
      </c>
      <c r="T47" s="71"/>
      <c r="U47" s="71">
        <f t="shared" si="43"/>
        <v>40000</v>
      </c>
      <c r="V47" s="71"/>
      <c r="W47" s="71">
        <f t="shared" si="44"/>
        <v>40000</v>
      </c>
      <c r="X47" s="71"/>
      <c r="Y47" s="71">
        <f t="shared" si="45"/>
        <v>40000</v>
      </c>
    </row>
    <row r="48" spans="1:25" s="24" customFormat="1" ht="24" customHeight="1">
      <c r="A48" s="72"/>
      <c r="B48" s="73"/>
      <c r="C48" s="69" t="s">
        <v>165</v>
      </c>
      <c r="D48" s="66" t="s">
        <v>199</v>
      </c>
      <c r="E48" s="81">
        <v>26000</v>
      </c>
      <c r="F48" s="81"/>
      <c r="G48" s="71">
        <f t="shared" si="36"/>
        <v>26000</v>
      </c>
      <c r="H48" s="81"/>
      <c r="I48" s="71">
        <f t="shared" si="37"/>
        <v>26000</v>
      </c>
      <c r="J48" s="81"/>
      <c r="K48" s="71">
        <f t="shared" si="38"/>
        <v>26000</v>
      </c>
      <c r="L48" s="81"/>
      <c r="M48" s="71">
        <f t="shared" si="39"/>
        <v>26000</v>
      </c>
      <c r="N48" s="81"/>
      <c r="O48" s="71">
        <f t="shared" si="40"/>
        <v>26000</v>
      </c>
      <c r="P48" s="81"/>
      <c r="Q48" s="71">
        <f t="shared" si="41"/>
        <v>26000</v>
      </c>
      <c r="R48" s="81"/>
      <c r="S48" s="71">
        <f t="shared" si="42"/>
        <v>26000</v>
      </c>
      <c r="T48" s="81"/>
      <c r="U48" s="71">
        <f t="shared" si="43"/>
        <v>26000</v>
      </c>
      <c r="V48" s="81"/>
      <c r="W48" s="71">
        <f t="shared" si="44"/>
        <v>26000</v>
      </c>
      <c r="X48" s="81"/>
      <c r="Y48" s="71">
        <f t="shared" si="45"/>
        <v>26000</v>
      </c>
    </row>
    <row r="49" spans="1:25" s="24" customFormat="1" ht="24" customHeight="1">
      <c r="A49" s="72"/>
      <c r="B49" s="73"/>
      <c r="C49" s="74">
        <v>2680</v>
      </c>
      <c r="D49" s="77" t="s">
        <v>251</v>
      </c>
      <c r="E49" s="71">
        <v>265538</v>
      </c>
      <c r="F49" s="71"/>
      <c r="G49" s="71">
        <f t="shared" si="36"/>
        <v>265538</v>
      </c>
      <c r="H49" s="71"/>
      <c r="I49" s="71">
        <f t="shared" si="37"/>
        <v>265538</v>
      </c>
      <c r="J49" s="71"/>
      <c r="K49" s="71">
        <f t="shared" si="38"/>
        <v>265538</v>
      </c>
      <c r="L49" s="71"/>
      <c r="M49" s="71">
        <f t="shared" si="39"/>
        <v>265538</v>
      </c>
      <c r="N49" s="71"/>
      <c r="O49" s="71">
        <f t="shared" si="40"/>
        <v>265538</v>
      </c>
      <c r="P49" s="71"/>
      <c r="Q49" s="71">
        <f t="shared" si="41"/>
        <v>265538</v>
      </c>
      <c r="R49" s="71"/>
      <c r="S49" s="71">
        <f t="shared" si="42"/>
        <v>265538</v>
      </c>
      <c r="T49" s="71"/>
      <c r="U49" s="71">
        <f t="shared" si="43"/>
        <v>265538</v>
      </c>
      <c r="V49" s="71"/>
      <c r="W49" s="71">
        <f t="shared" si="44"/>
        <v>265538</v>
      </c>
      <c r="X49" s="71"/>
      <c r="Y49" s="71">
        <f t="shared" si="45"/>
        <v>265538</v>
      </c>
    </row>
    <row r="50" spans="1:25" s="24" customFormat="1" ht="60.75" customHeight="1">
      <c r="A50" s="72"/>
      <c r="B50" s="73">
        <v>75616</v>
      </c>
      <c r="C50" s="74"/>
      <c r="D50" s="77" t="s">
        <v>266</v>
      </c>
      <c r="E50" s="71">
        <f aca="true" t="shared" si="46" ref="E50:K50">SUM(E51:E59)</f>
        <v>3801789</v>
      </c>
      <c r="F50" s="71">
        <f t="shared" si="46"/>
        <v>0</v>
      </c>
      <c r="G50" s="71">
        <f t="shared" si="46"/>
        <v>3801789</v>
      </c>
      <c r="H50" s="71">
        <f t="shared" si="46"/>
        <v>0</v>
      </c>
      <c r="I50" s="71">
        <f t="shared" si="46"/>
        <v>3801789</v>
      </c>
      <c r="J50" s="71">
        <f t="shared" si="46"/>
        <v>0</v>
      </c>
      <c r="K50" s="71">
        <f t="shared" si="46"/>
        <v>3801789</v>
      </c>
      <c r="L50" s="71">
        <f aca="true" t="shared" si="47" ref="L50:Q50">SUM(L51:L59)</f>
        <v>5904</v>
      </c>
      <c r="M50" s="71">
        <f t="shared" si="47"/>
        <v>3807693</v>
      </c>
      <c r="N50" s="71">
        <f t="shared" si="47"/>
        <v>0</v>
      </c>
      <c r="O50" s="71">
        <f t="shared" si="47"/>
        <v>3807693</v>
      </c>
      <c r="P50" s="71">
        <f t="shared" si="47"/>
        <v>0</v>
      </c>
      <c r="Q50" s="71">
        <f t="shared" si="47"/>
        <v>3807693</v>
      </c>
      <c r="R50" s="71">
        <f aca="true" t="shared" si="48" ref="R50:W50">SUM(R51:R59)</f>
        <v>0</v>
      </c>
      <c r="S50" s="71">
        <f t="shared" si="48"/>
        <v>3807693</v>
      </c>
      <c r="T50" s="71">
        <f t="shared" si="48"/>
        <v>0</v>
      </c>
      <c r="U50" s="71">
        <f t="shared" si="48"/>
        <v>3807693</v>
      </c>
      <c r="V50" s="71">
        <f t="shared" si="48"/>
        <v>0</v>
      </c>
      <c r="W50" s="71">
        <f t="shared" si="48"/>
        <v>3807693</v>
      </c>
      <c r="X50" s="71">
        <f>SUM(X51:X59)</f>
        <v>0</v>
      </c>
      <c r="Y50" s="71">
        <f>SUM(Y51:Y59)</f>
        <v>3807693</v>
      </c>
    </row>
    <row r="51" spans="1:25" s="24" customFormat="1" ht="21.75" customHeight="1">
      <c r="A51" s="72"/>
      <c r="B51" s="73"/>
      <c r="C51" s="74" t="s">
        <v>166</v>
      </c>
      <c r="D51" s="77" t="s">
        <v>30</v>
      </c>
      <c r="E51" s="71">
        <v>2460154</v>
      </c>
      <c r="F51" s="71"/>
      <c r="G51" s="71">
        <f>SUM(E51:F51)</f>
        <v>2460154</v>
      </c>
      <c r="H51" s="71"/>
      <c r="I51" s="71">
        <f>SUM(G51:H51)</f>
        <v>2460154</v>
      </c>
      <c r="J51" s="71"/>
      <c r="K51" s="71">
        <f>SUM(I51:J51)</f>
        <v>2460154</v>
      </c>
      <c r="L51" s="71"/>
      <c r="M51" s="71">
        <f>SUM(K51:L51)</f>
        <v>2460154</v>
      </c>
      <c r="N51" s="71"/>
      <c r="O51" s="71">
        <f>SUM(M51:N51)</f>
        <v>2460154</v>
      </c>
      <c r="P51" s="71"/>
      <c r="Q51" s="71">
        <f>SUM(O51:P51)</f>
        <v>2460154</v>
      </c>
      <c r="R51" s="71"/>
      <c r="S51" s="71">
        <f>SUM(Q51:R51)</f>
        <v>2460154</v>
      </c>
      <c r="T51" s="71"/>
      <c r="U51" s="71">
        <f>SUM(S51:T51)</f>
        <v>2460154</v>
      </c>
      <c r="V51" s="71"/>
      <c r="W51" s="71">
        <f>SUM(U51:V51)</f>
        <v>2460154</v>
      </c>
      <c r="X51" s="71"/>
      <c r="Y51" s="71">
        <f>SUM(W51:X51)</f>
        <v>2460154</v>
      </c>
    </row>
    <row r="52" spans="1:25" s="24" customFormat="1" ht="21.75" customHeight="1">
      <c r="A52" s="72"/>
      <c r="B52" s="73"/>
      <c r="C52" s="74" t="s">
        <v>167</v>
      </c>
      <c r="D52" s="77" t="s">
        <v>31</v>
      </c>
      <c r="E52" s="71">
        <v>348755</v>
      </c>
      <c r="F52" s="71"/>
      <c r="G52" s="71">
        <f aca="true" t="shared" si="49" ref="G52:G59">SUM(E52:F52)</f>
        <v>348755</v>
      </c>
      <c r="H52" s="71"/>
      <c r="I52" s="71">
        <f aca="true" t="shared" si="50" ref="I52:I59">SUM(G52:H52)</f>
        <v>348755</v>
      </c>
      <c r="J52" s="71"/>
      <c r="K52" s="71">
        <f aca="true" t="shared" si="51" ref="K52:K59">SUM(I52:J52)</f>
        <v>348755</v>
      </c>
      <c r="L52" s="71"/>
      <c r="M52" s="71">
        <f aca="true" t="shared" si="52" ref="M52:M59">SUM(K52:L52)</f>
        <v>348755</v>
      </c>
      <c r="N52" s="71"/>
      <c r="O52" s="71">
        <f aca="true" t="shared" si="53" ref="O52:O59">SUM(M52:N52)</f>
        <v>348755</v>
      </c>
      <c r="P52" s="71"/>
      <c r="Q52" s="71">
        <f aca="true" t="shared" si="54" ref="Q52:Q59">SUM(O52:P52)</f>
        <v>348755</v>
      </c>
      <c r="R52" s="71"/>
      <c r="S52" s="71">
        <f aca="true" t="shared" si="55" ref="S52:S59">SUM(Q52:R52)</f>
        <v>348755</v>
      </c>
      <c r="T52" s="71"/>
      <c r="U52" s="71">
        <f aca="true" t="shared" si="56" ref="U52:U59">SUM(S52:T52)</f>
        <v>348755</v>
      </c>
      <c r="V52" s="71"/>
      <c r="W52" s="71">
        <f aca="true" t="shared" si="57" ref="W52:W59">SUM(U52:V52)</f>
        <v>348755</v>
      </c>
      <c r="X52" s="71"/>
      <c r="Y52" s="71">
        <f aca="true" t="shared" si="58" ref="Y52:Y59">SUM(W52:X52)</f>
        <v>348755</v>
      </c>
    </row>
    <row r="53" spans="1:25" s="24" customFormat="1" ht="21.75" customHeight="1">
      <c r="A53" s="72"/>
      <c r="B53" s="73"/>
      <c r="C53" s="74" t="s">
        <v>168</v>
      </c>
      <c r="D53" s="77" t="s">
        <v>32</v>
      </c>
      <c r="E53" s="71">
        <v>7880</v>
      </c>
      <c r="F53" s="71"/>
      <c r="G53" s="71">
        <f t="shared" si="49"/>
        <v>7880</v>
      </c>
      <c r="H53" s="71"/>
      <c r="I53" s="71">
        <f t="shared" si="50"/>
        <v>7880</v>
      </c>
      <c r="J53" s="71"/>
      <c r="K53" s="71">
        <f t="shared" si="51"/>
        <v>7880</v>
      </c>
      <c r="L53" s="71"/>
      <c r="M53" s="71">
        <f t="shared" si="52"/>
        <v>7880</v>
      </c>
      <c r="N53" s="71"/>
      <c r="O53" s="71">
        <f t="shared" si="53"/>
        <v>7880</v>
      </c>
      <c r="P53" s="71"/>
      <c r="Q53" s="71">
        <f t="shared" si="54"/>
        <v>7880</v>
      </c>
      <c r="R53" s="71"/>
      <c r="S53" s="71">
        <f t="shared" si="55"/>
        <v>7880</v>
      </c>
      <c r="T53" s="71"/>
      <c r="U53" s="71">
        <f t="shared" si="56"/>
        <v>7880</v>
      </c>
      <c r="V53" s="71"/>
      <c r="W53" s="71">
        <f t="shared" si="57"/>
        <v>7880</v>
      </c>
      <c r="X53" s="71"/>
      <c r="Y53" s="71">
        <f t="shared" si="58"/>
        <v>7880</v>
      </c>
    </row>
    <row r="54" spans="1:25" s="24" customFormat="1" ht="21.75" customHeight="1">
      <c r="A54" s="72"/>
      <c r="B54" s="73"/>
      <c r="C54" s="74" t="s">
        <v>169</v>
      </c>
      <c r="D54" s="77" t="s">
        <v>33</v>
      </c>
      <c r="E54" s="71">
        <v>250000</v>
      </c>
      <c r="F54" s="71"/>
      <c r="G54" s="71">
        <f t="shared" si="49"/>
        <v>250000</v>
      </c>
      <c r="H54" s="71"/>
      <c r="I54" s="71">
        <f t="shared" si="50"/>
        <v>250000</v>
      </c>
      <c r="J54" s="71"/>
      <c r="K54" s="71">
        <f t="shared" si="51"/>
        <v>250000</v>
      </c>
      <c r="L54" s="71"/>
      <c r="M54" s="71">
        <f t="shared" si="52"/>
        <v>250000</v>
      </c>
      <c r="N54" s="71"/>
      <c r="O54" s="71">
        <f t="shared" si="53"/>
        <v>250000</v>
      </c>
      <c r="P54" s="71"/>
      <c r="Q54" s="71">
        <f t="shared" si="54"/>
        <v>250000</v>
      </c>
      <c r="R54" s="71"/>
      <c r="S54" s="71">
        <f t="shared" si="55"/>
        <v>250000</v>
      </c>
      <c r="T54" s="71"/>
      <c r="U54" s="71">
        <f t="shared" si="56"/>
        <v>250000</v>
      </c>
      <c r="V54" s="71"/>
      <c r="W54" s="71">
        <f t="shared" si="57"/>
        <v>250000</v>
      </c>
      <c r="X54" s="71"/>
      <c r="Y54" s="71">
        <f t="shared" si="58"/>
        <v>250000</v>
      </c>
    </row>
    <row r="55" spans="1:25" s="24" customFormat="1" ht="21.75" customHeight="1">
      <c r="A55" s="72"/>
      <c r="B55" s="73"/>
      <c r="C55" s="74" t="s">
        <v>435</v>
      </c>
      <c r="D55" s="77" t="s">
        <v>436</v>
      </c>
      <c r="E55" s="71"/>
      <c r="F55" s="71"/>
      <c r="G55" s="71"/>
      <c r="H55" s="71"/>
      <c r="I55" s="71"/>
      <c r="J55" s="71"/>
      <c r="K55" s="71">
        <v>0</v>
      </c>
      <c r="L55" s="71">
        <v>5904</v>
      </c>
      <c r="M55" s="71">
        <f t="shared" si="52"/>
        <v>5904</v>
      </c>
      <c r="N55" s="71"/>
      <c r="O55" s="71">
        <f t="shared" si="53"/>
        <v>5904</v>
      </c>
      <c r="P55" s="71"/>
      <c r="Q55" s="71">
        <f t="shared" si="54"/>
        <v>5904</v>
      </c>
      <c r="R55" s="71"/>
      <c r="S55" s="71">
        <f t="shared" si="55"/>
        <v>5904</v>
      </c>
      <c r="T55" s="71"/>
      <c r="U55" s="71">
        <f t="shared" si="56"/>
        <v>5904</v>
      </c>
      <c r="V55" s="71"/>
      <c r="W55" s="71">
        <f t="shared" si="57"/>
        <v>5904</v>
      </c>
      <c r="X55" s="71"/>
      <c r="Y55" s="71">
        <f t="shared" si="58"/>
        <v>5904</v>
      </c>
    </row>
    <row r="56" spans="1:25" s="24" customFormat="1" ht="21.75" customHeight="1">
      <c r="A56" s="72"/>
      <c r="B56" s="73"/>
      <c r="C56" s="74" t="s">
        <v>257</v>
      </c>
      <c r="D56" s="77" t="s">
        <v>258</v>
      </c>
      <c r="E56" s="71">
        <v>10000</v>
      </c>
      <c r="F56" s="71"/>
      <c r="G56" s="71">
        <f t="shared" si="49"/>
        <v>10000</v>
      </c>
      <c r="H56" s="71"/>
      <c r="I56" s="71">
        <f t="shared" si="50"/>
        <v>10000</v>
      </c>
      <c r="J56" s="71"/>
      <c r="K56" s="71">
        <f t="shared" si="51"/>
        <v>10000</v>
      </c>
      <c r="L56" s="71"/>
      <c r="M56" s="71">
        <f t="shared" si="52"/>
        <v>10000</v>
      </c>
      <c r="N56" s="71"/>
      <c r="O56" s="71">
        <f t="shared" si="53"/>
        <v>10000</v>
      </c>
      <c r="P56" s="71"/>
      <c r="Q56" s="71">
        <f t="shared" si="54"/>
        <v>10000</v>
      </c>
      <c r="R56" s="71"/>
      <c r="S56" s="71">
        <f t="shared" si="55"/>
        <v>10000</v>
      </c>
      <c r="T56" s="71"/>
      <c r="U56" s="71">
        <f t="shared" si="56"/>
        <v>10000</v>
      </c>
      <c r="V56" s="71"/>
      <c r="W56" s="71">
        <f t="shared" si="57"/>
        <v>10000</v>
      </c>
      <c r="X56" s="71"/>
      <c r="Y56" s="71">
        <f t="shared" si="58"/>
        <v>10000</v>
      </c>
    </row>
    <row r="57" spans="1:25" s="24" customFormat="1" ht="21.75" customHeight="1">
      <c r="A57" s="72"/>
      <c r="B57" s="73"/>
      <c r="C57" s="74" t="s">
        <v>170</v>
      </c>
      <c r="D57" s="77" t="s">
        <v>36</v>
      </c>
      <c r="E57" s="71">
        <v>70000</v>
      </c>
      <c r="F57" s="71"/>
      <c r="G57" s="71">
        <f t="shared" si="49"/>
        <v>70000</v>
      </c>
      <c r="H57" s="71"/>
      <c r="I57" s="71">
        <f t="shared" si="50"/>
        <v>70000</v>
      </c>
      <c r="J57" s="71"/>
      <c r="K57" s="71">
        <f t="shared" si="51"/>
        <v>70000</v>
      </c>
      <c r="L57" s="71"/>
      <c r="M57" s="71">
        <f t="shared" si="52"/>
        <v>70000</v>
      </c>
      <c r="N57" s="71"/>
      <c r="O57" s="71">
        <f t="shared" si="53"/>
        <v>70000</v>
      </c>
      <c r="P57" s="71"/>
      <c r="Q57" s="71">
        <f t="shared" si="54"/>
        <v>70000</v>
      </c>
      <c r="R57" s="71"/>
      <c r="S57" s="71">
        <f t="shared" si="55"/>
        <v>70000</v>
      </c>
      <c r="T57" s="71"/>
      <c r="U57" s="71">
        <f t="shared" si="56"/>
        <v>70000</v>
      </c>
      <c r="V57" s="71"/>
      <c r="W57" s="71">
        <f t="shared" si="57"/>
        <v>70000</v>
      </c>
      <c r="X57" s="71"/>
      <c r="Y57" s="71">
        <f t="shared" si="58"/>
        <v>70000</v>
      </c>
    </row>
    <row r="58" spans="1:25" s="24" customFormat="1" ht="21.75" customHeight="1">
      <c r="A58" s="72"/>
      <c r="B58" s="73"/>
      <c r="C58" s="74" t="s">
        <v>172</v>
      </c>
      <c r="D58" s="77" t="s">
        <v>37</v>
      </c>
      <c r="E58" s="71">
        <v>600000</v>
      </c>
      <c r="F58" s="71"/>
      <c r="G58" s="71">
        <f t="shared" si="49"/>
        <v>600000</v>
      </c>
      <c r="H58" s="71"/>
      <c r="I58" s="71">
        <f t="shared" si="50"/>
        <v>600000</v>
      </c>
      <c r="J58" s="71"/>
      <c r="K58" s="71">
        <f t="shared" si="51"/>
        <v>600000</v>
      </c>
      <c r="L58" s="71"/>
      <c r="M58" s="71">
        <f t="shared" si="52"/>
        <v>600000</v>
      </c>
      <c r="N58" s="71"/>
      <c r="O58" s="71">
        <f t="shared" si="53"/>
        <v>600000</v>
      </c>
      <c r="P58" s="71"/>
      <c r="Q58" s="71">
        <f t="shared" si="54"/>
        <v>600000</v>
      </c>
      <c r="R58" s="71"/>
      <c r="S58" s="71">
        <f t="shared" si="55"/>
        <v>600000</v>
      </c>
      <c r="T58" s="71"/>
      <c r="U58" s="71">
        <f t="shared" si="56"/>
        <v>600000</v>
      </c>
      <c r="V58" s="71"/>
      <c r="W58" s="71">
        <f t="shared" si="57"/>
        <v>600000</v>
      </c>
      <c r="X58" s="71"/>
      <c r="Y58" s="71">
        <f t="shared" si="58"/>
        <v>600000</v>
      </c>
    </row>
    <row r="59" spans="1:25" s="24" customFormat="1" ht="24" customHeight="1">
      <c r="A59" s="72"/>
      <c r="B59" s="73"/>
      <c r="C59" s="74" t="s">
        <v>165</v>
      </c>
      <c r="D59" s="77" t="s">
        <v>199</v>
      </c>
      <c r="E59" s="71">
        <v>55000</v>
      </c>
      <c r="F59" s="71"/>
      <c r="G59" s="71">
        <f t="shared" si="49"/>
        <v>55000</v>
      </c>
      <c r="H59" s="71"/>
      <c r="I59" s="71">
        <f t="shared" si="50"/>
        <v>55000</v>
      </c>
      <c r="J59" s="71"/>
      <c r="K59" s="71">
        <f t="shared" si="51"/>
        <v>55000</v>
      </c>
      <c r="L59" s="71"/>
      <c r="M59" s="71">
        <f t="shared" si="52"/>
        <v>55000</v>
      </c>
      <c r="N59" s="71"/>
      <c r="O59" s="71">
        <f t="shared" si="53"/>
        <v>55000</v>
      </c>
      <c r="P59" s="71"/>
      <c r="Q59" s="71">
        <f t="shared" si="54"/>
        <v>55000</v>
      </c>
      <c r="R59" s="71"/>
      <c r="S59" s="71">
        <f t="shared" si="55"/>
        <v>55000</v>
      </c>
      <c r="T59" s="71"/>
      <c r="U59" s="71">
        <f t="shared" si="56"/>
        <v>55000</v>
      </c>
      <c r="V59" s="71"/>
      <c r="W59" s="71">
        <f t="shared" si="57"/>
        <v>55000</v>
      </c>
      <c r="X59" s="71"/>
      <c r="Y59" s="71">
        <f t="shared" si="58"/>
        <v>55000</v>
      </c>
    </row>
    <row r="60" spans="1:25" s="24" customFormat="1" ht="33.75">
      <c r="A60" s="72"/>
      <c r="B60" s="73" t="s">
        <v>38</v>
      </c>
      <c r="C60" s="80"/>
      <c r="D60" s="77" t="s">
        <v>39</v>
      </c>
      <c r="E60" s="71">
        <f>SUM(E61:E64)</f>
        <v>727000</v>
      </c>
      <c r="F60" s="71">
        <f>SUM(F61:F64)</f>
        <v>0</v>
      </c>
      <c r="G60" s="71">
        <f>SUM(G61:G64)</f>
        <v>727000</v>
      </c>
      <c r="H60" s="71">
        <f>SUM(H61:H64)</f>
        <v>0</v>
      </c>
      <c r="I60" s="71">
        <f aca="true" t="shared" si="59" ref="I60:O60">SUM(I61:I65)</f>
        <v>727000</v>
      </c>
      <c r="J60" s="71">
        <f t="shared" si="59"/>
        <v>122117</v>
      </c>
      <c r="K60" s="71">
        <f t="shared" si="59"/>
        <v>849117</v>
      </c>
      <c r="L60" s="71">
        <f t="shared" si="59"/>
        <v>0</v>
      </c>
      <c r="M60" s="71">
        <f t="shared" si="59"/>
        <v>849117</v>
      </c>
      <c r="N60" s="71">
        <f t="shared" si="59"/>
        <v>0</v>
      </c>
      <c r="O60" s="71">
        <f t="shared" si="59"/>
        <v>849117</v>
      </c>
      <c r="P60" s="71">
        <f aca="true" t="shared" si="60" ref="P60:U60">SUM(P61:P65)</f>
        <v>0</v>
      </c>
      <c r="Q60" s="71">
        <f t="shared" si="60"/>
        <v>849117</v>
      </c>
      <c r="R60" s="71">
        <f t="shared" si="60"/>
        <v>0</v>
      </c>
      <c r="S60" s="71">
        <f t="shared" si="60"/>
        <v>849117</v>
      </c>
      <c r="T60" s="71">
        <f t="shared" si="60"/>
        <v>0</v>
      </c>
      <c r="U60" s="71">
        <f t="shared" si="60"/>
        <v>849117</v>
      </c>
      <c r="V60" s="71">
        <f>SUM(V61:V65)</f>
        <v>0</v>
      </c>
      <c r="W60" s="71">
        <f>SUM(W61:W65)</f>
        <v>849117</v>
      </c>
      <c r="X60" s="71">
        <f>SUM(X61:X65)</f>
        <v>0</v>
      </c>
      <c r="Y60" s="71">
        <f>SUM(Y61:Y65)</f>
        <v>849117</v>
      </c>
    </row>
    <row r="61" spans="1:25" s="24" customFormat="1" ht="21.75" customHeight="1">
      <c r="A61" s="72"/>
      <c r="B61" s="73"/>
      <c r="C61" s="74" t="s">
        <v>173</v>
      </c>
      <c r="D61" s="77" t="s">
        <v>40</v>
      </c>
      <c r="E61" s="71">
        <v>150000</v>
      </c>
      <c r="F61" s="71"/>
      <c r="G61" s="71">
        <f>SUM(E61:F61)</f>
        <v>150000</v>
      </c>
      <c r="H61" s="71"/>
      <c r="I61" s="71">
        <f>SUM(G61:H61)</f>
        <v>150000</v>
      </c>
      <c r="J61" s="71"/>
      <c r="K61" s="71">
        <f>SUM(I61:J61)</f>
        <v>150000</v>
      </c>
      <c r="L61" s="71"/>
      <c r="M61" s="71">
        <f>SUM(K61:L61)</f>
        <v>150000</v>
      </c>
      <c r="N61" s="71"/>
      <c r="O61" s="71">
        <f>SUM(M61:N61)</f>
        <v>150000</v>
      </c>
      <c r="P61" s="71"/>
      <c r="Q61" s="71">
        <f>SUM(O61:P61)</f>
        <v>150000</v>
      </c>
      <c r="R61" s="71"/>
      <c r="S61" s="71">
        <f>SUM(Q61:R61)</f>
        <v>150000</v>
      </c>
      <c r="T61" s="71"/>
      <c r="U61" s="71">
        <f>SUM(S61:T61)</f>
        <v>150000</v>
      </c>
      <c r="V61" s="71"/>
      <c r="W61" s="71">
        <f>SUM(U61:V61)</f>
        <v>150000</v>
      </c>
      <c r="X61" s="71"/>
      <c r="Y61" s="71">
        <f>SUM(W61:X61)</f>
        <v>150000</v>
      </c>
    </row>
    <row r="62" spans="1:25" s="24" customFormat="1" ht="21.75" customHeight="1">
      <c r="A62" s="72"/>
      <c r="B62" s="73"/>
      <c r="C62" s="74" t="s">
        <v>171</v>
      </c>
      <c r="D62" s="77" t="s">
        <v>34</v>
      </c>
      <c r="E62" s="71">
        <v>20000</v>
      </c>
      <c r="F62" s="71"/>
      <c r="G62" s="71">
        <f>SUM(E62:F62)</f>
        <v>20000</v>
      </c>
      <c r="H62" s="71"/>
      <c r="I62" s="71">
        <f>SUM(G62:H62)</f>
        <v>20000</v>
      </c>
      <c r="J62" s="71"/>
      <c r="K62" s="71">
        <f>SUM(I62:J62)</f>
        <v>20000</v>
      </c>
      <c r="L62" s="71"/>
      <c r="M62" s="71">
        <f>SUM(K62:L62)</f>
        <v>20000</v>
      </c>
      <c r="N62" s="71"/>
      <c r="O62" s="71">
        <f>SUM(M62:N62)</f>
        <v>20000</v>
      </c>
      <c r="P62" s="71"/>
      <c r="Q62" s="71">
        <f>SUM(O62:P62)</f>
        <v>20000</v>
      </c>
      <c r="R62" s="71"/>
      <c r="S62" s="71">
        <f>SUM(Q62:R62)</f>
        <v>20000</v>
      </c>
      <c r="T62" s="71"/>
      <c r="U62" s="71">
        <f>SUM(S62:T62)</f>
        <v>20000</v>
      </c>
      <c r="V62" s="71"/>
      <c r="W62" s="71">
        <f>SUM(U62:V62)</f>
        <v>20000</v>
      </c>
      <c r="X62" s="71"/>
      <c r="Y62" s="71">
        <f>SUM(W62:X62)</f>
        <v>20000</v>
      </c>
    </row>
    <row r="63" spans="1:25" s="24" customFormat="1" ht="24" customHeight="1">
      <c r="A63" s="72"/>
      <c r="B63" s="73"/>
      <c r="C63" s="74" t="s">
        <v>177</v>
      </c>
      <c r="D63" s="77" t="s">
        <v>430</v>
      </c>
      <c r="E63" s="71">
        <v>330000</v>
      </c>
      <c r="F63" s="71"/>
      <c r="G63" s="71">
        <f>SUM(E63:F63)</f>
        <v>330000</v>
      </c>
      <c r="H63" s="71"/>
      <c r="I63" s="71">
        <f>SUM(G63:H63)</f>
        <v>330000</v>
      </c>
      <c r="J63" s="71"/>
      <c r="K63" s="71">
        <f>SUM(I63:J63)</f>
        <v>330000</v>
      </c>
      <c r="L63" s="71"/>
      <c r="M63" s="71">
        <f>SUM(K63:L63)</f>
        <v>330000</v>
      </c>
      <c r="N63" s="71"/>
      <c r="O63" s="71">
        <f>SUM(M63:N63)</f>
        <v>330000</v>
      </c>
      <c r="P63" s="71"/>
      <c r="Q63" s="71">
        <f>SUM(O63:P63)</f>
        <v>330000</v>
      </c>
      <c r="R63" s="71"/>
      <c r="S63" s="71">
        <f>SUM(Q63:R63)</f>
        <v>330000</v>
      </c>
      <c r="T63" s="71"/>
      <c r="U63" s="71">
        <f>SUM(S63:T63)</f>
        <v>330000</v>
      </c>
      <c r="V63" s="71"/>
      <c r="W63" s="71">
        <f>SUM(U63:V63)</f>
        <v>330000</v>
      </c>
      <c r="X63" s="71"/>
      <c r="Y63" s="71">
        <f>SUM(W63:X63)</f>
        <v>330000</v>
      </c>
    </row>
    <row r="64" spans="1:25" s="24" customFormat="1" ht="45">
      <c r="A64" s="72"/>
      <c r="B64" s="73"/>
      <c r="C64" s="74" t="s">
        <v>158</v>
      </c>
      <c r="D64" s="77" t="s">
        <v>7</v>
      </c>
      <c r="E64" s="71">
        <f>30000+17000+180000</f>
        <v>227000</v>
      </c>
      <c r="F64" s="71"/>
      <c r="G64" s="71">
        <f>SUM(E64:F64)</f>
        <v>227000</v>
      </c>
      <c r="H64" s="71"/>
      <c r="I64" s="71">
        <f>SUM(G64:H64)</f>
        <v>227000</v>
      </c>
      <c r="J64" s="71"/>
      <c r="K64" s="71">
        <f>SUM(I64:J64)</f>
        <v>227000</v>
      </c>
      <c r="L64" s="71"/>
      <c r="M64" s="71">
        <f>SUM(K64:L64)</f>
        <v>227000</v>
      </c>
      <c r="N64" s="71"/>
      <c r="O64" s="71">
        <f>SUM(M64:N64)</f>
        <v>227000</v>
      </c>
      <c r="P64" s="71"/>
      <c r="Q64" s="71">
        <f>SUM(O64:P64)</f>
        <v>227000</v>
      </c>
      <c r="R64" s="71"/>
      <c r="S64" s="71">
        <f>SUM(Q64:R64)</f>
        <v>227000</v>
      </c>
      <c r="T64" s="71"/>
      <c r="U64" s="71">
        <f>SUM(S64:T64)</f>
        <v>227000</v>
      </c>
      <c r="V64" s="71"/>
      <c r="W64" s="71">
        <f>SUM(U64:V64)</f>
        <v>227000</v>
      </c>
      <c r="X64" s="71"/>
      <c r="Y64" s="71">
        <f>SUM(W64:X64)</f>
        <v>227000</v>
      </c>
    </row>
    <row r="65" spans="1:25" s="24" customFormat="1" ht="18.75" customHeight="1">
      <c r="A65" s="72"/>
      <c r="B65" s="73"/>
      <c r="C65" s="74" t="s">
        <v>162</v>
      </c>
      <c r="D65" s="38" t="s">
        <v>12</v>
      </c>
      <c r="E65" s="71"/>
      <c r="F65" s="71"/>
      <c r="G65" s="71"/>
      <c r="H65" s="71"/>
      <c r="I65" s="71">
        <v>0</v>
      </c>
      <c r="J65" s="71">
        <v>122117</v>
      </c>
      <c r="K65" s="71">
        <f>SUM(I65:J65)</f>
        <v>122117</v>
      </c>
      <c r="L65" s="71"/>
      <c r="M65" s="71">
        <f>SUM(K65:L65)</f>
        <v>122117</v>
      </c>
      <c r="N65" s="71"/>
      <c r="O65" s="71">
        <f>SUM(M65:N65)</f>
        <v>122117</v>
      </c>
      <c r="P65" s="71"/>
      <c r="Q65" s="71">
        <f>SUM(O65:P65)</f>
        <v>122117</v>
      </c>
      <c r="R65" s="71"/>
      <c r="S65" s="71">
        <f>SUM(Q65:R65)</f>
        <v>122117</v>
      </c>
      <c r="T65" s="71"/>
      <c r="U65" s="71">
        <f>SUM(S65:T65)</f>
        <v>122117</v>
      </c>
      <c r="V65" s="71"/>
      <c r="W65" s="71">
        <f>SUM(U65:V65)</f>
        <v>122117</v>
      </c>
      <c r="X65" s="71"/>
      <c r="Y65" s="71">
        <f>SUM(W65:X65)</f>
        <v>122117</v>
      </c>
    </row>
    <row r="66" spans="1:25" s="24" customFormat="1" ht="22.5">
      <c r="A66" s="72"/>
      <c r="B66" s="73" t="s">
        <v>41</v>
      </c>
      <c r="C66" s="80"/>
      <c r="D66" s="77" t="s">
        <v>42</v>
      </c>
      <c r="E66" s="71">
        <f aca="true" t="shared" si="61" ref="E66:K66">SUM(E67:E68)</f>
        <v>10620286</v>
      </c>
      <c r="F66" s="71">
        <f t="shared" si="61"/>
        <v>0</v>
      </c>
      <c r="G66" s="71">
        <f t="shared" si="61"/>
        <v>10620286</v>
      </c>
      <c r="H66" s="71">
        <f t="shared" si="61"/>
        <v>0</v>
      </c>
      <c r="I66" s="71">
        <f t="shared" si="61"/>
        <v>10620286</v>
      </c>
      <c r="J66" s="71">
        <f t="shared" si="61"/>
        <v>0</v>
      </c>
      <c r="K66" s="71">
        <f t="shared" si="61"/>
        <v>10620286</v>
      </c>
      <c r="L66" s="71">
        <f aca="true" t="shared" si="62" ref="L66:Q66">SUM(L67:L68)</f>
        <v>0</v>
      </c>
      <c r="M66" s="71">
        <f t="shared" si="62"/>
        <v>10620286</v>
      </c>
      <c r="N66" s="71">
        <f t="shared" si="62"/>
        <v>0</v>
      </c>
      <c r="O66" s="71">
        <f t="shared" si="62"/>
        <v>10620286</v>
      </c>
      <c r="P66" s="71">
        <f t="shared" si="62"/>
        <v>0</v>
      </c>
      <c r="Q66" s="71">
        <f t="shared" si="62"/>
        <v>10620286</v>
      </c>
      <c r="R66" s="71">
        <f aca="true" t="shared" si="63" ref="R66:W66">SUM(R67:R68)</f>
        <v>0</v>
      </c>
      <c r="S66" s="71">
        <f t="shared" si="63"/>
        <v>10620286</v>
      </c>
      <c r="T66" s="71">
        <f t="shared" si="63"/>
        <v>0</v>
      </c>
      <c r="U66" s="71">
        <f t="shared" si="63"/>
        <v>10620286</v>
      </c>
      <c r="V66" s="71">
        <f t="shared" si="63"/>
        <v>0</v>
      </c>
      <c r="W66" s="71">
        <f t="shared" si="63"/>
        <v>10620286</v>
      </c>
      <c r="X66" s="71">
        <f>SUM(X67:X68)</f>
        <v>0</v>
      </c>
      <c r="Y66" s="71">
        <f>SUM(Y67:Y68)</f>
        <v>10620286</v>
      </c>
    </row>
    <row r="67" spans="1:25" s="24" customFormat="1" ht="21.75" customHeight="1">
      <c r="A67" s="72"/>
      <c r="B67" s="73"/>
      <c r="C67" s="74" t="s">
        <v>174</v>
      </c>
      <c r="D67" s="77" t="s">
        <v>43</v>
      </c>
      <c r="E67" s="71">
        <v>9720286</v>
      </c>
      <c r="F67" s="71"/>
      <c r="G67" s="71">
        <f>SUM(E67:F67)</f>
        <v>9720286</v>
      </c>
      <c r="H67" s="71"/>
      <c r="I67" s="71">
        <f>SUM(G67:H67)</f>
        <v>9720286</v>
      </c>
      <c r="J67" s="71"/>
      <c r="K67" s="71">
        <f>SUM(I67:J67)</f>
        <v>9720286</v>
      </c>
      <c r="L67" s="71"/>
      <c r="M67" s="71">
        <f>SUM(K67:L67)</f>
        <v>9720286</v>
      </c>
      <c r="N67" s="71"/>
      <c r="O67" s="71">
        <f>SUM(M67:N67)</f>
        <v>9720286</v>
      </c>
      <c r="P67" s="71"/>
      <c r="Q67" s="71">
        <f>SUM(O67:P67)</f>
        <v>9720286</v>
      </c>
      <c r="R67" s="71"/>
      <c r="S67" s="71">
        <f>SUM(Q67:R67)</f>
        <v>9720286</v>
      </c>
      <c r="T67" s="71"/>
      <c r="U67" s="71">
        <f>SUM(S67:T67)</f>
        <v>9720286</v>
      </c>
      <c r="V67" s="71"/>
      <c r="W67" s="71">
        <f>SUM(U67:V67)</f>
        <v>9720286</v>
      </c>
      <c r="X67" s="71"/>
      <c r="Y67" s="71">
        <f>SUM(W67:X67)</f>
        <v>9720286</v>
      </c>
    </row>
    <row r="68" spans="1:25" s="24" customFormat="1" ht="21.75" customHeight="1">
      <c r="A68" s="72"/>
      <c r="B68" s="73"/>
      <c r="C68" s="74" t="s">
        <v>175</v>
      </c>
      <c r="D68" s="77" t="s">
        <v>44</v>
      </c>
      <c r="E68" s="71">
        <v>900000</v>
      </c>
      <c r="F68" s="71"/>
      <c r="G68" s="71">
        <f>SUM(E68:F68)</f>
        <v>900000</v>
      </c>
      <c r="H68" s="71"/>
      <c r="I68" s="71">
        <f>SUM(G68:H68)</f>
        <v>900000</v>
      </c>
      <c r="J68" s="71"/>
      <c r="K68" s="71">
        <f>SUM(I68:J68)</f>
        <v>900000</v>
      </c>
      <c r="L68" s="71"/>
      <c r="M68" s="71">
        <f>SUM(K68:L68)</f>
        <v>900000</v>
      </c>
      <c r="N68" s="71"/>
      <c r="O68" s="71">
        <f>SUM(M68:N68)</f>
        <v>900000</v>
      </c>
      <c r="P68" s="71"/>
      <c r="Q68" s="71">
        <f>SUM(O68:P68)</f>
        <v>900000</v>
      </c>
      <c r="R68" s="71"/>
      <c r="S68" s="71">
        <f>SUM(Q68:R68)</f>
        <v>900000</v>
      </c>
      <c r="T68" s="71"/>
      <c r="U68" s="71">
        <f>SUM(S68:T68)</f>
        <v>900000</v>
      </c>
      <c r="V68" s="71"/>
      <c r="W68" s="71">
        <f>SUM(U68:V68)</f>
        <v>900000</v>
      </c>
      <c r="X68" s="71"/>
      <c r="Y68" s="71">
        <f>SUM(W68:X68)</f>
        <v>900000</v>
      </c>
    </row>
    <row r="69" spans="1:25" s="6" customFormat="1" ht="20.25" customHeight="1">
      <c r="A69" s="29" t="s">
        <v>45</v>
      </c>
      <c r="B69" s="2"/>
      <c r="C69" s="3"/>
      <c r="D69" s="30" t="s">
        <v>46</v>
      </c>
      <c r="E69" s="58">
        <f aca="true" t="shared" si="64" ref="E69:K69">SUM(E70,E72,E74,E76)</f>
        <v>20284538</v>
      </c>
      <c r="F69" s="58">
        <f t="shared" si="64"/>
        <v>0</v>
      </c>
      <c r="G69" s="58">
        <f t="shared" si="64"/>
        <v>20284538</v>
      </c>
      <c r="H69" s="58">
        <f t="shared" si="64"/>
        <v>0</v>
      </c>
      <c r="I69" s="58">
        <f t="shared" si="64"/>
        <v>20284538</v>
      </c>
      <c r="J69" s="58">
        <f t="shared" si="64"/>
        <v>-614458</v>
      </c>
      <c r="K69" s="58">
        <f t="shared" si="64"/>
        <v>19670080</v>
      </c>
      <c r="L69" s="58">
        <f aca="true" t="shared" si="65" ref="L69:Q69">SUM(L70,L72,L74,L76)</f>
        <v>-20684</v>
      </c>
      <c r="M69" s="58">
        <f t="shared" si="65"/>
        <v>19649396</v>
      </c>
      <c r="N69" s="58">
        <f t="shared" si="65"/>
        <v>0</v>
      </c>
      <c r="O69" s="58">
        <f t="shared" si="65"/>
        <v>19649396</v>
      </c>
      <c r="P69" s="58">
        <f t="shared" si="65"/>
        <v>0</v>
      </c>
      <c r="Q69" s="58">
        <f t="shared" si="65"/>
        <v>19649396</v>
      </c>
      <c r="R69" s="58">
        <f aca="true" t="shared" si="66" ref="R69:W69">SUM(R70,R72,R74,R76)</f>
        <v>0</v>
      </c>
      <c r="S69" s="58">
        <f t="shared" si="66"/>
        <v>19649396</v>
      </c>
      <c r="T69" s="58">
        <f t="shared" si="66"/>
        <v>0</v>
      </c>
      <c r="U69" s="58">
        <f t="shared" si="66"/>
        <v>19649396</v>
      </c>
      <c r="V69" s="58">
        <f t="shared" si="66"/>
        <v>0</v>
      </c>
      <c r="W69" s="58">
        <f t="shared" si="66"/>
        <v>19649396</v>
      </c>
      <c r="X69" s="58">
        <f>SUM(X70,X72,X74,X76)</f>
        <v>0</v>
      </c>
      <c r="Y69" s="58">
        <f>SUM(Y70,Y72,Y74,Y76)</f>
        <v>19649396</v>
      </c>
    </row>
    <row r="70" spans="1:25" s="24" customFormat="1" ht="22.5">
      <c r="A70" s="72"/>
      <c r="B70" s="73" t="s">
        <v>47</v>
      </c>
      <c r="C70" s="80"/>
      <c r="D70" s="77" t="s">
        <v>48</v>
      </c>
      <c r="E70" s="71">
        <f aca="true" t="shared" si="67" ref="E70:Y70">SUM(E71)</f>
        <v>14653848</v>
      </c>
      <c r="F70" s="71">
        <f t="shared" si="67"/>
        <v>0</v>
      </c>
      <c r="G70" s="71">
        <f t="shared" si="67"/>
        <v>14653848</v>
      </c>
      <c r="H70" s="71">
        <f t="shared" si="67"/>
        <v>0</v>
      </c>
      <c r="I70" s="71">
        <f t="shared" si="67"/>
        <v>14653848</v>
      </c>
      <c r="J70" s="71">
        <f t="shared" si="67"/>
        <v>-614458</v>
      </c>
      <c r="K70" s="71">
        <f t="shared" si="67"/>
        <v>14039390</v>
      </c>
      <c r="L70" s="71">
        <f t="shared" si="67"/>
        <v>0</v>
      </c>
      <c r="M70" s="71">
        <f t="shared" si="67"/>
        <v>14039390</v>
      </c>
      <c r="N70" s="71">
        <f t="shared" si="67"/>
        <v>0</v>
      </c>
      <c r="O70" s="71">
        <f t="shared" si="67"/>
        <v>14039390</v>
      </c>
      <c r="P70" s="71">
        <f t="shared" si="67"/>
        <v>0</v>
      </c>
      <c r="Q70" s="71">
        <f t="shared" si="67"/>
        <v>14039390</v>
      </c>
      <c r="R70" s="71">
        <f t="shared" si="67"/>
        <v>0</v>
      </c>
      <c r="S70" s="71">
        <f t="shared" si="67"/>
        <v>14039390</v>
      </c>
      <c r="T70" s="71">
        <f t="shared" si="67"/>
        <v>0</v>
      </c>
      <c r="U70" s="71">
        <f t="shared" si="67"/>
        <v>14039390</v>
      </c>
      <c r="V70" s="71">
        <f t="shared" si="67"/>
        <v>0</v>
      </c>
      <c r="W70" s="71">
        <f t="shared" si="67"/>
        <v>14039390</v>
      </c>
      <c r="X70" s="71">
        <f t="shared" si="67"/>
        <v>0</v>
      </c>
      <c r="Y70" s="71">
        <f t="shared" si="67"/>
        <v>14039390</v>
      </c>
    </row>
    <row r="71" spans="1:25" s="24" customFormat="1" ht="21.75" customHeight="1">
      <c r="A71" s="72"/>
      <c r="B71" s="73"/>
      <c r="C71" s="74">
        <v>2920</v>
      </c>
      <c r="D71" s="77" t="s">
        <v>49</v>
      </c>
      <c r="E71" s="71">
        <v>14653848</v>
      </c>
      <c r="F71" s="71"/>
      <c r="G71" s="71">
        <f>SUM(E71:F71)</f>
        <v>14653848</v>
      </c>
      <c r="H71" s="71"/>
      <c r="I71" s="71">
        <f>SUM(G71:H71)</f>
        <v>14653848</v>
      </c>
      <c r="J71" s="71">
        <v>-614458</v>
      </c>
      <c r="K71" s="71">
        <f>SUM(I71:J71)</f>
        <v>14039390</v>
      </c>
      <c r="L71" s="71"/>
      <c r="M71" s="71">
        <f>SUM(K71:L71)</f>
        <v>14039390</v>
      </c>
      <c r="N71" s="71"/>
      <c r="O71" s="71">
        <f>SUM(M71:N71)</f>
        <v>14039390</v>
      </c>
      <c r="P71" s="71"/>
      <c r="Q71" s="71">
        <f>SUM(O71:P71)</f>
        <v>14039390</v>
      </c>
      <c r="R71" s="71"/>
      <c r="S71" s="71">
        <f>SUM(Q71:R71)</f>
        <v>14039390</v>
      </c>
      <c r="T71" s="71"/>
      <c r="U71" s="71">
        <f>SUM(S71:T71)</f>
        <v>14039390</v>
      </c>
      <c r="V71" s="71"/>
      <c r="W71" s="71">
        <f>SUM(U71:V71)</f>
        <v>14039390</v>
      </c>
      <c r="X71" s="71"/>
      <c r="Y71" s="71">
        <f>SUM(W71:X71)</f>
        <v>14039390</v>
      </c>
    </row>
    <row r="72" spans="1:25" s="24" customFormat="1" ht="21.75" customHeight="1">
      <c r="A72" s="72"/>
      <c r="B72" s="73" t="s">
        <v>184</v>
      </c>
      <c r="C72" s="80"/>
      <c r="D72" s="77" t="s">
        <v>183</v>
      </c>
      <c r="E72" s="71">
        <f aca="true" t="shared" si="68" ref="E72:Y72">SUM(E73)</f>
        <v>5007478</v>
      </c>
      <c r="F72" s="71">
        <f t="shared" si="68"/>
        <v>0</v>
      </c>
      <c r="G72" s="71">
        <f t="shared" si="68"/>
        <v>5007478</v>
      </c>
      <c r="H72" s="71">
        <f t="shared" si="68"/>
        <v>0</v>
      </c>
      <c r="I72" s="71">
        <f t="shared" si="68"/>
        <v>5007478</v>
      </c>
      <c r="J72" s="71">
        <f t="shared" si="68"/>
        <v>0</v>
      </c>
      <c r="K72" s="71">
        <f t="shared" si="68"/>
        <v>5007478</v>
      </c>
      <c r="L72" s="71">
        <f t="shared" si="68"/>
        <v>-20684</v>
      </c>
      <c r="M72" s="71">
        <f t="shared" si="68"/>
        <v>4986794</v>
      </c>
      <c r="N72" s="71">
        <f t="shared" si="68"/>
        <v>0</v>
      </c>
      <c r="O72" s="71">
        <f t="shared" si="68"/>
        <v>4986794</v>
      </c>
      <c r="P72" s="71">
        <f t="shared" si="68"/>
        <v>0</v>
      </c>
      <c r="Q72" s="71">
        <f t="shared" si="68"/>
        <v>4986794</v>
      </c>
      <c r="R72" s="71">
        <f t="shared" si="68"/>
        <v>0</v>
      </c>
      <c r="S72" s="71">
        <f t="shared" si="68"/>
        <v>4986794</v>
      </c>
      <c r="T72" s="71">
        <f t="shared" si="68"/>
        <v>0</v>
      </c>
      <c r="U72" s="71">
        <f t="shared" si="68"/>
        <v>4986794</v>
      </c>
      <c r="V72" s="71">
        <f t="shared" si="68"/>
        <v>0</v>
      </c>
      <c r="W72" s="71">
        <f t="shared" si="68"/>
        <v>4986794</v>
      </c>
      <c r="X72" s="71">
        <f t="shared" si="68"/>
        <v>0</v>
      </c>
      <c r="Y72" s="71">
        <f t="shared" si="68"/>
        <v>4986794</v>
      </c>
    </row>
    <row r="73" spans="1:25" s="24" customFormat="1" ht="21.75" customHeight="1">
      <c r="A73" s="72"/>
      <c r="B73" s="73"/>
      <c r="C73" s="74">
        <v>2920</v>
      </c>
      <c r="D73" s="77" t="s">
        <v>49</v>
      </c>
      <c r="E73" s="71">
        <f>2651991+2355487</f>
        <v>5007478</v>
      </c>
      <c r="F73" s="71"/>
      <c r="G73" s="71">
        <f>SUM(E73:F73)</f>
        <v>5007478</v>
      </c>
      <c r="H73" s="71"/>
      <c r="I73" s="71">
        <f>SUM(G73:H73)</f>
        <v>5007478</v>
      </c>
      <c r="J73" s="71"/>
      <c r="K73" s="71">
        <f>SUM(I73:J73)</f>
        <v>5007478</v>
      </c>
      <c r="L73" s="71">
        <v>-20684</v>
      </c>
      <c r="M73" s="71">
        <f>SUM(K73:L73)</f>
        <v>4986794</v>
      </c>
      <c r="N73" s="71"/>
      <c r="O73" s="71">
        <f>SUM(M73:N73)</f>
        <v>4986794</v>
      </c>
      <c r="P73" s="71"/>
      <c r="Q73" s="71">
        <f>SUM(O73:P73)</f>
        <v>4986794</v>
      </c>
      <c r="R73" s="71"/>
      <c r="S73" s="71">
        <f>SUM(Q73:R73)</f>
        <v>4986794</v>
      </c>
      <c r="T73" s="71"/>
      <c r="U73" s="71">
        <f>SUM(S73:T73)</f>
        <v>4986794</v>
      </c>
      <c r="V73" s="71"/>
      <c r="W73" s="71">
        <f>SUM(U73:V73)</f>
        <v>4986794</v>
      </c>
      <c r="X73" s="71"/>
      <c r="Y73" s="71">
        <f>SUM(W73:X73)</f>
        <v>4986794</v>
      </c>
    </row>
    <row r="74" spans="1:25" s="24" customFormat="1" ht="21" customHeight="1">
      <c r="A74" s="72"/>
      <c r="B74" s="73">
        <v>75814</v>
      </c>
      <c r="C74" s="80"/>
      <c r="D74" s="77" t="s">
        <v>50</v>
      </c>
      <c r="E74" s="71">
        <f aca="true" t="shared" si="69" ref="E74:Y74">SUM(E75)</f>
        <v>10000</v>
      </c>
      <c r="F74" s="71">
        <f t="shared" si="69"/>
        <v>0</v>
      </c>
      <c r="G74" s="71">
        <f t="shared" si="69"/>
        <v>10000</v>
      </c>
      <c r="H74" s="71">
        <f t="shared" si="69"/>
        <v>0</v>
      </c>
      <c r="I74" s="71">
        <f t="shared" si="69"/>
        <v>10000</v>
      </c>
      <c r="J74" s="71">
        <f t="shared" si="69"/>
        <v>0</v>
      </c>
      <c r="K74" s="71">
        <f t="shared" si="69"/>
        <v>10000</v>
      </c>
      <c r="L74" s="71">
        <f t="shared" si="69"/>
        <v>0</v>
      </c>
      <c r="M74" s="71">
        <f t="shared" si="69"/>
        <v>10000</v>
      </c>
      <c r="N74" s="71">
        <f t="shared" si="69"/>
        <v>0</v>
      </c>
      <c r="O74" s="71">
        <f t="shared" si="69"/>
        <v>10000</v>
      </c>
      <c r="P74" s="71">
        <f t="shared" si="69"/>
        <v>0</v>
      </c>
      <c r="Q74" s="71">
        <f t="shared" si="69"/>
        <v>10000</v>
      </c>
      <c r="R74" s="71">
        <f t="shared" si="69"/>
        <v>0</v>
      </c>
      <c r="S74" s="71">
        <f t="shared" si="69"/>
        <v>10000</v>
      </c>
      <c r="T74" s="71">
        <f t="shared" si="69"/>
        <v>0</v>
      </c>
      <c r="U74" s="71">
        <f t="shared" si="69"/>
        <v>10000</v>
      </c>
      <c r="V74" s="71">
        <f t="shared" si="69"/>
        <v>0</v>
      </c>
      <c r="W74" s="71">
        <f t="shared" si="69"/>
        <v>10000</v>
      </c>
      <c r="X74" s="71">
        <f t="shared" si="69"/>
        <v>0</v>
      </c>
      <c r="Y74" s="71">
        <f t="shared" si="69"/>
        <v>10000</v>
      </c>
    </row>
    <row r="75" spans="1:25" s="24" customFormat="1" ht="21.75" customHeight="1">
      <c r="A75" s="72"/>
      <c r="B75" s="73"/>
      <c r="C75" s="74" t="s">
        <v>161</v>
      </c>
      <c r="D75" s="77" t="s">
        <v>11</v>
      </c>
      <c r="E75" s="71">
        <v>10000</v>
      </c>
      <c r="F75" s="71"/>
      <c r="G75" s="71">
        <f>SUM(E75:F75)</f>
        <v>10000</v>
      </c>
      <c r="H75" s="71"/>
      <c r="I75" s="71">
        <f>SUM(G75:H75)</f>
        <v>10000</v>
      </c>
      <c r="J75" s="71"/>
      <c r="K75" s="71">
        <f>SUM(I75:J75)</f>
        <v>10000</v>
      </c>
      <c r="L75" s="71"/>
      <c r="M75" s="71">
        <f>SUM(K75:L75)</f>
        <v>10000</v>
      </c>
      <c r="N75" s="71"/>
      <c r="O75" s="71">
        <f>SUM(M75:N75)</f>
        <v>10000</v>
      </c>
      <c r="P75" s="71"/>
      <c r="Q75" s="71">
        <f>SUM(O75:P75)</f>
        <v>10000</v>
      </c>
      <c r="R75" s="71"/>
      <c r="S75" s="71">
        <f>SUM(Q75:R75)</f>
        <v>10000</v>
      </c>
      <c r="T75" s="71"/>
      <c r="U75" s="71">
        <f>SUM(S75:T75)</f>
        <v>10000</v>
      </c>
      <c r="V75" s="71"/>
      <c r="W75" s="71">
        <f>SUM(U75:V75)</f>
        <v>10000</v>
      </c>
      <c r="X75" s="71"/>
      <c r="Y75" s="71">
        <f>SUM(W75:X75)</f>
        <v>10000</v>
      </c>
    </row>
    <row r="76" spans="1:25" s="24" customFormat="1" ht="24.75" customHeight="1">
      <c r="A76" s="72"/>
      <c r="B76" s="73" t="s">
        <v>214</v>
      </c>
      <c r="C76" s="80"/>
      <c r="D76" s="77" t="s">
        <v>215</v>
      </c>
      <c r="E76" s="71">
        <f aca="true" t="shared" si="70" ref="E76:Y76">SUM(E77)</f>
        <v>613212</v>
      </c>
      <c r="F76" s="71">
        <f t="shared" si="70"/>
        <v>0</v>
      </c>
      <c r="G76" s="71">
        <f t="shared" si="70"/>
        <v>613212</v>
      </c>
      <c r="H76" s="71">
        <f t="shared" si="70"/>
        <v>0</v>
      </c>
      <c r="I76" s="71">
        <f t="shared" si="70"/>
        <v>613212</v>
      </c>
      <c r="J76" s="71">
        <f t="shared" si="70"/>
        <v>0</v>
      </c>
      <c r="K76" s="71">
        <f t="shared" si="70"/>
        <v>613212</v>
      </c>
      <c r="L76" s="71">
        <f t="shared" si="70"/>
        <v>0</v>
      </c>
      <c r="M76" s="71">
        <f t="shared" si="70"/>
        <v>613212</v>
      </c>
      <c r="N76" s="71">
        <f t="shared" si="70"/>
        <v>0</v>
      </c>
      <c r="O76" s="71">
        <f t="shared" si="70"/>
        <v>613212</v>
      </c>
      <c r="P76" s="71">
        <f t="shared" si="70"/>
        <v>0</v>
      </c>
      <c r="Q76" s="71">
        <f t="shared" si="70"/>
        <v>613212</v>
      </c>
      <c r="R76" s="71">
        <f t="shared" si="70"/>
        <v>0</v>
      </c>
      <c r="S76" s="71">
        <f t="shared" si="70"/>
        <v>613212</v>
      </c>
      <c r="T76" s="71">
        <f t="shared" si="70"/>
        <v>0</v>
      </c>
      <c r="U76" s="71">
        <f t="shared" si="70"/>
        <v>613212</v>
      </c>
      <c r="V76" s="71">
        <f t="shared" si="70"/>
        <v>0</v>
      </c>
      <c r="W76" s="71">
        <f t="shared" si="70"/>
        <v>613212</v>
      </c>
      <c r="X76" s="71">
        <f t="shared" si="70"/>
        <v>0</v>
      </c>
      <c r="Y76" s="71">
        <f t="shared" si="70"/>
        <v>613212</v>
      </c>
    </row>
    <row r="77" spans="1:25" s="24" customFormat="1" ht="21.75" customHeight="1">
      <c r="A77" s="72"/>
      <c r="B77" s="73"/>
      <c r="C77" s="74">
        <v>2920</v>
      </c>
      <c r="D77" s="77" t="s">
        <v>49</v>
      </c>
      <c r="E77" s="71">
        <v>613212</v>
      </c>
      <c r="F77" s="71"/>
      <c r="G77" s="71">
        <f>SUM(E77:F77)</f>
        <v>613212</v>
      </c>
      <c r="H77" s="71"/>
      <c r="I77" s="71">
        <f>SUM(G77:H77)</f>
        <v>613212</v>
      </c>
      <c r="J77" s="71"/>
      <c r="K77" s="71">
        <f>SUM(I77:J77)</f>
        <v>613212</v>
      </c>
      <c r="L77" s="71"/>
      <c r="M77" s="71">
        <f>SUM(K77:L77)</f>
        <v>613212</v>
      </c>
      <c r="N77" s="71"/>
      <c r="O77" s="71">
        <f>SUM(M77:N77)</f>
        <v>613212</v>
      </c>
      <c r="P77" s="71"/>
      <c r="Q77" s="71">
        <f>SUM(O77:P77)</f>
        <v>613212</v>
      </c>
      <c r="R77" s="71"/>
      <c r="S77" s="71">
        <f>SUM(Q77:R77)</f>
        <v>613212</v>
      </c>
      <c r="T77" s="71"/>
      <c r="U77" s="71">
        <f>SUM(S77:T77)</f>
        <v>613212</v>
      </c>
      <c r="V77" s="71"/>
      <c r="W77" s="71">
        <f>SUM(U77:V77)</f>
        <v>613212</v>
      </c>
      <c r="X77" s="71"/>
      <c r="Y77" s="71">
        <f>SUM(W77:X77)</f>
        <v>613212</v>
      </c>
    </row>
    <row r="78" spans="1:25" s="24" customFormat="1" ht="20.25" customHeight="1">
      <c r="A78" s="33" t="s">
        <v>109</v>
      </c>
      <c r="B78" s="34"/>
      <c r="C78" s="35"/>
      <c r="D78" s="36" t="s">
        <v>110</v>
      </c>
      <c r="E78" s="58">
        <f aca="true" t="shared" si="71" ref="E78:K78">SUM(E79,E87,E89,E94)</f>
        <v>189496</v>
      </c>
      <c r="F78" s="58">
        <f t="shared" si="71"/>
        <v>0</v>
      </c>
      <c r="G78" s="58">
        <f t="shared" si="71"/>
        <v>189496</v>
      </c>
      <c r="H78" s="58">
        <f t="shared" si="71"/>
        <v>0</v>
      </c>
      <c r="I78" s="58">
        <f t="shared" si="71"/>
        <v>189496</v>
      </c>
      <c r="J78" s="58">
        <f t="shared" si="71"/>
        <v>28869</v>
      </c>
      <c r="K78" s="58">
        <f t="shared" si="71"/>
        <v>218365</v>
      </c>
      <c r="L78" s="58">
        <f aca="true" t="shared" si="72" ref="L78:Q78">SUM(L79,L87,L89,L94)</f>
        <v>0</v>
      </c>
      <c r="M78" s="58">
        <f t="shared" si="72"/>
        <v>218365</v>
      </c>
      <c r="N78" s="58">
        <f t="shared" si="72"/>
        <v>75816</v>
      </c>
      <c r="O78" s="58">
        <f t="shared" si="72"/>
        <v>294181</v>
      </c>
      <c r="P78" s="58">
        <f t="shared" si="72"/>
        <v>42231</v>
      </c>
      <c r="Q78" s="58">
        <f t="shared" si="72"/>
        <v>336412</v>
      </c>
      <c r="R78" s="58">
        <f aca="true" t="shared" si="73" ref="R78:W78">SUM(R79,R87,R89,R94)</f>
        <v>0</v>
      </c>
      <c r="S78" s="58">
        <f t="shared" si="73"/>
        <v>336412</v>
      </c>
      <c r="T78" s="58">
        <f t="shared" si="73"/>
        <v>0</v>
      </c>
      <c r="U78" s="58">
        <f t="shared" si="73"/>
        <v>336412</v>
      </c>
      <c r="V78" s="58">
        <f t="shared" si="73"/>
        <v>0</v>
      </c>
      <c r="W78" s="58">
        <f t="shared" si="73"/>
        <v>336412</v>
      </c>
      <c r="X78" s="58">
        <f>SUM(X79,X87,X89,X94)</f>
        <v>0</v>
      </c>
      <c r="Y78" s="58">
        <f>SUM(Y79,Y87,Y89,Y94)</f>
        <v>336412</v>
      </c>
    </row>
    <row r="79" spans="1:25" s="24" customFormat="1" ht="20.25" customHeight="1">
      <c r="A79" s="67"/>
      <c r="B79" s="82" t="s">
        <v>111</v>
      </c>
      <c r="C79" s="86"/>
      <c r="D79" s="38" t="s">
        <v>51</v>
      </c>
      <c r="E79" s="71">
        <f aca="true" t="shared" si="74" ref="E79:K79">SUM(E80:E85)</f>
        <v>54673</v>
      </c>
      <c r="F79" s="71">
        <f t="shared" si="74"/>
        <v>0</v>
      </c>
      <c r="G79" s="71">
        <f t="shared" si="74"/>
        <v>54673</v>
      </c>
      <c r="H79" s="71">
        <f t="shared" si="74"/>
        <v>0</v>
      </c>
      <c r="I79" s="71">
        <f t="shared" si="74"/>
        <v>54673</v>
      </c>
      <c r="J79" s="71">
        <f t="shared" si="74"/>
        <v>27690</v>
      </c>
      <c r="K79" s="71">
        <f t="shared" si="74"/>
        <v>82363</v>
      </c>
      <c r="L79" s="71">
        <f>SUM(L80:L85)</f>
        <v>0</v>
      </c>
      <c r="M79" s="71">
        <f aca="true" t="shared" si="75" ref="M79:S79">SUM(M80:M86)</f>
        <v>82363</v>
      </c>
      <c r="N79" s="71">
        <f t="shared" si="75"/>
        <v>75816</v>
      </c>
      <c r="O79" s="71">
        <f t="shared" si="75"/>
        <v>158179</v>
      </c>
      <c r="P79" s="71">
        <f t="shared" si="75"/>
        <v>42231</v>
      </c>
      <c r="Q79" s="71">
        <f t="shared" si="75"/>
        <v>200410</v>
      </c>
      <c r="R79" s="71">
        <f t="shared" si="75"/>
        <v>0</v>
      </c>
      <c r="S79" s="71">
        <f t="shared" si="75"/>
        <v>200410</v>
      </c>
      <c r="T79" s="71">
        <f aca="true" t="shared" si="76" ref="T79:Y79">SUM(T80:T86)</f>
        <v>0</v>
      </c>
      <c r="U79" s="71">
        <f t="shared" si="76"/>
        <v>200410</v>
      </c>
      <c r="V79" s="71">
        <f t="shared" si="76"/>
        <v>0</v>
      </c>
      <c r="W79" s="71">
        <f t="shared" si="76"/>
        <v>200410</v>
      </c>
      <c r="X79" s="71">
        <f t="shared" si="76"/>
        <v>0</v>
      </c>
      <c r="Y79" s="71">
        <f t="shared" si="76"/>
        <v>200410</v>
      </c>
    </row>
    <row r="80" spans="1:25" s="24" customFormat="1" ht="20.25" customHeight="1">
      <c r="A80" s="82"/>
      <c r="B80" s="82"/>
      <c r="C80" s="83" t="s">
        <v>182</v>
      </c>
      <c r="D80" s="38" t="s">
        <v>144</v>
      </c>
      <c r="E80" s="71">
        <v>700</v>
      </c>
      <c r="F80" s="71"/>
      <c r="G80" s="71">
        <f>SUM(E80:F80)</f>
        <v>700</v>
      </c>
      <c r="H80" s="71"/>
      <c r="I80" s="71">
        <f>SUM(G80:H80)</f>
        <v>700</v>
      </c>
      <c r="J80" s="71"/>
      <c r="K80" s="71">
        <f>SUM(I80:J80)</f>
        <v>700</v>
      </c>
      <c r="L80" s="71"/>
      <c r="M80" s="71">
        <f>SUM(K80:L80)</f>
        <v>700</v>
      </c>
      <c r="N80" s="71"/>
      <c r="O80" s="71">
        <f aca="true" t="shared" si="77" ref="O80:O86">SUM(M80:N80)</f>
        <v>700</v>
      </c>
      <c r="P80" s="71"/>
      <c r="Q80" s="71">
        <f aca="true" t="shared" si="78" ref="Q80:Q86">SUM(O80:P80)</f>
        <v>700</v>
      </c>
      <c r="R80" s="71"/>
      <c r="S80" s="71">
        <f aca="true" t="shared" si="79" ref="S80:S86">SUM(Q80:R80)</f>
        <v>700</v>
      </c>
      <c r="T80" s="71"/>
      <c r="U80" s="71">
        <f aca="true" t="shared" si="80" ref="U80:U86">SUM(S80:T80)</f>
        <v>700</v>
      </c>
      <c r="V80" s="71"/>
      <c r="W80" s="71">
        <f aca="true" t="shared" si="81" ref="W80:W86">SUM(U80:V80)</f>
        <v>700</v>
      </c>
      <c r="X80" s="71"/>
      <c r="Y80" s="71">
        <f aca="true" t="shared" si="82" ref="Y80:Y86">SUM(W80:X80)</f>
        <v>700</v>
      </c>
    </row>
    <row r="81" spans="1:25" s="24" customFormat="1" ht="67.5">
      <c r="A81" s="82"/>
      <c r="B81" s="67"/>
      <c r="C81" s="83" t="s">
        <v>160</v>
      </c>
      <c r="D81" s="38" t="s">
        <v>55</v>
      </c>
      <c r="E81" s="71">
        <v>40800</v>
      </c>
      <c r="F81" s="71"/>
      <c r="G81" s="71">
        <f>SUM(E81:F81)</f>
        <v>40800</v>
      </c>
      <c r="H81" s="71"/>
      <c r="I81" s="71">
        <f>SUM(G81:H81)</f>
        <v>40800</v>
      </c>
      <c r="J81" s="71">
        <v>3801</v>
      </c>
      <c r="K81" s="71">
        <f>SUM(I81:J81)</f>
        <v>44601</v>
      </c>
      <c r="L81" s="71"/>
      <c r="M81" s="71">
        <f>SUM(K81:L81)</f>
        <v>44601</v>
      </c>
      <c r="N81" s="71"/>
      <c r="O81" s="71">
        <f t="shared" si="77"/>
        <v>44601</v>
      </c>
      <c r="P81" s="71"/>
      <c r="Q81" s="71">
        <f t="shared" si="78"/>
        <v>44601</v>
      </c>
      <c r="R81" s="71"/>
      <c r="S81" s="71">
        <f t="shared" si="79"/>
        <v>44601</v>
      </c>
      <c r="T81" s="71"/>
      <c r="U81" s="71">
        <f t="shared" si="80"/>
        <v>44601</v>
      </c>
      <c r="V81" s="71"/>
      <c r="W81" s="71">
        <f t="shared" si="81"/>
        <v>44601</v>
      </c>
      <c r="X81" s="71"/>
      <c r="Y81" s="71">
        <f t="shared" si="82"/>
        <v>44601</v>
      </c>
    </row>
    <row r="82" spans="1:25" s="24" customFormat="1" ht="23.25" customHeight="1">
      <c r="A82" s="82"/>
      <c r="B82" s="67"/>
      <c r="C82" s="121" t="s">
        <v>161</v>
      </c>
      <c r="D82" s="66" t="s">
        <v>11</v>
      </c>
      <c r="E82" s="71">
        <v>1091</v>
      </c>
      <c r="F82" s="71"/>
      <c r="G82" s="71">
        <f>SUM(E82:F82)</f>
        <v>1091</v>
      </c>
      <c r="H82" s="71"/>
      <c r="I82" s="71">
        <f>SUM(G82:H82)</f>
        <v>1091</v>
      </c>
      <c r="J82" s="71">
        <v>15</v>
      </c>
      <c r="K82" s="71">
        <f>SUM(I82:J82)</f>
        <v>1106</v>
      </c>
      <c r="L82" s="71"/>
      <c r="M82" s="71">
        <f>SUM(K82:L82)</f>
        <v>1106</v>
      </c>
      <c r="N82" s="71"/>
      <c r="O82" s="71">
        <f t="shared" si="77"/>
        <v>1106</v>
      </c>
      <c r="P82" s="71"/>
      <c r="Q82" s="71">
        <f t="shared" si="78"/>
        <v>1106</v>
      </c>
      <c r="R82" s="71"/>
      <c r="S82" s="71">
        <f t="shared" si="79"/>
        <v>1106</v>
      </c>
      <c r="T82" s="71"/>
      <c r="U82" s="71">
        <f t="shared" si="80"/>
        <v>1106</v>
      </c>
      <c r="V82" s="71"/>
      <c r="W82" s="71">
        <f t="shared" si="81"/>
        <v>1106</v>
      </c>
      <c r="X82" s="71"/>
      <c r="Y82" s="71">
        <f t="shared" si="82"/>
        <v>1106</v>
      </c>
    </row>
    <row r="83" spans="1:25" s="24" customFormat="1" ht="20.25" customHeight="1">
      <c r="A83" s="82"/>
      <c r="B83" s="67"/>
      <c r="C83" s="121" t="s">
        <v>162</v>
      </c>
      <c r="D83" s="38" t="s">
        <v>12</v>
      </c>
      <c r="E83" s="71">
        <v>7300</v>
      </c>
      <c r="F83" s="71"/>
      <c r="G83" s="71">
        <f>SUM(E83:F83)</f>
        <v>7300</v>
      </c>
      <c r="H83" s="71"/>
      <c r="I83" s="71">
        <f>SUM(G83:H83)</f>
        <v>7300</v>
      </c>
      <c r="J83" s="71">
        <v>20970</v>
      </c>
      <c r="K83" s="71">
        <f>SUM(I83:J83)</f>
        <v>28270</v>
      </c>
      <c r="L83" s="71"/>
      <c r="M83" s="71">
        <f>SUM(K83:L83)</f>
        <v>28270</v>
      </c>
      <c r="N83" s="71"/>
      <c r="O83" s="71">
        <f t="shared" si="77"/>
        <v>28270</v>
      </c>
      <c r="P83" s="71">
        <v>42231</v>
      </c>
      <c r="Q83" s="71">
        <f t="shared" si="78"/>
        <v>70501</v>
      </c>
      <c r="R83" s="71"/>
      <c r="S83" s="71">
        <f t="shared" si="79"/>
        <v>70501</v>
      </c>
      <c r="T83" s="71"/>
      <c r="U83" s="71">
        <f t="shared" si="80"/>
        <v>70501</v>
      </c>
      <c r="V83" s="71"/>
      <c r="W83" s="71">
        <f t="shared" si="81"/>
        <v>70501</v>
      </c>
      <c r="X83" s="71"/>
      <c r="Y83" s="71">
        <f t="shared" si="82"/>
        <v>70501</v>
      </c>
    </row>
    <row r="84" spans="1:25" s="24" customFormat="1" ht="33.75">
      <c r="A84" s="82"/>
      <c r="B84" s="67"/>
      <c r="C84" s="121">
        <v>2030</v>
      </c>
      <c r="D84" s="77" t="s">
        <v>212</v>
      </c>
      <c r="E84" s="71"/>
      <c r="F84" s="71"/>
      <c r="G84" s="71"/>
      <c r="H84" s="71"/>
      <c r="I84" s="71"/>
      <c r="J84" s="71"/>
      <c r="K84" s="71"/>
      <c r="L84" s="71"/>
      <c r="M84" s="71">
        <v>0</v>
      </c>
      <c r="N84" s="71">
        <v>11966</v>
      </c>
      <c r="O84" s="71">
        <f t="shared" si="77"/>
        <v>11966</v>
      </c>
      <c r="P84" s="71"/>
      <c r="Q84" s="71">
        <f t="shared" si="78"/>
        <v>11966</v>
      </c>
      <c r="R84" s="71"/>
      <c r="S84" s="71">
        <f t="shared" si="79"/>
        <v>11966</v>
      </c>
      <c r="T84" s="71"/>
      <c r="U84" s="71">
        <f t="shared" si="80"/>
        <v>11966</v>
      </c>
      <c r="V84" s="71"/>
      <c r="W84" s="71">
        <f t="shared" si="81"/>
        <v>11966</v>
      </c>
      <c r="X84" s="71"/>
      <c r="Y84" s="71">
        <f t="shared" si="82"/>
        <v>11966</v>
      </c>
    </row>
    <row r="85" spans="1:25" s="24" customFormat="1" ht="51" customHeight="1">
      <c r="A85" s="82"/>
      <c r="B85" s="67"/>
      <c r="C85" s="121">
        <v>2310</v>
      </c>
      <c r="D85" s="38" t="s">
        <v>226</v>
      </c>
      <c r="E85" s="71">
        <v>4782</v>
      </c>
      <c r="F85" s="71"/>
      <c r="G85" s="71">
        <f>SUM(E85:F85)</f>
        <v>4782</v>
      </c>
      <c r="H85" s="71"/>
      <c r="I85" s="71">
        <f>SUM(G85:H85)</f>
        <v>4782</v>
      </c>
      <c r="J85" s="71">
        <v>2904</v>
      </c>
      <c r="K85" s="71">
        <f>SUM(I85:J85)</f>
        <v>7686</v>
      </c>
      <c r="L85" s="71"/>
      <c r="M85" s="71">
        <f>SUM(K85:L85)</f>
        <v>7686</v>
      </c>
      <c r="N85" s="71"/>
      <c r="O85" s="71">
        <f t="shared" si="77"/>
        <v>7686</v>
      </c>
      <c r="P85" s="71"/>
      <c r="Q85" s="71">
        <f t="shared" si="78"/>
        <v>7686</v>
      </c>
      <c r="R85" s="71"/>
      <c r="S85" s="71">
        <f t="shared" si="79"/>
        <v>7686</v>
      </c>
      <c r="T85" s="71"/>
      <c r="U85" s="71">
        <f t="shared" si="80"/>
        <v>7686</v>
      </c>
      <c r="V85" s="71"/>
      <c r="W85" s="71">
        <f t="shared" si="81"/>
        <v>7686</v>
      </c>
      <c r="X85" s="71"/>
      <c r="Y85" s="71">
        <f t="shared" si="82"/>
        <v>7686</v>
      </c>
    </row>
    <row r="86" spans="1:25" s="24" customFormat="1" ht="50.25" customHeight="1">
      <c r="A86" s="82"/>
      <c r="B86" s="67"/>
      <c r="C86" s="121">
        <v>6330</v>
      </c>
      <c r="D86" s="38" t="s">
        <v>451</v>
      </c>
      <c r="E86" s="71"/>
      <c r="F86" s="71"/>
      <c r="G86" s="71"/>
      <c r="H86" s="71"/>
      <c r="I86" s="71"/>
      <c r="J86" s="71"/>
      <c r="K86" s="71"/>
      <c r="L86" s="71"/>
      <c r="M86" s="71">
        <v>0</v>
      </c>
      <c r="N86" s="71">
        <v>63850</v>
      </c>
      <c r="O86" s="71">
        <f t="shared" si="77"/>
        <v>63850</v>
      </c>
      <c r="P86" s="71"/>
      <c r="Q86" s="71">
        <f t="shared" si="78"/>
        <v>63850</v>
      </c>
      <c r="R86" s="71"/>
      <c r="S86" s="71">
        <f t="shared" si="79"/>
        <v>63850</v>
      </c>
      <c r="T86" s="71"/>
      <c r="U86" s="71">
        <f t="shared" si="80"/>
        <v>63850</v>
      </c>
      <c r="V86" s="71"/>
      <c r="W86" s="71">
        <f t="shared" si="81"/>
        <v>63850</v>
      </c>
      <c r="X86" s="71"/>
      <c r="Y86" s="71">
        <f t="shared" si="82"/>
        <v>63850</v>
      </c>
    </row>
    <row r="87" spans="1:25" s="24" customFormat="1" ht="19.5" customHeight="1">
      <c r="A87" s="72"/>
      <c r="B87" s="73">
        <v>80104</v>
      </c>
      <c r="C87" s="74"/>
      <c r="D87" s="38" t="s">
        <v>124</v>
      </c>
      <c r="E87" s="71">
        <f aca="true" t="shared" si="83" ref="E87:Y87">SUM(E88)</f>
        <v>2000</v>
      </c>
      <c r="F87" s="71">
        <f t="shared" si="83"/>
        <v>0</v>
      </c>
      <c r="G87" s="71">
        <f t="shared" si="83"/>
        <v>2000</v>
      </c>
      <c r="H87" s="71">
        <f t="shared" si="83"/>
        <v>0</v>
      </c>
      <c r="I87" s="71">
        <f t="shared" si="83"/>
        <v>2000</v>
      </c>
      <c r="J87" s="71">
        <f t="shared" si="83"/>
        <v>0</v>
      </c>
      <c r="K87" s="71">
        <f t="shared" si="83"/>
        <v>2000</v>
      </c>
      <c r="L87" s="71">
        <f t="shared" si="83"/>
        <v>0</v>
      </c>
      <c r="M87" s="71">
        <f t="shared" si="83"/>
        <v>2000</v>
      </c>
      <c r="N87" s="71">
        <f t="shared" si="83"/>
        <v>0</v>
      </c>
      <c r="O87" s="71">
        <f t="shared" si="83"/>
        <v>2000</v>
      </c>
      <c r="P87" s="71">
        <f t="shared" si="83"/>
        <v>0</v>
      </c>
      <c r="Q87" s="71">
        <f t="shared" si="83"/>
        <v>2000</v>
      </c>
      <c r="R87" s="71">
        <f t="shared" si="83"/>
        <v>0</v>
      </c>
      <c r="S87" s="71">
        <f t="shared" si="83"/>
        <v>2000</v>
      </c>
      <c r="T87" s="71">
        <f t="shared" si="83"/>
        <v>0</v>
      </c>
      <c r="U87" s="71">
        <f t="shared" si="83"/>
        <v>2000</v>
      </c>
      <c r="V87" s="71">
        <f t="shared" si="83"/>
        <v>0</v>
      </c>
      <c r="W87" s="71">
        <f t="shared" si="83"/>
        <v>2000</v>
      </c>
      <c r="X87" s="71">
        <f t="shared" si="83"/>
        <v>0</v>
      </c>
      <c r="Y87" s="71">
        <f t="shared" si="83"/>
        <v>2000</v>
      </c>
    </row>
    <row r="88" spans="1:25" s="24" customFormat="1" ht="67.5">
      <c r="A88" s="72"/>
      <c r="B88" s="73"/>
      <c r="C88" s="74" t="s">
        <v>160</v>
      </c>
      <c r="D88" s="38" t="s">
        <v>55</v>
      </c>
      <c r="E88" s="71">
        <v>2000</v>
      </c>
      <c r="F88" s="71"/>
      <c r="G88" s="71">
        <f>SUM(E88:F88)</f>
        <v>2000</v>
      </c>
      <c r="H88" s="71"/>
      <c r="I88" s="71">
        <f>SUM(G88:H88)</f>
        <v>2000</v>
      </c>
      <c r="J88" s="71"/>
      <c r="K88" s="71">
        <f>SUM(I88:J88)</f>
        <v>2000</v>
      </c>
      <c r="L88" s="71"/>
      <c r="M88" s="71">
        <f>SUM(K88:L88)</f>
        <v>2000</v>
      </c>
      <c r="N88" s="71"/>
      <c r="O88" s="71">
        <f>SUM(M88:N88)</f>
        <v>2000</v>
      </c>
      <c r="P88" s="71"/>
      <c r="Q88" s="71">
        <f>SUM(O88:P88)</f>
        <v>2000</v>
      </c>
      <c r="R88" s="71"/>
      <c r="S88" s="71">
        <f>SUM(Q88:R88)</f>
        <v>2000</v>
      </c>
      <c r="T88" s="71"/>
      <c r="U88" s="71">
        <f>SUM(S88:T88)</f>
        <v>2000</v>
      </c>
      <c r="V88" s="71"/>
      <c r="W88" s="71">
        <f>SUM(U88:V88)</f>
        <v>2000</v>
      </c>
      <c r="X88" s="71"/>
      <c r="Y88" s="71">
        <f>SUM(W88:X88)</f>
        <v>2000</v>
      </c>
    </row>
    <row r="89" spans="1:25" s="24" customFormat="1" ht="18.75" customHeight="1">
      <c r="A89" s="72"/>
      <c r="B89" s="73">
        <v>80110</v>
      </c>
      <c r="C89" s="74"/>
      <c r="D89" s="38" t="s">
        <v>52</v>
      </c>
      <c r="E89" s="71">
        <f aca="true" t="shared" si="84" ref="E89:K89">SUM(E90:E93)</f>
        <v>9121</v>
      </c>
      <c r="F89" s="71">
        <f t="shared" si="84"/>
        <v>0</v>
      </c>
      <c r="G89" s="71">
        <f t="shared" si="84"/>
        <v>9121</v>
      </c>
      <c r="H89" s="71">
        <f t="shared" si="84"/>
        <v>0</v>
      </c>
      <c r="I89" s="71">
        <f t="shared" si="84"/>
        <v>9121</v>
      </c>
      <c r="J89" s="71">
        <f t="shared" si="84"/>
        <v>501</v>
      </c>
      <c r="K89" s="71">
        <f t="shared" si="84"/>
        <v>9622</v>
      </c>
      <c r="L89" s="71">
        <f aca="true" t="shared" si="85" ref="L89:Q89">SUM(L90:L93)</f>
        <v>0</v>
      </c>
      <c r="M89" s="71">
        <f t="shared" si="85"/>
        <v>9622</v>
      </c>
      <c r="N89" s="71">
        <f t="shared" si="85"/>
        <v>0</v>
      </c>
      <c r="O89" s="71">
        <f t="shared" si="85"/>
        <v>9622</v>
      </c>
      <c r="P89" s="71">
        <f t="shared" si="85"/>
        <v>0</v>
      </c>
      <c r="Q89" s="71">
        <f t="shared" si="85"/>
        <v>9622</v>
      </c>
      <c r="R89" s="71">
        <f aca="true" t="shared" si="86" ref="R89:W89">SUM(R90:R93)</f>
        <v>0</v>
      </c>
      <c r="S89" s="71">
        <f t="shared" si="86"/>
        <v>9622</v>
      </c>
      <c r="T89" s="71">
        <f t="shared" si="86"/>
        <v>0</v>
      </c>
      <c r="U89" s="71">
        <f t="shared" si="86"/>
        <v>9622</v>
      </c>
      <c r="V89" s="71">
        <f t="shared" si="86"/>
        <v>0</v>
      </c>
      <c r="W89" s="71">
        <f t="shared" si="86"/>
        <v>9622</v>
      </c>
      <c r="X89" s="71">
        <f>SUM(X90:X93)</f>
        <v>0</v>
      </c>
      <c r="Y89" s="71">
        <f>SUM(Y90:Y93)</f>
        <v>9622</v>
      </c>
    </row>
    <row r="90" spans="1:25" s="24" customFormat="1" ht="18.75" customHeight="1">
      <c r="A90" s="72"/>
      <c r="B90" s="73"/>
      <c r="C90" s="83" t="s">
        <v>182</v>
      </c>
      <c r="D90" s="38" t="s">
        <v>144</v>
      </c>
      <c r="E90" s="71">
        <v>100</v>
      </c>
      <c r="F90" s="71"/>
      <c r="G90" s="71">
        <f>SUM(E90:F90)</f>
        <v>100</v>
      </c>
      <c r="H90" s="71"/>
      <c r="I90" s="71">
        <f>SUM(G90:H90)</f>
        <v>100</v>
      </c>
      <c r="J90" s="71"/>
      <c r="K90" s="71">
        <f>SUM(I90:J90)</f>
        <v>100</v>
      </c>
      <c r="L90" s="71"/>
      <c r="M90" s="71">
        <f>SUM(K90:L90)</f>
        <v>100</v>
      </c>
      <c r="N90" s="71"/>
      <c r="O90" s="71">
        <f>SUM(M90:N90)</f>
        <v>100</v>
      </c>
      <c r="P90" s="71"/>
      <c r="Q90" s="71">
        <f>SUM(O90:P90)</f>
        <v>100</v>
      </c>
      <c r="R90" s="71"/>
      <c r="S90" s="71">
        <f>SUM(Q90:R90)</f>
        <v>100</v>
      </c>
      <c r="T90" s="71"/>
      <c r="U90" s="71">
        <f>SUM(S90:T90)</f>
        <v>100</v>
      </c>
      <c r="V90" s="71"/>
      <c r="W90" s="71">
        <f>SUM(U90:V90)</f>
        <v>100</v>
      </c>
      <c r="X90" s="71"/>
      <c r="Y90" s="71">
        <f>SUM(W90:X90)</f>
        <v>100</v>
      </c>
    </row>
    <row r="91" spans="1:25" s="24" customFormat="1" ht="72.75" customHeight="1">
      <c r="A91" s="72"/>
      <c r="B91" s="73"/>
      <c r="C91" s="74" t="s">
        <v>160</v>
      </c>
      <c r="D91" s="38" t="s">
        <v>55</v>
      </c>
      <c r="E91" s="71">
        <v>8000</v>
      </c>
      <c r="F91" s="71"/>
      <c r="G91" s="71">
        <f>SUM(E91:F91)</f>
        <v>8000</v>
      </c>
      <c r="H91" s="71"/>
      <c r="I91" s="71">
        <f>SUM(G91:H91)</f>
        <v>8000</v>
      </c>
      <c r="J91" s="71"/>
      <c r="K91" s="71">
        <f>SUM(I91:J91)</f>
        <v>8000</v>
      </c>
      <c r="L91" s="71"/>
      <c r="M91" s="71">
        <f>SUM(K91:L91)</f>
        <v>8000</v>
      </c>
      <c r="N91" s="71"/>
      <c r="O91" s="71">
        <f>SUM(M91:N91)</f>
        <v>8000</v>
      </c>
      <c r="P91" s="71"/>
      <c r="Q91" s="71">
        <f>SUM(O91:P91)</f>
        <v>8000</v>
      </c>
      <c r="R91" s="71"/>
      <c r="S91" s="71">
        <f>SUM(Q91:R91)</f>
        <v>8000</v>
      </c>
      <c r="T91" s="71"/>
      <c r="U91" s="71">
        <f>SUM(S91:T91)</f>
        <v>8000</v>
      </c>
      <c r="V91" s="71"/>
      <c r="W91" s="71">
        <f>SUM(U91:V91)</f>
        <v>8000</v>
      </c>
      <c r="X91" s="71"/>
      <c r="Y91" s="71">
        <f>SUM(W91:X91)</f>
        <v>8000</v>
      </c>
    </row>
    <row r="92" spans="1:25" s="24" customFormat="1" ht="22.5" customHeight="1">
      <c r="A92" s="72"/>
      <c r="B92" s="73"/>
      <c r="C92" s="74" t="s">
        <v>161</v>
      </c>
      <c r="D92" s="66" t="s">
        <v>11</v>
      </c>
      <c r="E92" s="71">
        <v>21</v>
      </c>
      <c r="F92" s="71"/>
      <c r="G92" s="71">
        <f>SUM(E92:F92)</f>
        <v>21</v>
      </c>
      <c r="H92" s="71"/>
      <c r="I92" s="71">
        <f>SUM(G92:H92)</f>
        <v>21</v>
      </c>
      <c r="J92" s="71">
        <v>1</v>
      </c>
      <c r="K92" s="71">
        <f>SUM(I92:J92)</f>
        <v>22</v>
      </c>
      <c r="L92" s="71"/>
      <c r="M92" s="71">
        <f>SUM(K92:L92)</f>
        <v>22</v>
      </c>
      <c r="N92" s="71"/>
      <c r="O92" s="71">
        <f>SUM(M92:N92)</f>
        <v>22</v>
      </c>
      <c r="P92" s="71"/>
      <c r="Q92" s="71">
        <f>SUM(O92:P92)</f>
        <v>22</v>
      </c>
      <c r="R92" s="71"/>
      <c r="S92" s="71">
        <f>SUM(Q92:R92)</f>
        <v>22</v>
      </c>
      <c r="T92" s="71"/>
      <c r="U92" s="71">
        <f>SUM(S92:T92)</f>
        <v>22</v>
      </c>
      <c r="V92" s="71"/>
      <c r="W92" s="71">
        <f>SUM(U92:V92)</f>
        <v>22</v>
      </c>
      <c r="X92" s="71"/>
      <c r="Y92" s="71">
        <f>SUM(W92:X92)</f>
        <v>22</v>
      </c>
    </row>
    <row r="93" spans="1:25" s="24" customFormat="1" ht="16.5" customHeight="1">
      <c r="A93" s="72"/>
      <c r="B93" s="73"/>
      <c r="C93" s="74" t="s">
        <v>162</v>
      </c>
      <c r="D93" s="38" t="s">
        <v>12</v>
      </c>
      <c r="E93" s="71">
        <v>1000</v>
      </c>
      <c r="F93" s="71"/>
      <c r="G93" s="71">
        <f>SUM(E93:F93)</f>
        <v>1000</v>
      </c>
      <c r="H93" s="71"/>
      <c r="I93" s="71">
        <f>SUM(G93:H93)</f>
        <v>1000</v>
      </c>
      <c r="J93" s="71">
        <v>500</v>
      </c>
      <c r="K93" s="71">
        <f>SUM(I93:J93)</f>
        <v>1500</v>
      </c>
      <c r="L93" s="71"/>
      <c r="M93" s="71">
        <f>SUM(K93:L93)</f>
        <v>1500</v>
      </c>
      <c r="N93" s="71"/>
      <c r="O93" s="71">
        <f>SUM(M93:N93)</f>
        <v>1500</v>
      </c>
      <c r="P93" s="71"/>
      <c r="Q93" s="71">
        <f>SUM(O93:P93)</f>
        <v>1500</v>
      </c>
      <c r="R93" s="71"/>
      <c r="S93" s="71">
        <f>SUM(Q93:R93)</f>
        <v>1500</v>
      </c>
      <c r="T93" s="71"/>
      <c r="U93" s="71">
        <f>SUM(S93:T93)</f>
        <v>1500</v>
      </c>
      <c r="V93" s="71"/>
      <c r="W93" s="71">
        <f>SUM(U93:V93)</f>
        <v>1500</v>
      </c>
      <c r="X93" s="71"/>
      <c r="Y93" s="71">
        <f>SUM(W93:X93)</f>
        <v>1500</v>
      </c>
    </row>
    <row r="94" spans="1:25" s="24" customFormat="1" ht="22.5" customHeight="1">
      <c r="A94" s="72"/>
      <c r="B94" s="73">
        <v>80148</v>
      </c>
      <c r="C94" s="74"/>
      <c r="D94" s="66" t="s">
        <v>246</v>
      </c>
      <c r="E94" s="71">
        <f aca="true" t="shared" si="87" ref="E94:K94">SUM(E95:E96)</f>
        <v>123702</v>
      </c>
      <c r="F94" s="71">
        <f t="shared" si="87"/>
        <v>0</v>
      </c>
      <c r="G94" s="71">
        <f t="shared" si="87"/>
        <v>123702</v>
      </c>
      <c r="H94" s="71">
        <f t="shared" si="87"/>
        <v>0</v>
      </c>
      <c r="I94" s="71">
        <f t="shared" si="87"/>
        <v>123702</v>
      </c>
      <c r="J94" s="71">
        <f t="shared" si="87"/>
        <v>678</v>
      </c>
      <c r="K94" s="71">
        <f t="shared" si="87"/>
        <v>124380</v>
      </c>
      <c r="L94" s="71">
        <f aca="true" t="shared" si="88" ref="L94:Q94">SUM(L95:L96)</f>
        <v>0</v>
      </c>
      <c r="M94" s="71">
        <f t="shared" si="88"/>
        <v>124380</v>
      </c>
      <c r="N94" s="71">
        <f t="shared" si="88"/>
        <v>0</v>
      </c>
      <c r="O94" s="71">
        <f t="shared" si="88"/>
        <v>124380</v>
      </c>
      <c r="P94" s="71">
        <f t="shared" si="88"/>
        <v>0</v>
      </c>
      <c r="Q94" s="71">
        <f t="shared" si="88"/>
        <v>124380</v>
      </c>
      <c r="R94" s="71">
        <f aca="true" t="shared" si="89" ref="R94:W94">SUM(R95:R96)</f>
        <v>0</v>
      </c>
      <c r="S94" s="71">
        <f t="shared" si="89"/>
        <v>124380</v>
      </c>
      <c r="T94" s="71">
        <f t="shared" si="89"/>
        <v>0</v>
      </c>
      <c r="U94" s="71">
        <f t="shared" si="89"/>
        <v>124380</v>
      </c>
      <c r="V94" s="71">
        <f t="shared" si="89"/>
        <v>0</v>
      </c>
      <c r="W94" s="71">
        <f t="shared" si="89"/>
        <v>124380</v>
      </c>
      <c r="X94" s="71">
        <f>SUM(X95:X96)</f>
        <v>0</v>
      </c>
      <c r="Y94" s="71">
        <f>SUM(Y95:Y96)</f>
        <v>124380</v>
      </c>
    </row>
    <row r="95" spans="1:25" s="24" customFormat="1" ht="22.5" customHeight="1">
      <c r="A95" s="72"/>
      <c r="B95" s="73"/>
      <c r="C95" s="74" t="s">
        <v>191</v>
      </c>
      <c r="D95" s="66" t="s">
        <v>192</v>
      </c>
      <c r="E95" s="71">
        <v>123700</v>
      </c>
      <c r="F95" s="71"/>
      <c r="G95" s="71">
        <f>SUM(E95:F95)</f>
        <v>123700</v>
      </c>
      <c r="H95" s="71"/>
      <c r="I95" s="71">
        <f>SUM(G95:H95)</f>
        <v>123700</v>
      </c>
      <c r="J95" s="71">
        <v>680</v>
      </c>
      <c r="K95" s="71">
        <f>SUM(I95:J95)</f>
        <v>124380</v>
      </c>
      <c r="L95" s="71"/>
      <c r="M95" s="71">
        <f>SUM(K95:L95)</f>
        <v>124380</v>
      </c>
      <c r="N95" s="71"/>
      <c r="O95" s="71">
        <f>SUM(M95:N95)</f>
        <v>124380</v>
      </c>
      <c r="P95" s="71"/>
      <c r="Q95" s="71">
        <f>SUM(O95:P95)</f>
        <v>124380</v>
      </c>
      <c r="R95" s="71"/>
      <c r="S95" s="71">
        <f>SUM(Q95:R95)</f>
        <v>124380</v>
      </c>
      <c r="T95" s="71"/>
      <c r="U95" s="71">
        <f>SUM(S95:T95)</f>
        <v>124380</v>
      </c>
      <c r="V95" s="71"/>
      <c r="W95" s="71">
        <f>SUM(U95:V95)</f>
        <v>124380</v>
      </c>
      <c r="X95" s="71"/>
      <c r="Y95" s="71">
        <f>SUM(W95:X95)</f>
        <v>124380</v>
      </c>
    </row>
    <row r="96" spans="1:25" s="24" customFormat="1" ht="22.5" customHeight="1">
      <c r="A96" s="72"/>
      <c r="B96" s="73"/>
      <c r="C96" s="74" t="s">
        <v>161</v>
      </c>
      <c r="D96" s="66" t="s">
        <v>11</v>
      </c>
      <c r="E96" s="71">
        <v>2</v>
      </c>
      <c r="F96" s="71"/>
      <c r="G96" s="71">
        <f>SUM(E96:F96)</f>
        <v>2</v>
      </c>
      <c r="H96" s="71"/>
      <c r="I96" s="71">
        <f>SUM(G96:H96)</f>
        <v>2</v>
      </c>
      <c r="J96" s="71">
        <v>-2</v>
      </c>
      <c r="K96" s="71">
        <f>SUM(I96:J96)</f>
        <v>0</v>
      </c>
      <c r="L96" s="71"/>
      <c r="M96" s="71">
        <f>SUM(K96:L96)</f>
        <v>0</v>
      </c>
      <c r="N96" s="71"/>
      <c r="O96" s="71">
        <f>SUM(M96:N96)</f>
        <v>0</v>
      </c>
      <c r="P96" s="71"/>
      <c r="Q96" s="71">
        <f>SUM(O96:P96)</f>
        <v>0</v>
      </c>
      <c r="R96" s="71"/>
      <c r="S96" s="71">
        <f>SUM(Q96:R96)</f>
        <v>0</v>
      </c>
      <c r="T96" s="71"/>
      <c r="U96" s="71">
        <f>SUM(S96:T96)</f>
        <v>0</v>
      </c>
      <c r="V96" s="71"/>
      <c r="W96" s="71">
        <f>SUM(U96:V96)</f>
        <v>0</v>
      </c>
      <c r="X96" s="71"/>
      <c r="Y96" s="71">
        <f>SUM(W96:X96)</f>
        <v>0</v>
      </c>
    </row>
    <row r="97" spans="1:25" s="6" customFormat="1" ht="20.25" customHeight="1">
      <c r="A97" s="29" t="s">
        <v>153</v>
      </c>
      <c r="B97" s="2"/>
      <c r="C97" s="3"/>
      <c r="D97" s="30" t="s">
        <v>186</v>
      </c>
      <c r="E97" s="58">
        <f aca="true" t="shared" si="90" ref="E97:K97">SUM(E98,E100,E103,E108,E114,E106)</f>
        <v>8336341</v>
      </c>
      <c r="F97" s="58">
        <f t="shared" si="90"/>
        <v>530000</v>
      </c>
      <c r="G97" s="58">
        <f t="shared" si="90"/>
        <v>8866341</v>
      </c>
      <c r="H97" s="58">
        <f t="shared" si="90"/>
        <v>-73</v>
      </c>
      <c r="I97" s="58">
        <f t="shared" si="90"/>
        <v>8866268</v>
      </c>
      <c r="J97" s="58">
        <f t="shared" si="90"/>
        <v>5500</v>
      </c>
      <c r="K97" s="58">
        <f t="shared" si="90"/>
        <v>8871768</v>
      </c>
      <c r="L97" s="58">
        <f aca="true" t="shared" si="91" ref="L97:Q97">SUM(L98,L100,L103,L108,L114,L106)</f>
        <v>0</v>
      </c>
      <c r="M97" s="58">
        <f t="shared" si="91"/>
        <v>8871768</v>
      </c>
      <c r="N97" s="58">
        <f t="shared" si="91"/>
        <v>82751</v>
      </c>
      <c r="O97" s="58">
        <f t="shared" si="91"/>
        <v>8954519</v>
      </c>
      <c r="P97" s="58">
        <f t="shared" si="91"/>
        <v>0</v>
      </c>
      <c r="Q97" s="58">
        <f t="shared" si="91"/>
        <v>8954519</v>
      </c>
      <c r="R97" s="58">
        <f aca="true" t="shared" si="92" ref="R97:W97">SUM(R98,R100,R103,R108,R114,R106)</f>
        <v>0</v>
      </c>
      <c r="S97" s="58">
        <f t="shared" si="92"/>
        <v>8954519</v>
      </c>
      <c r="T97" s="58">
        <f t="shared" si="92"/>
        <v>0</v>
      </c>
      <c r="U97" s="58">
        <f t="shared" si="92"/>
        <v>8954519</v>
      </c>
      <c r="V97" s="58">
        <f t="shared" si="92"/>
        <v>88119</v>
      </c>
      <c r="W97" s="58">
        <f t="shared" si="92"/>
        <v>9042638</v>
      </c>
      <c r="X97" s="58">
        <f>SUM(X98,X100,X103,X108,X114,X106)</f>
        <v>17765</v>
      </c>
      <c r="Y97" s="58">
        <f>SUM(Y98,Y100,Y103,Y108,Y114,Y106)</f>
        <v>9060403</v>
      </c>
    </row>
    <row r="98" spans="1:25" s="24" customFormat="1" ht="45">
      <c r="A98" s="72"/>
      <c r="B98" s="47">
        <v>85212</v>
      </c>
      <c r="C98" s="79"/>
      <c r="D98" s="77" t="s">
        <v>270</v>
      </c>
      <c r="E98" s="71">
        <f aca="true" t="shared" si="93" ref="E98:Y98">SUM(E99:E99)</f>
        <v>6551300</v>
      </c>
      <c r="F98" s="71">
        <f t="shared" si="93"/>
        <v>0</v>
      </c>
      <c r="G98" s="71">
        <f t="shared" si="93"/>
        <v>6551300</v>
      </c>
      <c r="H98" s="71">
        <f t="shared" si="93"/>
        <v>0</v>
      </c>
      <c r="I98" s="71">
        <f t="shared" si="93"/>
        <v>6551300</v>
      </c>
      <c r="J98" s="71">
        <f t="shared" si="93"/>
        <v>0</v>
      </c>
      <c r="K98" s="71">
        <f t="shared" si="93"/>
        <v>6551300</v>
      </c>
      <c r="L98" s="71">
        <f t="shared" si="93"/>
        <v>0</v>
      </c>
      <c r="M98" s="71">
        <f t="shared" si="93"/>
        <v>6551300</v>
      </c>
      <c r="N98" s="71">
        <f t="shared" si="93"/>
        <v>0</v>
      </c>
      <c r="O98" s="71">
        <f t="shared" si="93"/>
        <v>6551300</v>
      </c>
      <c r="P98" s="71">
        <f t="shared" si="93"/>
        <v>0</v>
      </c>
      <c r="Q98" s="71">
        <f t="shared" si="93"/>
        <v>6551300</v>
      </c>
      <c r="R98" s="71">
        <f t="shared" si="93"/>
        <v>0</v>
      </c>
      <c r="S98" s="71">
        <f t="shared" si="93"/>
        <v>6551300</v>
      </c>
      <c r="T98" s="71">
        <f t="shared" si="93"/>
        <v>0</v>
      </c>
      <c r="U98" s="71">
        <f t="shared" si="93"/>
        <v>6551300</v>
      </c>
      <c r="V98" s="71">
        <f t="shared" si="93"/>
        <v>0</v>
      </c>
      <c r="W98" s="71">
        <f t="shared" si="93"/>
        <v>6551300</v>
      </c>
      <c r="X98" s="71">
        <f t="shared" si="93"/>
        <v>0</v>
      </c>
      <c r="Y98" s="71">
        <f t="shared" si="93"/>
        <v>6551300</v>
      </c>
    </row>
    <row r="99" spans="1:25" s="24" customFormat="1" ht="56.25">
      <c r="A99" s="72"/>
      <c r="B99" s="47"/>
      <c r="C99" s="79">
        <v>2010</v>
      </c>
      <c r="D99" s="77" t="s">
        <v>211</v>
      </c>
      <c r="E99" s="71">
        <v>6551300</v>
      </c>
      <c r="F99" s="71"/>
      <c r="G99" s="71">
        <f>SUM(E99:F99)</f>
        <v>6551300</v>
      </c>
      <c r="H99" s="71"/>
      <c r="I99" s="71">
        <f>SUM(G99:H99)</f>
        <v>6551300</v>
      </c>
      <c r="J99" s="71"/>
      <c r="K99" s="71">
        <f>SUM(I99:J99)</f>
        <v>6551300</v>
      </c>
      <c r="L99" s="71"/>
      <c r="M99" s="71">
        <f>SUM(K99:L99)</f>
        <v>6551300</v>
      </c>
      <c r="N99" s="71"/>
      <c r="O99" s="71">
        <f>SUM(M99:N99)</f>
        <v>6551300</v>
      </c>
      <c r="P99" s="71"/>
      <c r="Q99" s="71">
        <f>SUM(O99:P99)</f>
        <v>6551300</v>
      </c>
      <c r="R99" s="71"/>
      <c r="S99" s="71">
        <f>SUM(Q99:R99)</f>
        <v>6551300</v>
      </c>
      <c r="T99" s="71"/>
      <c r="U99" s="71">
        <f>SUM(S99:T99)</f>
        <v>6551300</v>
      </c>
      <c r="V99" s="71"/>
      <c r="W99" s="71">
        <f>SUM(U99:V99)</f>
        <v>6551300</v>
      </c>
      <c r="X99" s="71"/>
      <c r="Y99" s="71">
        <f>SUM(W99:X99)</f>
        <v>6551300</v>
      </c>
    </row>
    <row r="100" spans="1:25" s="24" customFormat="1" ht="67.5">
      <c r="A100" s="72"/>
      <c r="B100" s="47">
        <v>85213</v>
      </c>
      <c r="C100" s="80"/>
      <c r="D100" s="77" t="s">
        <v>268</v>
      </c>
      <c r="E100" s="71">
        <f aca="true" t="shared" si="94" ref="E100:K100">SUM(E101:E102)</f>
        <v>49134</v>
      </c>
      <c r="F100" s="71">
        <f t="shared" si="94"/>
        <v>0</v>
      </c>
      <c r="G100" s="71">
        <f t="shared" si="94"/>
        <v>49134</v>
      </c>
      <c r="H100" s="71">
        <f t="shared" si="94"/>
        <v>-73</v>
      </c>
      <c r="I100" s="71">
        <f t="shared" si="94"/>
        <v>49061</v>
      </c>
      <c r="J100" s="71">
        <f t="shared" si="94"/>
        <v>0</v>
      </c>
      <c r="K100" s="71">
        <f t="shared" si="94"/>
        <v>49061</v>
      </c>
      <c r="L100" s="71">
        <f aca="true" t="shared" si="95" ref="L100:Q100">SUM(L101:L102)</f>
        <v>0</v>
      </c>
      <c r="M100" s="71">
        <f t="shared" si="95"/>
        <v>49061</v>
      </c>
      <c r="N100" s="71">
        <f t="shared" si="95"/>
        <v>0</v>
      </c>
      <c r="O100" s="71">
        <f t="shared" si="95"/>
        <v>49061</v>
      </c>
      <c r="P100" s="71">
        <f t="shared" si="95"/>
        <v>0</v>
      </c>
      <c r="Q100" s="71">
        <f t="shared" si="95"/>
        <v>49061</v>
      </c>
      <c r="R100" s="71">
        <f aca="true" t="shared" si="96" ref="R100:W100">SUM(R101:R102)</f>
        <v>0</v>
      </c>
      <c r="S100" s="71">
        <f t="shared" si="96"/>
        <v>49061</v>
      </c>
      <c r="T100" s="71">
        <f t="shared" si="96"/>
        <v>0</v>
      </c>
      <c r="U100" s="71">
        <f t="shared" si="96"/>
        <v>49061</v>
      </c>
      <c r="V100" s="71">
        <f t="shared" si="96"/>
        <v>3673</v>
      </c>
      <c r="W100" s="71">
        <f t="shared" si="96"/>
        <v>52734</v>
      </c>
      <c r="X100" s="71">
        <f>SUM(X101:X102)</f>
        <v>0</v>
      </c>
      <c r="Y100" s="71">
        <f>SUM(Y101:Y102)</f>
        <v>52734</v>
      </c>
    </row>
    <row r="101" spans="1:25" s="24" customFormat="1" ht="56.25">
      <c r="A101" s="72"/>
      <c r="B101" s="47"/>
      <c r="C101" s="80">
        <v>2010</v>
      </c>
      <c r="D101" s="77" t="s">
        <v>211</v>
      </c>
      <c r="E101" s="71">
        <v>12000</v>
      </c>
      <c r="F101" s="71"/>
      <c r="G101" s="71">
        <f>SUM(E101:F101)</f>
        <v>12000</v>
      </c>
      <c r="H101" s="71">
        <v>-73</v>
      </c>
      <c r="I101" s="71">
        <f>SUM(G101:H101)</f>
        <v>11927</v>
      </c>
      <c r="J101" s="71"/>
      <c r="K101" s="71">
        <f>SUM(I101:J101)</f>
        <v>11927</v>
      </c>
      <c r="L101" s="71"/>
      <c r="M101" s="71">
        <f>SUM(K101:L101)</f>
        <v>11927</v>
      </c>
      <c r="N101" s="71"/>
      <c r="O101" s="71">
        <f>SUM(M101:N101)</f>
        <v>11927</v>
      </c>
      <c r="P101" s="71"/>
      <c r="Q101" s="71">
        <f>SUM(O101:P101)</f>
        <v>11927</v>
      </c>
      <c r="R101" s="71"/>
      <c r="S101" s="71">
        <f>SUM(Q101:R101)</f>
        <v>11927</v>
      </c>
      <c r="T101" s="71"/>
      <c r="U101" s="71">
        <f>SUM(S101:T101)</f>
        <v>11927</v>
      </c>
      <c r="V101" s="71">
        <v>3673</v>
      </c>
      <c r="W101" s="71">
        <f>SUM(U101:V101)</f>
        <v>15600</v>
      </c>
      <c r="X101" s="71"/>
      <c r="Y101" s="71">
        <f>SUM(W101:X101)</f>
        <v>15600</v>
      </c>
    </row>
    <row r="102" spans="1:25" s="24" customFormat="1" ht="33.75">
      <c r="A102" s="72"/>
      <c r="B102" s="47"/>
      <c r="C102" s="74">
        <v>2030</v>
      </c>
      <c r="D102" s="77" t="s">
        <v>212</v>
      </c>
      <c r="E102" s="71">
        <v>37134</v>
      </c>
      <c r="F102" s="71"/>
      <c r="G102" s="71">
        <f>SUM(E102:F102)</f>
        <v>37134</v>
      </c>
      <c r="H102" s="71"/>
      <c r="I102" s="71">
        <f>SUM(G102:H102)</f>
        <v>37134</v>
      </c>
      <c r="J102" s="71"/>
      <c r="K102" s="71">
        <f>SUM(I102:J102)</f>
        <v>37134</v>
      </c>
      <c r="L102" s="71"/>
      <c r="M102" s="71">
        <f>SUM(K102:L102)</f>
        <v>37134</v>
      </c>
      <c r="N102" s="71"/>
      <c r="O102" s="71">
        <f>SUM(M102:N102)</f>
        <v>37134</v>
      </c>
      <c r="P102" s="71"/>
      <c r="Q102" s="71">
        <f>SUM(O102:P102)</f>
        <v>37134</v>
      </c>
      <c r="R102" s="71"/>
      <c r="S102" s="71">
        <f>SUM(Q102:R102)</f>
        <v>37134</v>
      </c>
      <c r="T102" s="71"/>
      <c r="U102" s="71">
        <f>SUM(S102:T102)</f>
        <v>37134</v>
      </c>
      <c r="V102" s="71"/>
      <c r="W102" s="71">
        <f>SUM(U102:V102)</f>
        <v>37134</v>
      </c>
      <c r="X102" s="71"/>
      <c r="Y102" s="71">
        <f>SUM(W102:X102)</f>
        <v>37134</v>
      </c>
    </row>
    <row r="103" spans="1:25" s="24" customFormat="1" ht="23.25" customHeight="1">
      <c r="A103" s="72"/>
      <c r="B103" s="73" t="s">
        <v>154</v>
      </c>
      <c r="C103" s="80"/>
      <c r="D103" s="77" t="s">
        <v>56</v>
      </c>
      <c r="E103" s="71">
        <f aca="true" t="shared" si="97" ref="E103:K103">SUM(E104:E105)</f>
        <v>551695</v>
      </c>
      <c r="F103" s="71">
        <f t="shared" si="97"/>
        <v>0</v>
      </c>
      <c r="G103" s="71">
        <f t="shared" si="97"/>
        <v>551695</v>
      </c>
      <c r="H103" s="71">
        <f t="shared" si="97"/>
        <v>0</v>
      </c>
      <c r="I103" s="71">
        <f t="shared" si="97"/>
        <v>551695</v>
      </c>
      <c r="J103" s="71">
        <f t="shared" si="97"/>
        <v>0</v>
      </c>
      <c r="K103" s="71">
        <f t="shared" si="97"/>
        <v>551695</v>
      </c>
      <c r="L103" s="71">
        <f aca="true" t="shared" si="98" ref="L103:Q103">SUM(L104:L105)</f>
        <v>0</v>
      </c>
      <c r="M103" s="71">
        <f t="shared" si="98"/>
        <v>551695</v>
      </c>
      <c r="N103" s="71">
        <f t="shared" si="98"/>
        <v>0</v>
      </c>
      <c r="O103" s="71">
        <f t="shared" si="98"/>
        <v>551695</v>
      </c>
      <c r="P103" s="71">
        <f t="shared" si="98"/>
        <v>0</v>
      </c>
      <c r="Q103" s="71">
        <f t="shared" si="98"/>
        <v>551695</v>
      </c>
      <c r="R103" s="71">
        <f aca="true" t="shared" si="99" ref="R103:W103">SUM(R104:R105)</f>
        <v>0</v>
      </c>
      <c r="S103" s="71">
        <f t="shared" si="99"/>
        <v>551695</v>
      </c>
      <c r="T103" s="71">
        <f t="shared" si="99"/>
        <v>0</v>
      </c>
      <c r="U103" s="71">
        <f t="shared" si="99"/>
        <v>551695</v>
      </c>
      <c r="V103" s="71">
        <f t="shared" si="99"/>
        <v>73405</v>
      </c>
      <c r="W103" s="71">
        <f t="shared" si="99"/>
        <v>625100</v>
      </c>
      <c r="X103" s="71">
        <f>SUM(X104:X105)</f>
        <v>0</v>
      </c>
      <c r="Y103" s="71">
        <f>SUM(Y104:Y105)</f>
        <v>625100</v>
      </c>
    </row>
    <row r="104" spans="1:25" s="24" customFormat="1" ht="20.25" customHeight="1">
      <c r="A104" s="72"/>
      <c r="B104" s="73"/>
      <c r="C104" s="79" t="s">
        <v>191</v>
      </c>
      <c r="D104" s="77" t="s">
        <v>192</v>
      </c>
      <c r="E104" s="71">
        <v>12000</v>
      </c>
      <c r="F104" s="71"/>
      <c r="G104" s="71">
        <f>SUM(E104:F104)</f>
        <v>12000</v>
      </c>
      <c r="H104" s="71"/>
      <c r="I104" s="71">
        <f>SUM(G104:H104)</f>
        <v>12000</v>
      </c>
      <c r="J104" s="71"/>
      <c r="K104" s="71">
        <f>SUM(I104:J104)</f>
        <v>12000</v>
      </c>
      <c r="L104" s="71"/>
      <c r="M104" s="71">
        <f>SUM(K104:L104)</f>
        <v>12000</v>
      </c>
      <c r="N104" s="71"/>
      <c r="O104" s="71">
        <f>SUM(M104:N104)</f>
        <v>12000</v>
      </c>
      <c r="P104" s="71"/>
      <c r="Q104" s="71">
        <f>SUM(O104:P104)</f>
        <v>12000</v>
      </c>
      <c r="R104" s="71"/>
      <c r="S104" s="71">
        <f>SUM(Q104:R104)</f>
        <v>12000</v>
      </c>
      <c r="T104" s="71"/>
      <c r="U104" s="71">
        <f>SUM(S104:T104)</f>
        <v>12000</v>
      </c>
      <c r="V104" s="71"/>
      <c r="W104" s="71">
        <f>SUM(U104:V104)</f>
        <v>12000</v>
      </c>
      <c r="X104" s="71"/>
      <c r="Y104" s="71">
        <f>SUM(W104:X104)</f>
        <v>12000</v>
      </c>
    </row>
    <row r="105" spans="1:25" s="24" customFormat="1" ht="33.75">
      <c r="A105" s="72"/>
      <c r="B105" s="73"/>
      <c r="C105" s="74">
        <v>2030</v>
      </c>
      <c r="D105" s="77" t="s">
        <v>212</v>
      </c>
      <c r="E105" s="71">
        <v>539695</v>
      </c>
      <c r="F105" s="71"/>
      <c r="G105" s="71">
        <f>SUM(E105:F105)</f>
        <v>539695</v>
      </c>
      <c r="H105" s="71"/>
      <c r="I105" s="71">
        <f>SUM(G105:H105)</f>
        <v>539695</v>
      </c>
      <c r="J105" s="71"/>
      <c r="K105" s="71">
        <f>SUM(I105:J105)</f>
        <v>539695</v>
      </c>
      <c r="L105" s="71"/>
      <c r="M105" s="71">
        <f>SUM(K105:L105)</f>
        <v>539695</v>
      </c>
      <c r="N105" s="71"/>
      <c r="O105" s="71">
        <f>SUM(M105:N105)</f>
        <v>539695</v>
      </c>
      <c r="P105" s="71"/>
      <c r="Q105" s="71">
        <f>SUM(O105:P105)</f>
        <v>539695</v>
      </c>
      <c r="R105" s="71"/>
      <c r="S105" s="71">
        <f>SUM(Q105:R105)</f>
        <v>539695</v>
      </c>
      <c r="T105" s="71"/>
      <c r="U105" s="71">
        <f>SUM(S105:T105)</f>
        <v>539695</v>
      </c>
      <c r="V105" s="71">
        <v>73405</v>
      </c>
      <c r="W105" s="71">
        <f>SUM(U105:V105)</f>
        <v>613100</v>
      </c>
      <c r="X105" s="71"/>
      <c r="Y105" s="71">
        <f>SUM(W105:X105)</f>
        <v>613100</v>
      </c>
    </row>
    <row r="106" spans="1:25" s="24" customFormat="1" ht="19.5" customHeight="1">
      <c r="A106" s="72"/>
      <c r="B106" s="73">
        <v>85216</v>
      </c>
      <c r="C106" s="74"/>
      <c r="D106" s="77" t="s">
        <v>278</v>
      </c>
      <c r="E106" s="71">
        <f aca="true" t="shared" si="100" ref="E106:Y106">SUM(E107)</f>
        <v>449868</v>
      </c>
      <c r="F106" s="71">
        <f t="shared" si="100"/>
        <v>0</v>
      </c>
      <c r="G106" s="71">
        <f t="shared" si="100"/>
        <v>449868</v>
      </c>
      <c r="H106" s="71">
        <f t="shared" si="100"/>
        <v>0</v>
      </c>
      <c r="I106" s="71">
        <f t="shared" si="100"/>
        <v>449868</v>
      </c>
      <c r="J106" s="71">
        <f t="shared" si="100"/>
        <v>0</v>
      </c>
      <c r="K106" s="71">
        <f t="shared" si="100"/>
        <v>449868</v>
      </c>
      <c r="L106" s="71">
        <f t="shared" si="100"/>
        <v>0</v>
      </c>
      <c r="M106" s="71">
        <f t="shared" si="100"/>
        <v>449868</v>
      </c>
      <c r="N106" s="71">
        <f t="shared" si="100"/>
        <v>0</v>
      </c>
      <c r="O106" s="71">
        <f t="shared" si="100"/>
        <v>449868</v>
      </c>
      <c r="P106" s="71">
        <f t="shared" si="100"/>
        <v>0</v>
      </c>
      <c r="Q106" s="71">
        <f t="shared" si="100"/>
        <v>449868</v>
      </c>
      <c r="R106" s="71">
        <f t="shared" si="100"/>
        <v>0</v>
      </c>
      <c r="S106" s="71">
        <f t="shared" si="100"/>
        <v>449868</v>
      </c>
      <c r="T106" s="71">
        <f t="shared" si="100"/>
        <v>0</v>
      </c>
      <c r="U106" s="71">
        <f t="shared" si="100"/>
        <v>449868</v>
      </c>
      <c r="V106" s="71">
        <f t="shared" si="100"/>
        <v>11041</v>
      </c>
      <c r="W106" s="71">
        <f t="shared" si="100"/>
        <v>460909</v>
      </c>
      <c r="X106" s="71">
        <f t="shared" si="100"/>
        <v>0</v>
      </c>
      <c r="Y106" s="71">
        <f t="shared" si="100"/>
        <v>460909</v>
      </c>
    </row>
    <row r="107" spans="1:25" s="24" customFormat="1" ht="33.75">
      <c r="A107" s="72"/>
      <c r="B107" s="73"/>
      <c r="C107" s="74">
        <v>2030</v>
      </c>
      <c r="D107" s="77" t="s">
        <v>212</v>
      </c>
      <c r="E107" s="71">
        <v>449868</v>
      </c>
      <c r="F107" s="71"/>
      <c r="G107" s="71">
        <f>SUM(E107:F107)</f>
        <v>449868</v>
      </c>
      <c r="H107" s="71"/>
      <c r="I107" s="71">
        <f>SUM(G107:H107)</f>
        <v>449868</v>
      </c>
      <c r="J107" s="71"/>
      <c r="K107" s="71">
        <f>SUM(I107:J107)</f>
        <v>449868</v>
      </c>
      <c r="L107" s="71"/>
      <c r="M107" s="71">
        <f>SUM(K107:L107)</f>
        <v>449868</v>
      </c>
      <c r="N107" s="71"/>
      <c r="O107" s="71">
        <f>SUM(M107:N107)</f>
        <v>449868</v>
      </c>
      <c r="P107" s="71"/>
      <c r="Q107" s="71">
        <f>SUM(O107:P107)</f>
        <v>449868</v>
      </c>
      <c r="R107" s="71"/>
      <c r="S107" s="71">
        <f>SUM(Q107:R107)</f>
        <v>449868</v>
      </c>
      <c r="T107" s="71"/>
      <c r="U107" s="71">
        <f>SUM(S107:T107)</f>
        <v>449868</v>
      </c>
      <c r="V107" s="71">
        <v>11041</v>
      </c>
      <c r="W107" s="71">
        <f>SUM(U107:V107)</f>
        <v>460909</v>
      </c>
      <c r="X107" s="71"/>
      <c r="Y107" s="71">
        <f>SUM(W107:X107)</f>
        <v>460909</v>
      </c>
    </row>
    <row r="108" spans="1:25" s="24" customFormat="1" ht="20.25" customHeight="1">
      <c r="A108" s="72"/>
      <c r="B108" s="73" t="s">
        <v>155</v>
      </c>
      <c r="C108" s="80"/>
      <c r="D108" s="77" t="s">
        <v>58</v>
      </c>
      <c r="E108" s="71">
        <f aca="true" t="shared" si="101" ref="E108:K108">SUM(E109:E113)</f>
        <v>377449</v>
      </c>
      <c r="F108" s="71">
        <f t="shared" si="101"/>
        <v>0</v>
      </c>
      <c r="G108" s="71">
        <f t="shared" si="101"/>
        <v>377449</v>
      </c>
      <c r="H108" s="71">
        <f t="shared" si="101"/>
        <v>0</v>
      </c>
      <c r="I108" s="71">
        <f t="shared" si="101"/>
        <v>377449</v>
      </c>
      <c r="J108" s="71">
        <f t="shared" si="101"/>
        <v>5500</v>
      </c>
      <c r="K108" s="71">
        <f t="shared" si="101"/>
        <v>382949</v>
      </c>
      <c r="L108" s="71">
        <f aca="true" t="shared" si="102" ref="L108:Q108">SUM(L109:L113)</f>
        <v>0</v>
      </c>
      <c r="M108" s="71">
        <f t="shared" si="102"/>
        <v>382949</v>
      </c>
      <c r="N108" s="71">
        <f t="shared" si="102"/>
        <v>13351</v>
      </c>
      <c r="O108" s="71">
        <f t="shared" si="102"/>
        <v>396300</v>
      </c>
      <c r="P108" s="71">
        <f t="shared" si="102"/>
        <v>0</v>
      </c>
      <c r="Q108" s="71">
        <f t="shared" si="102"/>
        <v>396300</v>
      </c>
      <c r="R108" s="71">
        <f aca="true" t="shared" si="103" ref="R108:W108">SUM(R109:R113)</f>
        <v>0</v>
      </c>
      <c r="S108" s="71">
        <f t="shared" si="103"/>
        <v>396300</v>
      </c>
      <c r="T108" s="71">
        <f t="shared" si="103"/>
        <v>0</v>
      </c>
      <c r="U108" s="71">
        <f t="shared" si="103"/>
        <v>396300</v>
      </c>
      <c r="V108" s="71">
        <f t="shared" si="103"/>
        <v>0</v>
      </c>
      <c r="W108" s="71">
        <f t="shared" si="103"/>
        <v>396300</v>
      </c>
      <c r="X108" s="71">
        <f>SUM(X109:X113)</f>
        <v>17765</v>
      </c>
      <c r="Y108" s="71">
        <f>SUM(Y109:Y113)</f>
        <v>414065</v>
      </c>
    </row>
    <row r="109" spans="1:25" s="24" customFormat="1" ht="67.5">
      <c r="A109" s="72"/>
      <c r="B109" s="73"/>
      <c r="C109" s="79" t="s">
        <v>160</v>
      </c>
      <c r="D109" s="38" t="s">
        <v>55</v>
      </c>
      <c r="E109" s="71">
        <v>2800</v>
      </c>
      <c r="F109" s="71"/>
      <c r="G109" s="71">
        <f>SUM(E109:F109)</f>
        <v>2800</v>
      </c>
      <c r="H109" s="71"/>
      <c r="I109" s="71">
        <f>SUM(G109:H109)</f>
        <v>2800</v>
      </c>
      <c r="J109" s="71"/>
      <c r="K109" s="71">
        <f>SUM(I109:J109)</f>
        <v>2800</v>
      </c>
      <c r="L109" s="71"/>
      <c r="M109" s="71">
        <f>SUM(K109:L109)</f>
        <v>2800</v>
      </c>
      <c r="N109" s="71"/>
      <c r="O109" s="71">
        <f>SUM(M109:N109)</f>
        <v>2800</v>
      </c>
      <c r="P109" s="71"/>
      <c r="Q109" s="71">
        <f>SUM(O109:P109)</f>
        <v>2800</v>
      </c>
      <c r="R109" s="71"/>
      <c r="S109" s="71">
        <f>SUM(Q109:R109)</f>
        <v>2800</v>
      </c>
      <c r="T109" s="71"/>
      <c r="U109" s="71">
        <f>SUM(S109:T109)</f>
        <v>2800</v>
      </c>
      <c r="V109" s="71"/>
      <c r="W109" s="71">
        <f>SUM(U109:V109)</f>
        <v>2800</v>
      </c>
      <c r="X109" s="71"/>
      <c r="Y109" s="71">
        <f>SUM(W109:X109)</f>
        <v>2800</v>
      </c>
    </row>
    <row r="110" spans="1:25" s="24" customFormat="1" ht="20.25" customHeight="1">
      <c r="A110" s="72"/>
      <c r="B110" s="73"/>
      <c r="C110" s="79" t="s">
        <v>161</v>
      </c>
      <c r="D110" s="77" t="s">
        <v>11</v>
      </c>
      <c r="E110" s="71">
        <v>200</v>
      </c>
      <c r="F110" s="71"/>
      <c r="G110" s="71">
        <f>SUM(E110:F110)</f>
        <v>200</v>
      </c>
      <c r="H110" s="71"/>
      <c r="I110" s="71">
        <f>SUM(G110:H110)</f>
        <v>200</v>
      </c>
      <c r="J110" s="71"/>
      <c r="K110" s="71">
        <f>SUM(I110:J110)</f>
        <v>200</v>
      </c>
      <c r="L110" s="71"/>
      <c r="M110" s="71">
        <f>SUM(K110:L110)</f>
        <v>200</v>
      </c>
      <c r="N110" s="71"/>
      <c r="O110" s="71">
        <f>SUM(M110:N110)</f>
        <v>200</v>
      </c>
      <c r="P110" s="71"/>
      <c r="Q110" s="71">
        <f>SUM(O110:P110)</f>
        <v>200</v>
      </c>
      <c r="R110" s="71"/>
      <c r="S110" s="71">
        <f>SUM(Q110:R110)</f>
        <v>200</v>
      </c>
      <c r="T110" s="71"/>
      <c r="U110" s="71">
        <f>SUM(S110:T110)</f>
        <v>200</v>
      </c>
      <c r="V110" s="71"/>
      <c r="W110" s="71">
        <f>SUM(U110:V110)</f>
        <v>200</v>
      </c>
      <c r="X110" s="71"/>
      <c r="Y110" s="71">
        <f>SUM(W110:X110)</f>
        <v>200</v>
      </c>
    </row>
    <row r="111" spans="1:25" s="24" customFormat="1" ht="16.5" customHeight="1">
      <c r="A111" s="72"/>
      <c r="B111" s="73"/>
      <c r="C111" s="79" t="s">
        <v>162</v>
      </c>
      <c r="D111" s="38" t="s">
        <v>12</v>
      </c>
      <c r="E111" s="71">
        <v>150</v>
      </c>
      <c r="F111" s="71"/>
      <c r="G111" s="71">
        <f>SUM(E111:F111)</f>
        <v>150</v>
      </c>
      <c r="H111" s="71"/>
      <c r="I111" s="71">
        <f>SUM(G111:H111)</f>
        <v>150</v>
      </c>
      <c r="J111" s="71"/>
      <c r="K111" s="71">
        <f>SUM(I111:J111)</f>
        <v>150</v>
      </c>
      <c r="L111" s="71"/>
      <c r="M111" s="71">
        <f>SUM(K111:L111)</f>
        <v>150</v>
      </c>
      <c r="N111" s="71"/>
      <c r="O111" s="71">
        <f>SUM(M111:N111)</f>
        <v>150</v>
      </c>
      <c r="P111" s="71"/>
      <c r="Q111" s="71">
        <f>SUM(O111:P111)</f>
        <v>150</v>
      </c>
      <c r="R111" s="71"/>
      <c r="S111" s="71">
        <f>SUM(Q111:R111)</f>
        <v>150</v>
      </c>
      <c r="T111" s="71"/>
      <c r="U111" s="71">
        <f>SUM(S111:T111)</f>
        <v>150</v>
      </c>
      <c r="V111" s="71"/>
      <c r="W111" s="71">
        <f>SUM(U111:V111)</f>
        <v>150</v>
      </c>
      <c r="X111" s="71"/>
      <c r="Y111" s="71">
        <f>SUM(W111:X111)</f>
        <v>150</v>
      </c>
    </row>
    <row r="112" spans="1:25" s="24" customFormat="1" ht="56.25">
      <c r="A112" s="72"/>
      <c r="B112" s="73"/>
      <c r="C112" s="79">
        <v>2010</v>
      </c>
      <c r="D112" s="77" t="s">
        <v>211</v>
      </c>
      <c r="E112" s="71"/>
      <c r="F112" s="71"/>
      <c r="G112" s="71"/>
      <c r="H112" s="71"/>
      <c r="I112" s="71">
        <v>0</v>
      </c>
      <c r="J112" s="71">
        <v>5500</v>
      </c>
      <c r="K112" s="71">
        <f>SUM(I112:J112)</f>
        <v>5500</v>
      </c>
      <c r="L112" s="71"/>
      <c r="M112" s="71">
        <f>SUM(K112:L112)</f>
        <v>5500</v>
      </c>
      <c r="N112" s="71"/>
      <c r="O112" s="71">
        <f>SUM(M112:N112)</f>
        <v>5500</v>
      </c>
      <c r="P112" s="71"/>
      <c r="Q112" s="71">
        <f>SUM(O112:P112)</f>
        <v>5500</v>
      </c>
      <c r="R112" s="71"/>
      <c r="S112" s="71">
        <f>SUM(Q112:R112)</f>
        <v>5500</v>
      </c>
      <c r="T112" s="71"/>
      <c r="U112" s="71">
        <f>SUM(S112:T112)</f>
        <v>5500</v>
      </c>
      <c r="V112" s="71"/>
      <c r="W112" s="71">
        <f>SUM(U112:V112)</f>
        <v>5500</v>
      </c>
      <c r="X112" s="71">
        <v>4000</v>
      </c>
      <c r="Y112" s="71">
        <f>SUM(W112:X112)</f>
        <v>9500</v>
      </c>
    </row>
    <row r="113" spans="1:25" s="24" customFormat="1" ht="33.75">
      <c r="A113" s="72"/>
      <c r="B113" s="73"/>
      <c r="C113" s="74">
        <v>2030</v>
      </c>
      <c r="D113" s="77" t="s">
        <v>212</v>
      </c>
      <c r="E113" s="71">
        <v>374299</v>
      </c>
      <c r="F113" s="71"/>
      <c r="G113" s="71">
        <f>SUM(E113:F113)</f>
        <v>374299</v>
      </c>
      <c r="H113" s="71"/>
      <c r="I113" s="71">
        <f>SUM(G113:H113)</f>
        <v>374299</v>
      </c>
      <c r="J113" s="71"/>
      <c r="K113" s="71">
        <f>SUM(I113:J113)</f>
        <v>374299</v>
      </c>
      <c r="L113" s="71"/>
      <c r="M113" s="71">
        <f>SUM(K113:L113)</f>
        <v>374299</v>
      </c>
      <c r="N113" s="71">
        <v>13351</v>
      </c>
      <c r="O113" s="71">
        <f>SUM(M113:N113)</f>
        <v>387650</v>
      </c>
      <c r="P113" s="71"/>
      <c r="Q113" s="71">
        <f>SUM(O113:P113)</f>
        <v>387650</v>
      </c>
      <c r="R113" s="71"/>
      <c r="S113" s="71">
        <f>SUM(Q113:R113)</f>
        <v>387650</v>
      </c>
      <c r="T113" s="71"/>
      <c r="U113" s="71">
        <f>SUM(S113:T113)</f>
        <v>387650</v>
      </c>
      <c r="V113" s="71"/>
      <c r="W113" s="71">
        <f>SUM(U113:V113)</f>
        <v>387650</v>
      </c>
      <c r="X113" s="71">
        <v>13765</v>
      </c>
      <c r="Y113" s="71">
        <f>SUM(W113:X113)</f>
        <v>401415</v>
      </c>
    </row>
    <row r="114" spans="1:25" s="24" customFormat="1" ht="18" customHeight="1">
      <c r="A114" s="72"/>
      <c r="B114" s="73">
        <v>85295</v>
      </c>
      <c r="C114" s="74"/>
      <c r="D114" s="77" t="s">
        <v>200</v>
      </c>
      <c r="E114" s="71">
        <f aca="true" t="shared" si="104" ref="E114:K114">SUM(E115:E116)</f>
        <v>356895</v>
      </c>
      <c r="F114" s="71">
        <f t="shared" si="104"/>
        <v>530000</v>
      </c>
      <c r="G114" s="71">
        <f t="shared" si="104"/>
        <v>886895</v>
      </c>
      <c r="H114" s="71">
        <f t="shared" si="104"/>
        <v>0</v>
      </c>
      <c r="I114" s="71">
        <f t="shared" si="104"/>
        <v>886895</v>
      </c>
      <c r="J114" s="71">
        <f t="shared" si="104"/>
        <v>0</v>
      </c>
      <c r="K114" s="71">
        <f t="shared" si="104"/>
        <v>886895</v>
      </c>
      <c r="L114" s="71">
        <f aca="true" t="shared" si="105" ref="L114:Q114">SUM(L115:L116)</f>
        <v>0</v>
      </c>
      <c r="M114" s="71">
        <f t="shared" si="105"/>
        <v>886895</v>
      </c>
      <c r="N114" s="71">
        <f t="shared" si="105"/>
        <v>69400</v>
      </c>
      <c r="O114" s="71">
        <f t="shared" si="105"/>
        <v>956295</v>
      </c>
      <c r="P114" s="71">
        <f t="shared" si="105"/>
        <v>0</v>
      </c>
      <c r="Q114" s="71">
        <f t="shared" si="105"/>
        <v>956295</v>
      </c>
      <c r="R114" s="71">
        <f aca="true" t="shared" si="106" ref="R114:W114">SUM(R115:R116)</f>
        <v>0</v>
      </c>
      <c r="S114" s="71">
        <f t="shared" si="106"/>
        <v>956295</v>
      </c>
      <c r="T114" s="71">
        <f t="shared" si="106"/>
        <v>0</v>
      </c>
      <c r="U114" s="71">
        <f t="shared" si="106"/>
        <v>956295</v>
      </c>
      <c r="V114" s="71">
        <f t="shared" si="106"/>
        <v>0</v>
      </c>
      <c r="W114" s="71">
        <f t="shared" si="106"/>
        <v>956295</v>
      </c>
      <c r="X114" s="71">
        <f>SUM(X115:X116)</f>
        <v>0</v>
      </c>
      <c r="Y114" s="71">
        <f>SUM(Y115:Y116)</f>
        <v>956295</v>
      </c>
    </row>
    <row r="115" spans="1:25" s="24" customFormat="1" ht="19.5" customHeight="1">
      <c r="A115" s="72"/>
      <c r="B115" s="73"/>
      <c r="C115" s="79" t="s">
        <v>191</v>
      </c>
      <c r="D115" s="77" t="s">
        <v>192</v>
      </c>
      <c r="E115" s="71">
        <v>356895</v>
      </c>
      <c r="F115" s="71"/>
      <c r="G115" s="71">
        <f>SUM(E115:F115)</f>
        <v>356895</v>
      </c>
      <c r="H115" s="71"/>
      <c r="I115" s="71">
        <f>SUM(G115:H115)</f>
        <v>356895</v>
      </c>
      <c r="J115" s="71"/>
      <c r="K115" s="71">
        <f>SUM(I115:J115)</f>
        <v>356895</v>
      </c>
      <c r="L115" s="71"/>
      <c r="M115" s="71">
        <f>SUM(K115:L115)</f>
        <v>356895</v>
      </c>
      <c r="N115" s="71"/>
      <c r="O115" s="71">
        <f>SUM(M115:N115)</f>
        <v>356895</v>
      </c>
      <c r="P115" s="71"/>
      <c r="Q115" s="71">
        <f>SUM(O115:P115)</f>
        <v>356895</v>
      </c>
      <c r="R115" s="71"/>
      <c r="S115" s="71">
        <f>SUM(Q115:R115)</f>
        <v>356895</v>
      </c>
      <c r="T115" s="71"/>
      <c r="U115" s="71">
        <f>SUM(S115:T115)</f>
        <v>356895</v>
      </c>
      <c r="V115" s="71"/>
      <c r="W115" s="71">
        <f>SUM(U115:V115)</f>
        <v>356895</v>
      </c>
      <c r="X115" s="71"/>
      <c r="Y115" s="71">
        <f>SUM(W115:X115)</f>
        <v>356895</v>
      </c>
    </row>
    <row r="116" spans="1:25" s="24" customFormat="1" ht="33.75">
      <c r="A116" s="72"/>
      <c r="B116" s="73"/>
      <c r="C116" s="79">
        <v>2030</v>
      </c>
      <c r="D116" s="77" t="s">
        <v>212</v>
      </c>
      <c r="E116" s="71">
        <v>0</v>
      </c>
      <c r="F116" s="71">
        <v>530000</v>
      </c>
      <c r="G116" s="71">
        <f>SUM(E116:F116)</f>
        <v>530000</v>
      </c>
      <c r="H116" s="71"/>
      <c r="I116" s="71">
        <f>SUM(G116:H116)</f>
        <v>530000</v>
      </c>
      <c r="J116" s="71"/>
      <c r="K116" s="71">
        <f>SUM(I116:J116)</f>
        <v>530000</v>
      </c>
      <c r="L116" s="71"/>
      <c r="M116" s="71">
        <f>SUM(K116:L116)</f>
        <v>530000</v>
      </c>
      <c r="N116" s="71">
        <v>69400</v>
      </c>
      <c r="O116" s="71">
        <f>SUM(M116:N116)</f>
        <v>599400</v>
      </c>
      <c r="P116" s="71"/>
      <c r="Q116" s="71">
        <f>SUM(O116:P116)</f>
        <v>599400</v>
      </c>
      <c r="R116" s="71"/>
      <c r="S116" s="71">
        <f>SUM(Q116:R116)</f>
        <v>599400</v>
      </c>
      <c r="T116" s="71"/>
      <c r="U116" s="71">
        <f>SUM(S116:T116)</f>
        <v>599400</v>
      </c>
      <c r="V116" s="71"/>
      <c r="W116" s="71">
        <f>SUM(U116:V116)</f>
        <v>599400</v>
      </c>
      <c r="X116" s="71"/>
      <c r="Y116" s="71">
        <f>SUM(W116:X116)</f>
        <v>599400</v>
      </c>
    </row>
    <row r="117" spans="1:25" s="177" customFormat="1" ht="24" customHeight="1">
      <c r="A117" s="260">
        <v>854</v>
      </c>
      <c r="B117" s="261"/>
      <c r="C117" s="262"/>
      <c r="D117" s="263" t="s">
        <v>59</v>
      </c>
      <c r="E117" s="264"/>
      <c r="F117" s="264"/>
      <c r="G117" s="264"/>
      <c r="H117" s="264"/>
      <c r="I117" s="264"/>
      <c r="J117" s="264"/>
      <c r="K117" s="264">
        <f aca="true" t="shared" si="107" ref="K117:Y118">SUM(K118)</f>
        <v>0</v>
      </c>
      <c r="L117" s="264">
        <f t="shared" si="107"/>
        <v>279792</v>
      </c>
      <c r="M117" s="264">
        <f t="shared" si="107"/>
        <v>279792</v>
      </c>
      <c r="N117" s="264">
        <f t="shared" si="107"/>
        <v>0</v>
      </c>
      <c r="O117" s="264">
        <f t="shared" si="107"/>
        <v>279792</v>
      </c>
      <c r="P117" s="264">
        <f t="shared" si="107"/>
        <v>0</v>
      </c>
      <c r="Q117" s="264">
        <f t="shared" si="107"/>
        <v>279792</v>
      </c>
      <c r="R117" s="264">
        <f t="shared" si="107"/>
        <v>0</v>
      </c>
      <c r="S117" s="264">
        <f t="shared" si="107"/>
        <v>279792</v>
      </c>
      <c r="T117" s="264">
        <f t="shared" si="107"/>
        <v>0</v>
      </c>
      <c r="U117" s="264">
        <f t="shared" si="107"/>
        <v>279792</v>
      </c>
      <c r="V117" s="264">
        <f t="shared" si="107"/>
        <v>0</v>
      </c>
      <c r="W117" s="264">
        <f t="shared" si="107"/>
        <v>279792</v>
      </c>
      <c r="X117" s="264">
        <f t="shared" si="107"/>
        <v>60600</v>
      </c>
      <c r="Y117" s="264">
        <f t="shared" si="107"/>
        <v>340392</v>
      </c>
    </row>
    <row r="118" spans="1:25" s="24" customFormat="1" ht="21.75" customHeight="1">
      <c r="A118" s="72"/>
      <c r="B118" s="73">
        <v>85415</v>
      </c>
      <c r="C118" s="79"/>
      <c r="D118" s="77" t="s">
        <v>434</v>
      </c>
      <c r="E118" s="71"/>
      <c r="F118" s="71"/>
      <c r="G118" s="71"/>
      <c r="H118" s="71"/>
      <c r="I118" s="71"/>
      <c r="J118" s="71"/>
      <c r="K118" s="71">
        <f t="shared" si="107"/>
        <v>0</v>
      </c>
      <c r="L118" s="71">
        <f t="shared" si="107"/>
        <v>279792</v>
      </c>
      <c r="M118" s="71">
        <f t="shared" si="107"/>
        <v>279792</v>
      </c>
      <c r="N118" s="71">
        <f t="shared" si="107"/>
        <v>0</v>
      </c>
      <c r="O118" s="71">
        <f t="shared" si="107"/>
        <v>279792</v>
      </c>
      <c r="P118" s="71">
        <f t="shared" si="107"/>
        <v>0</v>
      </c>
      <c r="Q118" s="71">
        <f t="shared" si="107"/>
        <v>279792</v>
      </c>
      <c r="R118" s="71">
        <f t="shared" si="107"/>
        <v>0</v>
      </c>
      <c r="S118" s="71">
        <f t="shared" si="107"/>
        <v>279792</v>
      </c>
      <c r="T118" s="71">
        <f t="shared" si="107"/>
        <v>0</v>
      </c>
      <c r="U118" s="71">
        <f t="shared" si="107"/>
        <v>279792</v>
      </c>
      <c r="V118" s="71">
        <f t="shared" si="107"/>
        <v>0</v>
      </c>
      <c r="W118" s="71">
        <f t="shared" si="107"/>
        <v>279792</v>
      </c>
      <c r="X118" s="71">
        <f t="shared" si="107"/>
        <v>60600</v>
      </c>
      <c r="Y118" s="71">
        <f t="shared" si="107"/>
        <v>340392</v>
      </c>
    </row>
    <row r="119" spans="1:25" s="24" customFormat="1" ht="33.75">
      <c r="A119" s="72"/>
      <c r="B119" s="73"/>
      <c r="C119" s="79">
        <v>2030</v>
      </c>
      <c r="D119" s="77" t="s">
        <v>212</v>
      </c>
      <c r="E119" s="71"/>
      <c r="F119" s="71"/>
      <c r="G119" s="71"/>
      <c r="H119" s="71"/>
      <c r="I119" s="71"/>
      <c r="J119" s="71"/>
      <c r="K119" s="71">
        <v>0</v>
      </c>
      <c r="L119" s="71">
        <v>279792</v>
      </c>
      <c r="M119" s="71">
        <f>SUM(K119:L119)</f>
        <v>279792</v>
      </c>
      <c r="N119" s="71"/>
      <c r="O119" s="71">
        <f>SUM(M119:N119)</f>
        <v>279792</v>
      </c>
      <c r="P119" s="71"/>
      <c r="Q119" s="71">
        <f>SUM(O119:P119)</f>
        <v>279792</v>
      </c>
      <c r="R119" s="71"/>
      <c r="S119" s="71">
        <f>SUM(Q119:R119)</f>
        <v>279792</v>
      </c>
      <c r="T119" s="71"/>
      <c r="U119" s="71">
        <f>SUM(S119:T119)</f>
        <v>279792</v>
      </c>
      <c r="V119" s="71"/>
      <c r="W119" s="71">
        <f>SUM(U119:V119)</f>
        <v>279792</v>
      </c>
      <c r="X119" s="71">
        <v>60600</v>
      </c>
      <c r="Y119" s="71">
        <f>SUM(W119:X119)</f>
        <v>340392</v>
      </c>
    </row>
    <row r="120" spans="1:25" s="7" customFormat="1" ht="24" customHeight="1">
      <c r="A120" s="29">
        <v>900</v>
      </c>
      <c r="B120" s="31"/>
      <c r="C120" s="32"/>
      <c r="D120" s="30" t="s">
        <v>61</v>
      </c>
      <c r="E120" s="58">
        <f>SUM(E125,E121)</f>
        <v>16000</v>
      </c>
      <c r="F120" s="58">
        <f>SUM(F125,F121)</f>
        <v>0</v>
      </c>
      <c r="G120" s="58">
        <f>SUM(G125,G121)</f>
        <v>16000</v>
      </c>
      <c r="H120" s="58">
        <f>SUM(H125,H121)</f>
        <v>0</v>
      </c>
      <c r="I120" s="58">
        <f aca="true" t="shared" si="108" ref="I120:O120">SUM(I125,I121,I123)</f>
        <v>16000</v>
      </c>
      <c r="J120" s="58">
        <f t="shared" si="108"/>
        <v>200000</v>
      </c>
      <c r="K120" s="58">
        <f t="shared" si="108"/>
        <v>216000</v>
      </c>
      <c r="L120" s="58">
        <f t="shared" si="108"/>
        <v>0</v>
      </c>
      <c r="M120" s="58">
        <f t="shared" si="108"/>
        <v>216000</v>
      </c>
      <c r="N120" s="58">
        <f t="shared" si="108"/>
        <v>0</v>
      </c>
      <c r="O120" s="58">
        <f t="shared" si="108"/>
        <v>216000</v>
      </c>
      <c r="P120" s="58">
        <f aca="true" t="shared" si="109" ref="P120:U120">SUM(P125,P121,P123)</f>
        <v>0</v>
      </c>
      <c r="Q120" s="58">
        <f t="shared" si="109"/>
        <v>216000</v>
      </c>
      <c r="R120" s="58">
        <f t="shared" si="109"/>
        <v>0</v>
      </c>
      <c r="S120" s="58">
        <f t="shared" si="109"/>
        <v>216000</v>
      </c>
      <c r="T120" s="58">
        <f t="shared" si="109"/>
        <v>0</v>
      </c>
      <c r="U120" s="58">
        <f t="shared" si="109"/>
        <v>216000</v>
      </c>
      <c r="V120" s="58">
        <f>SUM(V125,V121,V123)</f>
        <v>0</v>
      </c>
      <c r="W120" s="58">
        <f>SUM(W125,W121,W123)</f>
        <v>216000</v>
      </c>
      <c r="X120" s="58">
        <f>SUM(X125,X121,X123)</f>
        <v>0</v>
      </c>
      <c r="Y120" s="58">
        <f>SUM(Y125,Y121,Y123)</f>
        <v>216000</v>
      </c>
    </row>
    <row r="121" spans="1:25" s="133" customFormat="1" ht="19.5" customHeight="1">
      <c r="A121" s="134"/>
      <c r="B121" s="135">
        <v>90001</v>
      </c>
      <c r="C121" s="136"/>
      <c r="D121" s="38" t="s">
        <v>62</v>
      </c>
      <c r="E121" s="71">
        <f aca="true" t="shared" si="110" ref="E121:Y121">SUM(E122)</f>
        <v>10000</v>
      </c>
      <c r="F121" s="71">
        <f t="shared" si="110"/>
        <v>0</v>
      </c>
      <c r="G121" s="71">
        <f t="shared" si="110"/>
        <v>10000</v>
      </c>
      <c r="H121" s="71">
        <f t="shared" si="110"/>
        <v>0</v>
      </c>
      <c r="I121" s="71">
        <f t="shared" si="110"/>
        <v>10000</v>
      </c>
      <c r="J121" s="71">
        <f t="shared" si="110"/>
        <v>0</v>
      </c>
      <c r="K121" s="71">
        <f t="shared" si="110"/>
        <v>10000</v>
      </c>
      <c r="L121" s="71">
        <f t="shared" si="110"/>
        <v>0</v>
      </c>
      <c r="M121" s="71">
        <f t="shared" si="110"/>
        <v>10000</v>
      </c>
      <c r="N121" s="71">
        <f t="shared" si="110"/>
        <v>0</v>
      </c>
      <c r="O121" s="71">
        <f t="shared" si="110"/>
        <v>10000</v>
      </c>
      <c r="P121" s="71">
        <f t="shared" si="110"/>
        <v>0</v>
      </c>
      <c r="Q121" s="71">
        <f t="shared" si="110"/>
        <v>10000</v>
      </c>
      <c r="R121" s="71">
        <f t="shared" si="110"/>
        <v>0</v>
      </c>
      <c r="S121" s="71">
        <f t="shared" si="110"/>
        <v>10000</v>
      </c>
      <c r="T121" s="71">
        <f t="shared" si="110"/>
        <v>0</v>
      </c>
      <c r="U121" s="71">
        <f t="shared" si="110"/>
        <v>10000</v>
      </c>
      <c r="V121" s="71">
        <f t="shared" si="110"/>
        <v>0</v>
      </c>
      <c r="W121" s="71">
        <f t="shared" si="110"/>
        <v>10000</v>
      </c>
      <c r="X121" s="71">
        <f t="shared" si="110"/>
        <v>0</v>
      </c>
      <c r="Y121" s="71">
        <f t="shared" si="110"/>
        <v>10000</v>
      </c>
    </row>
    <row r="122" spans="1:25" s="133" customFormat="1" ht="19.5" customHeight="1">
      <c r="A122" s="137"/>
      <c r="B122" s="138"/>
      <c r="C122" s="79" t="s">
        <v>162</v>
      </c>
      <c r="D122" s="77" t="s">
        <v>12</v>
      </c>
      <c r="E122" s="71">
        <v>10000</v>
      </c>
      <c r="F122" s="71"/>
      <c r="G122" s="71">
        <f>SUM(E122:F122)</f>
        <v>10000</v>
      </c>
      <c r="H122" s="71"/>
      <c r="I122" s="71">
        <f>SUM(G122:H122)</f>
        <v>10000</v>
      </c>
      <c r="J122" s="71"/>
      <c r="K122" s="71">
        <f>SUM(I122:J122)</f>
        <v>10000</v>
      </c>
      <c r="L122" s="71"/>
      <c r="M122" s="71">
        <f>SUM(K122:L122)</f>
        <v>10000</v>
      </c>
      <c r="N122" s="71"/>
      <c r="O122" s="71">
        <f>SUM(M122:N122)</f>
        <v>10000</v>
      </c>
      <c r="P122" s="71"/>
      <c r="Q122" s="71">
        <f>SUM(O122:P122)</f>
        <v>10000</v>
      </c>
      <c r="R122" s="71"/>
      <c r="S122" s="71">
        <f>SUM(Q122:R122)</f>
        <v>10000</v>
      </c>
      <c r="T122" s="71"/>
      <c r="U122" s="71">
        <f>SUM(S122:T122)</f>
        <v>10000</v>
      </c>
      <c r="V122" s="71"/>
      <c r="W122" s="71">
        <f>SUM(U122:V122)</f>
        <v>10000</v>
      </c>
      <c r="X122" s="71"/>
      <c r="Y122" s="71">
        <f>SUM(W122:X122)</f>
        <v>10000</v>
      </c>
    </row>
    <row r="123" spans="1:25" s="133" customFormat="1" ht="33.75">
      <c r="A123" s="134"/>
      <c r="B123" s="135">
        <v>90019</v>
      </c>
      <c r="C123" s="225"/>
      <c r="D123" s="221" t="s">
        <v>372</v>
      </c>
      <c r="E123" s="220"/>
      <c r="F123" s="220"/>
      <c r="G123" s="220"/>
      <c r="H123" s="220"/>
      <c r="I123" s="220">
        <f aca="true" t="shared" si="111" ref="I123:Y123">SUM(I124)</f>
        <v>0</v>
      </c>
      <c r="J123" s="220">
        <f t="shared" si="111"/>
        <v>200000</v>
      </c>
      <c r="K123" s="220">
        <f t="shared" si="111"/>
        <v>200000</v>
      </c>
      <c r="L123" s="220">
        <f t="shared" si="111"/>
        <v>0</v>
      </c>
      <c r="M123" s="220">
        <f t="shared" si="111"/>
        <v>200000</v>
      </c>
      <c r="N123" s="220">
        <f t="shared" si="111"/>
        <v>0</v>
      </c>
      <c r="O123" s="220">
        <f t="shared" si="111"/>
        <v>200000</v>
      </c>
      <c r="P123" s="220">
        <f t="shared" si="111"/>
        <v>0</v>
      </c>
      <c r="Q123" s="220">
        <f t="shared" si="111"/>
        <v>200000</v>
      </c>
      <c r="R123" s="220">
        <f t="shared" si="111"/>
        <v>0</v>
      </c>
      <c r="S123" s="220">
        <f t="shared" si="111"/>
        <v>200000</v>
      </c>
      <c r="T123" s="220">
        <f t="shared" si="111"/>
        <v>0</v>
      </c>
      <c r="U123" s="220">
        <f t="shared" si="111"/>
        <v>200000</v>
      </c>
      <c r="V123" s="220">
        <f t="shared" si="111"/>
        <v>0</v>
      </c>
      <c r="W123" s="220">
        <f t="shared" si="111"/>
        <v>200000</v>
      </c>
      <c r="X123" s="220">
        <f t="shared" si="111"/>
        <v>0</v>
      </c>
      <c r="Y123" s="220">
        <f t="shared" si="111"/>
        <v>200000</v>
      </c>
    </row>
    <row r="124" spans="1:25" s="133" customFormat="1" ht="24" customHeight="1">
      <c r="A124" s="137"/>
      <c r="B124" s="138"/>
      <c r="C124" s="79" t="s">
        <v>182</v>
      </c>
      <c r="D124" s="38" t="s">
        <v>144</v>
      </c>
      <c r="E124" s="71"/>
      <c r="F124" s="71"/>
      <c r="G124" s="71"/>
      <c r="H124" s="71"/>
      <c r="I124" s="71">
        <v>0</v>
      </c>
      <c r="J124" s="71">
        <v>200000</v>
      </c>
      <c r="K124" s="71">
        <f>SUM(I124:J124)</f>
        <v>200000</v>
      </c>
      <c r="L124" s="71"/>
      <c r="M124" s="71">
        <f>SUM(K124:L124)</f>
        <v>200000</v>
      </c>
      <c r="N124" s="71"/>
      <c r="O124" s="71">
        <f>SUM(M124:N124)</f>
        <v>200000</v>
      </c>
      <c r="P124" s="71"/>
      <c r="Q124" s="71">
        <f>SUM(O124:P124)</f>
        <v>200000</v>
      </c>
      <c r="R124" s="71"/>
      <c r="S124" s="71">
        <f>SUM(Q124:R124)</f>
        <v>200000</v>
      </c>
      <c r="T124" s="71"/>
      <c r="U124" s="71">
        <f>SUM(S124:T124)</f>
        <v>200000</v>
      </c>
      <c r="V124" s="71"/>
      <c r="W124" s="71">
        <f>SUM(U124:V124)</f>
        <v>200000</v>
      </c>
      <c r="X124" s="71"/>
      <c r="Y124" s="71">
        <f>SUM(W124:X124)</f>
        <v>200000</v>
      </c>
    </row>
    <row r="125" spans="1:25" s="24" customFormat="1" ht="19.5" customHeight="1">
      <c r="A125" s="72"/>
      <c r="B125" s="73">
        <v>90095</v>
      </c>
      <c r="C125" s="74"/>
      <c r="D125" s="77" t="s">
        <v>6</v>
      </c>
      <c r="E125" s="71">
        <f aca="true" t="shared" si="112" ref="E125:Y125">SUM(E126)</f>
        <v>6000</v>
      </c>
      <c r="F125" s="71">
        <f t="shared" si="112"/>
        <v>0</v>
      </c>
      <c r="G125" s="71">
        <f t="shared" si="112"/>
        <v>6000</v>
      </c>
      <c r="H125" s="71">
        <f t="shared" si="112"/>
        <v>0</v>
      </c>
      <c r="I125" s="71">
        <f t="shared" si="112"/>
        <v>6000</v>
      </c>
      <c r="J125" s="71">
        <f t="shared" si="112"/>
        <v>0</v>
      </c>
      <c r="K125" s="71">
        <f t="shared" si="112"/>
        <v>6000</v>
      </c>
      <c r="L125" s="71">
        <f t="shared" si="112"/>
        <v>0</v>
      </c>
      <c r="M125" s="71">
        <f t="shared" si="112"/>
        <v>6000</v>
      </c>
      <c r="N125" s="71">
        <f t="shared" si="112"/>
        <v>0</v>
      </c>
      <c r="O125" s="71">
        <f t="shared" si="112"/>
        <v>6000</v>
      </c>
      <c r="P125" s="71">
        <f t="shared" si="112"/>
        <v>0</v>
      </c>
      <c r="Q125" s="71">
        <f t="shared" si="112"/>
        <v>6000</v>
      </c>
      <c r="R125" s="71">
        <f t="shared" si="112"/>
        <v>0</v>
      </c>
      <c r="S125" s="71">
        <f t="shared" si="112"/>
        <v>6000</v>
      </c>
      <c r="T125" s="71">
        <f t="shared" si="112"/>
        <v>0</v>
      </c>
      <c r="U125" s="71">
        <f t="shared" si="112"/>
        <v>6000</v>
      </c>
      <c r="V125" s="71">
        <f t="shared" si="112"/>
        <v>0</v>
      </c>
      <c r="W125" s="71">
        <f t="shared" si="112"/>
        <v>6000</v>
      </c>
      <c r="X125" s="71">
        <f t="shared" si="112"/>
        <v>0</v>
      </c>
      <c r="Y125" s="71">
        <f t="shared" si="112"/>
        <v>6000</v>
      </c>
    </row>
    <row r="126" spans="1:25" s="24" customFormat="1" ht="18" customHeight="1">
      <c r="A126" s="72"/>
      <c r="B126" s="73"/>
      <c r="C126" s="74" t="s">
        <v>176</v>
      </c>
      <c r="D126" s="77" t="s">
        <v>245</v>
      </c>
      <c r="E126" s="71">
        <v>6000</v>
      </c>
      <c r="F126" s="71"/>
      <c r="G126" s="71">
        <f>SUM(E126:F126)</f>
        <v>6000</v>
      </c>
      <c r="H126" s="71"/>
      <c r="I126" s="71">
        <f>SUM(G126:H126)</f>
        <v>6000</v>
      </c>
      <c r="J126" s="71"/>
      <c r="K126" s="71">
        <f>SUM(I126:J126)</f>
        <v>6000</v>
      </c>
      <c r="L126" s="71"/>
      <c r="M126" s="71">
        <f>SUM(K126:L126)</f>
        <v>6000</v>
      </c>
      <c r="N126" s="71"/>
      <c r="O126" s="71">
        <f>SUM(M126:N126)</f>
        <v>6000</v>
      </c>
      <c r="P126" s="71"/>
      <c r="Q126" s="71">
        <f>SUM(O126:P126)</f>
        <v>6000</v>
      </c>
      <c r="R126" s="71"/>
      <c r="S126" s="71">
        <f>SUM(Q126:R126)</f>
        <v>6000</v>
      </c>
      <c r="T126" s="71"/>
      <c r="U126" s="71">
        <f>SUM(S126:T126)</f>
        <v>6000</v>
      </c>
      <c r="V126" s="71"/>
      <c r="W126" s="71">
        <f>SUM(U126:V126)</f>
        <v>6000</v>
      </c>
      <c r="X126" s="71"/>
      <c r="Y126" s="71">
        <f>SUM(W126:X126)</f>
        <v>6000</v>
      </c>
    </row>
    <row r="127" spans="1:25" s="7" customFormat="1" ht="24" customHeight="1">
      <c r="A127" s="29" t="s">
        <v>63</v>
      </c>
      <c r="B127" s="2"/>
      <c r="C127" s="3"/>
      <c r="D127" s="30" t="s">
        <v>69</v>
      </c>
      <c r="E127" s="58">
        <f>SUM(E130)</f>
        <v>60000</v>
      </c>
      <c r="F127" s="58">
        <f>SUM(F130)</f>
        <v>0</v>
      </c>
      <c r="G127" s="58">
        <f>SUM(G130)</f>
        <v>60000</v>
      </c>
      <c r="H127" s="58">
        <f>SUM(H130)</f>
        <v>0</v>
      </c>
      <c r="I127" s="58">
        <f aca="true" t="shared" si="113" ref="I127:O127">SUM(I130,I128)</f>
        <v>60000</v>
      </c>
      <c r="J127" s="58">
        <f t="shared" si="113"/>
        <v>11400</v>
      </c>
      <c r="K127" s="58">
        <f t="shared" si="113"/>
        <v>71400</v>
      </c>
      <c r="L127" s="58">
        <f t="shared" si="113"/>
        <v>0</v>
      </c>
      <c r="M127" s="58">
        <f t="shared" si="113"/>
        <v>71400</v>
      </c>
      <c r="N127" s="58">
        <f t="shared" si="113"/>
        <v>0</v>
      </c>
      <c r="O127" s="58">
        <f t="shared" si="113"/>
        <v>71400</v>
      </c>
      <c r="P127" s="58">
        <f aca="true" t="shared" si="114" ref="P127:U127">SUM(P130,P128)</f>
        <v>0</v>
      </c>
      <c r="Q127" s="58">
        <f t="shared" si="114"/>
        <v>71400</v>
      </c>
      <c r="R127" s="58">
        <f t="shared" si="114"/>
        <v>0</v>
      </c>
      <c r="S127" s="58">
        <f t="shared" si="114"/>
        <v>71400</v>
      </c>
      <c r="T127" s="58">
        <f t="shared" si="114"/>
        <v>0</v>
      </c>
      <c r="U127" s="58">
        <f t="shared" si="114"/>
        <v>71400</v>
      </c>
      <c r="V127" s="58">
        <f>SUM(V130,V128)</f>
        <v>0</v>
      </c>
      <c r="W127" s="58">
        <f>SUM(W130,W128)</f>
        <v>71400</v>
      </c>
      <c r="X127" s="58">
        <f>SUM(X130,X128)</f>
        <v>0</v>
      </c>
      <c r="Y127" s="58">
        <f>SUM(Y130,Y128)</f>
        <v>71400</v>
      </c>
    </row>
    <row r="128" spans="1:25" s="133" customFormat="1" ht="20.25" customHeight="1">
      <c r="A128" s="134"/>
      <c r="B128" s="141">
        <v>92105</v>
      </c>
      <c r="C128" s="151"/>
      <c r="D128" s="221" t="s">
        <v>369</v>
      </c>
      <c r="E128" s="220"/>
      <c r="F128" s="220"/>
      <c r="G128" s="220"/>
      <c r="H128" s="220"/>
      <c r="I128" s="220">
        <f aca="true" t="shared" si="115" ref="I128:Y128">SUM(I129)</f>
        <v>0</v>
      </c>
      <c r="J128" s="220">
        <f t="shared" si="115"/>
        <v>11400</v>
      </c>
      <c r="K128" s="220">
        <f t="shared" si="115"/>
        <v>11400</v>
      </c>
      <c r="L128" s="220">
        <f t="shared" si="115"/>
        <v>0</v>
      </c>
      <c r="M128" s="220">
        <f t="shared" si="115"/>
        <v>11400</v>
      </c>
      <c r="N128" s="220">
        <f t="shared" si="115"/>
        <v>0</v>
      </c>
      <c r="O128" s="220">
        <f t="shared" si="115"/>
        <v>11400</v>
      </c>
      <c r="P128" s="220">
        <f t="shared" si="115"/>
        <v>0</v>
      </c>
      <c r="Q128" s="220">
        <f t="shared" si="115"/>
        <v>11400</v>
      </c>
      <c r="R128" s="220">
        <f t="shared" si="115"/>
        <v>0</v>
      </c>
      <c r="S128" s="220">
        <f t="shared" si="115"/>
        <v>11400</v>
      </c>
      <c r="T128" s="220">
        <f t="shared" si="115"/>
        <v>0</v>
      </c>
      <c r="U128" s="220">
        <f t="shared" si="115"/>
        <v>11400</v>
      </c>
      <c r="V128" s="220">
        <f t="shared" si="115"/>
        <v>0</v>
      </c>
      <c r="W128" s="220">
        <f t="shared" si="115"/>
        <v>11400</v>
      </c>
      <c r="X128" s="220">
        <f t="shared" si="115"/>
        <v>0</v>
      </c>
      <c r="Y128" s="220">
        <f t="shared" si="115"/>
        <v>11400</v>
      </c>
    </row>
    <row r="129" spans="1:25" s="7" customFormat="1" ht="45">
      <c r="A129" s="29"/>
      <c r="B129" s="2"/>
      <c r="C129" s="74">
        <v>2320</v>
      </c>
      <c r="D129" s="77" t="s">
        <v>213</v>
      </c>
      <c r="E129" s="58"/>
      <c r="F129" s="58"/>
      <c r="G129" s="58"/>
      <c r="H129" s="58"/>
      <c r="I129" s="220">
        <v>0</v>
      </c>
      <c r="J129" s="220">
        <f>1000+300+300+500+300+500+1000+2000+1000+3500+1000</f>
        <v>11400</v>
      </c>
      <c r="K129" s="220">
        <f>SUM(I129:J129)</f>
        <v>11400</v>
      </c>
      <c r="L129" s="220"/>
      <c r="M129" s="220">
        <f>SUM(K129:L129)</f>
        <v>11400</v>
      </c>
      <c r="N129" s="220"/>
      <c r="O129" s="220">
        <f>SUM(M129:N129)</f>
        <v>11400</v>
      </c>
      <c r="P129" s="220"/>
      <c r="Q129" s="220">
        <f>SUM(O129:P129)</f>
        <v>11400</v>
      </c>
      <c r="R129" s="220"/>
      <c r="S129" s="220">
        <f>SUM(Q129:R129)</f>
        <v>11400</v>
      </c>
      <c r="T129" s="220"/>
      <c r="U129" s="220">
        <f>SUM(S129:T129)</f>
        <v>11400</v>
      </c>
      <c r="V129" s="220"/>
      <c r="W129" s="220">
        <f>SUM(U129:V129)</f>
        <v>11400</v>
      </c>
      <c r="X129" s="220"/>
      <c r="Y129" s="220">
        <f>SUM(W129:X129)</f>
        <v>11400</v>
      </c>
    </row>
    <row r="130" spans="1:25" s="24" customFormat="1" ht="19.5" customHeight="1">
      <c r="A130" s="72"/>
      <c r="B130" s="73" t="s">
        <v>64</v>
      </c>
      <c r="C130" s="80"/>
      <c r="D130" s="77" t="s">
        <v>65</v>
      </c>
      <c r="E130" s="71">
        <f aca="true" t="shared" si="116" ref="E130:Y130">SUM(E131)</f>
        <v>60000</v>
      </c>
      <c r="F130" s="71">
        <f t="shared" si="116"/>
        <v>0</v>
      </c>
      <c r="G130" s="71">
        <f t="shared" si="116"/>
        <v>60000</v>
      </c>
      <c r="H130" s="71">
        <f t="shared" si="116"/>
        <v>0</v>
      </c>
      <c r="I130" s="71">
        <f t="shared" si="116"/>
        <v>60000</v>
      </c>
      <c r="J130" s="71">
        <f t="shared" si="116"/>
        <v>0</v>
      </c>
      <c r="K130" s="71">
        <f t="shared" si="116"/>
        <v>60000</v>
      </c>
      <c r="L130" s="71">
        <f t="shared" si="116"/>
        <v>0</v>
      </c>
      <c r="M130" s="71">
        <f t="shared" si="116"/>
        <v>60000</v>
      </c>
      <c r="N130" s="71">
        <f t="shared" si="116"/>
        <v>0</v>
      </c>
      <c r="O130" s="71">
        <f t="shared" si="116"/>
        <v>60000</v>
      </c>
      <c r="P130" s="71">
        <f t="shared" si="116"/>
        <v>0</v>
      </c>
      <c r="Q130" s="71">
        <f t="shared" si="116"/>
        <v>60000</v>
      </c>
      <c r="R130" s="71">
        <f t="shared" si="116"/>
        <v>0</v>
      </c>
      <c r="S130" s="71">
        <f t="shared" si="116"/>
        <v>60000</v>
      </c>
      <c r="T130" s="71">
        <f t="shared" si="116"/>
        <v>0</v>
      </c>
      <c r="U130" s="71">
        <f t="shared" si="116"/>
        <v>60000</v>
      </c>
      <c r="V130" s="71">
        <f t="shared" si="116"/>
        <v>0</v>
      </c>
      <c r="W130" s="71">
        <f t="shared" si="116"/>
        <v>60000</v>
      </c>
      <c r="X130" s="71">
        <f t="shared" si="116"/>
        <v>0</v>
      </c>
      <c r="Y130" s="71">
        <f t="shared" si="116"/>
        <v>60000</v>
      </c>
    </row>
    <row r="131" spans="1:25" s="24" customFormat="1" ht="45">
      <c r="A131" s="73"/>
      <c r="B131" s="73"/>
      <c r="C131" s="74">
        <v>2320</v>
      </c>
      <c r="D131" s="77" t="s">
        <v>213</v>
      </c>
      <c r="E131" s="71">
        <v>60000</v>
      </c>
      <c r="F131" s="71"/>
      <c r="G131" s="71">
        <f>SUM(E131:F131)</f>
        <v>60000</v>
      </c>
      <c r="H131" s="71"/>
      <c r="I131" s="71">
        <f>SUM(G131:H131)</f>
        <v>60000</v>
      </c>
      <c r="J131" s="71"/>
      <c r="K131" s="71">
        <f>SUM(I131:J131)</f>
        <v>60000</v>
      </c>
      <c r="L131" s="71"/>
      <c r="M131" s="71">
        <f>SUM(K131:L131)</f>
        <v>60000</v>
      </c>
      <c r="N131" s="71"/>
      <c r="O131" s="71">
        <f>SUM(M131:N131)</f>
        <v>60000</v>
      </c>
      <c r="P131" s="71"/>
      <c r="Q131" s="71">
        <f>SUM(O131:P131)</f>
        <v>60000</v>
      </c>
      <c r="R131" s="71"/>
      <c r="S131" s="71">
        <f>SUM(Q131:R131)</f>
        <v>60000</v>
      </c>
      <c r="T131" s="71"/>
      <c r="U131" s="71">
        <f>SUM(S131:T131)</f>
        <v>60000</v>
      </c>
      <c r="V131" s="71"/>
      <c r="W131" s="71">
        <f>SUM(U131:V131)</f>
        <v>60000</v>
      </c>
      <c r="X131" s="71"/>
      <c r="Y131" s="71">
        <f>SUM(W131:X131)</f>
        <v>60000</v>
      </c>
    </row>
    <row r="132" spans="1:25" s="170" customFormat="1" ht="19.5" customHeight="1">
      <c r="A132" s="218">
        <v>926</v>
      </c>
      <c r="B132" s="218"/>
      <c r="C132" s="218"/>
      <c r="D132" s="182" t="s">
        <v>66</v>
      </c>
      <c r="E132" s="219"/>
      <c r="F132" s="219"/>
      <c r="G132" s="219"/>
      <c r="H132" s="219"/>
      <c r="I132" s="219">
        <f aca="true" t="shared" si="117" ref="I132:X133">SUM(I133)</f>
        <v>0</v>
      </c>
      <c r="J132" s="219">
        <f t="shared" si="117"/>
        <v>2200</v>
      </c>
      <c r="K132" s="219">
        <f t="shared" si="117"/>
        <v>2200</v>
      </c>
      <c r="L132" s="219">
        <f t="shared" si="117"/>
        <v>0</v>
      </c>
      <c r="M132" s="219">
        <f t="shared" si="117"/>
        <v>2200</v>
      </c>
      <c r="N132" s="219">
        <f t="shared" si="117"/>
        <v>0</v>
      </c>
      <c r="O132" s="219">
        <f t="shared" si="117"/>
        <v>2200</v>
      </c>
      <c r="P132" s="219">
        <f t="shared" si="117"/>
        <v>20000</v>
      </c>
      <c r="Q132" s="219">
        <f t="shared" si="117"/>
        <v>22200</v>
      </c>
      <c r="R132" s="219">
        <f t="shared" si="117"/>
        <v>0</v>
      </c>
      <c r="S132" s="219">
        <f t="shared" si="117"/>
        <v>22200</v>
      </c>
      <c r="T132" s="219">
        <f t="shared" si="117"/>
        <v>0</v>
      </c>
      <c r="U132" s="219">
        <f t="shared" si="117"/>
        <v>22200</v>
      </c>
      <c r="V132" s="219">
        <f t="shared" si="117"/>
        <v>0</v>
      </c>
      <c r="W132" s="219">
        <f t="shared" si="117"/>
        <v>22200</v>
      </c>
      <c r="X132" s="219">
        <f t="shared" si="117"/>
        <v>0</v>
      </c>
      <c r="Y132" s="219">
        <f>SUM(Y133)</f>
        <v>22200</v>
      </c>
    </row>
    <row r="133" spans="1:25" s="24" customFormat="1" ht="17.25" customHeight="1">
      <c r="A133" s="73"/>
      <c r="B133" s="73">
        <v>92605</v>
      </c>
      <c r="C133" s="73"/>
      <c r="D133" s="13" t="s">
        <v>67</v>
      </c>
      <c r="E133" s="71"/>
      <c r="F133" s="71"/>
      <c r="G133" s="71"/>
      <c r="H133" s="71"/>
      <c r="I133" s="71">
        <f t="shared" si="117"/>
        <v>0</v>
      </c>
      <c r="J133" s="71">
        <f t="shared" si="117"/>
        <v>2200</v>
      </c>
      <c r="K133" s="71">
        <f t="shared" si="117"/>
        <v>2200</v>
      </c>
      <c r="L133" s="71">
        <f t="shared" si="117"/>
        <v>0</v>
      </c>
      <c r="M133" s="71">
        <f t="shared" si="117"/>
        <v>2200</v>
      </c>
      <c r="N133" s="71">
        <f t="shared" si="117"/>
        <v>0</v>
      </c>
      <c r="O133" s="71">
        <f aca="true" t="shared" si="118" ref="O133:U133">SUM(O134:O135)</f>
        <v>2200</v>
      </c>
      <c r="P133" s="71">
        <f t="shared" si="118"/>
        <v>20000</v>
      </c>
      <c r="Q133" s="71">
        <f t="shared" si="118"/>
        <v>22200</v>
      </c>
      <c r="R133" s="71">
        <f t="shared" si="118"/>
        <v>0</v>
      </c>
      <c r="S133" s="71">
        <f t="shared" si="118"/>
        <v>22200</v>
      </c>
      <c r="T133" s="71">
        <f t="shared" si="118"/>
        <v>0</v>
      </c>
      <c r="U133" s="71">
        <f t="shared" si="118"/>
        <v>22200</v>
      </c>
      <c r="V133" s="71">
        <f>SUM(V134:V135)</f>
        <v>0</v>
      </c>
      <c r="W133" s="71">
        <f>SUM(W134:W135)</f>
        <v>22200</v>
      </c>
      <c r="X133" s="71">
        <f>SUM(X134:X135)</f>
        <v>0</v>
      </c>
      <c r="Y133" s="71">
        <f>SUM(Y134:Y135)</f>
        <v>22200</v>
      </c>
    </row>
    <row r="134" spans="1:25" s="24" customFormat="1" ht="45">
      <c r="A134" s="73"/>
      <c r="B134" s="73"/>
      <c r="C134" s="73">
        <v>2320</v>
      </c>
      <c r="D134" s="13" t="s">
        <v>213</v>
      </c>
      <c r="E134" s="71"/>
      <c r="F134" s="71"/>
      <c r="G134" s="71"/>
      <c r="H134" s="71"/>
      <c r="I134" s="71">
        <v>0</v>
      </c>
      <c r="J134" s="71">
        <f>1500+700</f>
        <v>2200</v>
      </c>
      <c r="K134" s="71">
        <f>SUM(I134:J134)</f>
        <v>2200</v>
      </c>
      <c r="L134" s="71"/>
      <c r="M134" s="71">
        <f>SUM(K134:L134)</f>
        <v>2200</v>
      </c>
      <c r="N134" s="71"/>
      <c r="O134" s="71">
        <f>SUM(M134:N134)</f>
        <v>2200</v>
      </c>
      <c r="P134" s="71"/>
      <c r="Q134" s="71">
        <f>SUM(O134:P134)</f>
        <v>2200</v>
      </c>
      <c r="R134" s="71"/>
      <c r="S134" s="71">
        <f>SUM(Q134:R134)</f>
        <v>2200</v>
      </c>
      <c r="T134" s="71"/>
      <c r="U134" s="71">
        <f>SUM(S134:T134)</f>
        <v>2200</v>
      </c>
      <c r="V134" s="71"/>
      <c r="W134" s="71">
        <f>SUM(U134:V134)</f>
        <v>2200</v>
      </c>
      <c r="X134" s="71"/>
      <c r="Y134" s="71">
        <f>SUM(W134:X134)</f>
        <v>2200</v>
      </c>
    </row>
    <row r="135" spans="1:25" s="24" customFormat="1" ht="45">
      <c r="A135" s="73"/>
      <c r="B135" s="73"/>
      <c r="C135" s="73">
        <v>2440</v>
      </c>
      <c r="D135" s="77" t="s">
        <v>477</v>
      </c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>
        <v>0</v>
      </c>
      <c r="P135" s="71">
        <v>20000</v>
      </c>
      <c r="Q135" s="71">
        <f>SUM(O135:P135)</f>
        <v>20000</v>
      </c>
      <c r="R135" s="71"/>
      <c r="S135" s="71">
        <f>SUM(Q135:R135)</f>
        <v>20000</v>
      </c>
      <c r="T135" s="71"/>
      <c r="U135" s="71">
        <f>SUM(S135:T135)</f>
        <v>20000</v>
      </c>
      <c r="V135" s="71"/>
      <c r="W135" s="71">
        <f>SUM(U135:V135)</f>
        <v>20000</v>
      </c>
      <c r="X135" s="71"/>
      <c r="Y135" s="71">
        <f>SUM(W135:X135)</f>
        <v>20000</v>
      </c>
    </row>
    <row r="136" spans="1:25" ht="18.75" customHeight="1">
      <c r="A136" s="14"/>
      <c r="B136" s="15"/>
      <c r="C136" s="16"/>
      <c r="D136" s="17" t="s">
        <v>68</v>
      </c>
      <c r="E136" s="58">
        <f>SUM(E7,E12,E22,E29,E34,E38,E69,E97,E120,E127,E78)</f>
        <v>57140821</v>
      </c>
      <c r="F136" s="58">
        <f>SUM(F7,F12,F22,F29,F34,F38,F69,F97,F120,F127,F78)</f>
        <v>530000</v>
      </c>
      <c r="G136" s="58">
        <f>SUM(E136:F136)</f>
        <v>57670821</v>
      </c>
      <c r="H136" s="58">
        <f>SUM(H7,H12,H22,H29,H34,H38,H69,H97,H120,H127,H78)</f>
        <v>-73</v>
      </c>
      <c r="I136" s="58">
        <f>SUM(G136:H136)</f>
        <v>57670748</v>
      </c>
      <c r="J136" s="58">
        <f>SUM(J7,J12,J22,J29,J34,J38,J69,J97,J120,J127,J78,J132)</f>
        <v>-51671</v>
      </c>
      <c r="K136" s="58">
        <f aca="true" t="shared" si="119" ref="K136:Y136">SUM(K7,K12,K22,K29,K34,K38,K69,K97,K120,K127,K78,K132,K117)</f>
        <v>57619077</v>
      </c>
      <c r="L136" s="58">
        <f t="shared" si="119"/>
        <v>436012</v>
      </c>
      <c r="M136" s="58">
        <f t="shared" si="119"/>
        <v>58055089</v>
      </c>
      <c r="N136" s="58">
        <f t="shared" si="119"/>
        <v>158567</v>
      </c>
      <c r="O136" s="58">
        <f t="shared" si="119"/>
        <v>58213656</v>
      </c>
      <c r="P136" s="58">
        <f t="shared" si="119"/>
        <v>354691</v>
      </c>
      <c r="Q136" s="58">
        <f t="shared" si="119"/>
        <v>58568347</v>
      </c>
      <c r="R136" s="58">
        <f t="shared" si="119"/>
        <v>21375</v>
      </c>
      <c r="S136" s="58">
        <f t="shared" si="119"/>
        <v>58589722</v>
      </c>
      <c r="T136" s="58">
        <f t="shared" si="119"/>
        <v>69000</v>
      </c>
      <c r="U136" s="58">
        <f t="shared" si="119"/>
        <v>58658722</v>
      </c>
      <c r="V136" s="58">
        <f t="shared" si="119"/>
        <v>109494</v>
      </c>
      <c r="W136" s="58">
        <f t="shared" si="119"/>
        <v>58768216</v>
      </c>
      <c r="X136" s="58">
        <f t="shared" si="119"/>
        <v>187544</v>
      </c>
      <c r="Y136" s="58">
        <f t="shared" si="119"/>
        <v>58955760</v>
      </c>
    </row>
    <row r="138" ht="12.75">
      <c r="D138" s="104"/>
    </row>
    <row r="139" spans="4:15" ht="12.75">
      <c r="D139" s="104"/>
      <c r="L139" s="28">
        <v>177000</v>
      </c>
      <c r="M139" s="28" t="s">
        <v>437</v>
      </c>
      <c r="N139" s="28">
        <v>69400</v>
      </c>
      <c r="O139" s="28" t="s">
        <v>452</v>
      </c>
    </row>
    <row r="140" spans="4:16" ht="12.75">
      <c r="D140" s="104"/>
      <c r="L140" s="28">
        <v>40000</v>
      </c>
      <c r="M140" s="28" t="s">
        <v>439</v>
      </c>
      <c r="N140" s="28">
        <v>13351</v>
      </c>
      <c r="O140" s="28" t="s">
        <v>453</v>
      </c>
      <c r="P140" s="28">
        <v>42231</v>
      </c>
    </row>
    <row r="141" spans="4:16" ht="12.75">
      <c r="D141" s="104"/>
      <c r="L141" s="28">
        <v>5904</v>
      </c>
      <c r="M141" s="28" t="s">
        <v>438</v>
      </c>
      <c r="N141" s="28">
        <v>11966</v>
      </c>
      <c r="O141" s="28" t="s">
        <v>454</v>
      </c>
      <c r="P141" s="28">
        <v>271797</v>
      </c>
    </row>
    <row r="142" spans="4:16" ht="12.75">
      <c r="D142" s="104"/>
      <c r="P142" s="28">
        <v>20000</v>
      </c>
    </row>
    <row r="143" spans="4:24" ht="12.75">
      <c r="D143" s="104"/>
      <c r="L143" s="28">
        <v>279792</v>
      </c>
      <c r="M143" s="28" t="s">
        <v>440</v>
      </c>
      <c r="N143" s="28">
        <v>63850</v>
      </c>
      <c r="O143" s="28" t="s">
        <v>455</v>
      </c>
      <c r="P143" s="226">
        <f>SUM(P140:P142)</f>
        <v>334028</v>
      </c>
      <c r="R143" s="226"/>
      <c r="T143" s="226"/>
      <c r="V143" s="226"/>
      <c r="X143" s="226"/>
    </row>
    <row r="144" spans="4:24" ht="12.75">
      <c r="D144" s="104"/>
      <c r="L144" s="28">
        <v>-20684</v>
      </c>
      <c r="N144" s="226">
        <f>SUM(N139:N143)</f>
        <v>158567</v>
      </c>
      <c r="P144" s="226"/>
      <c r="R144" s="226"/>
      <c r="T144" s="226"/>
      <c r="V144" s="226"/>
      <c r="X144" s="226"/>
    </row>
    <row r="145" spans="4:24" ht="12.75">
      <c r="D145" s="104"/>
      <c r="L145" s="226">
        <f>SUM(L139:L144)</f>
        <v>482012</v>
      </c>
      <c r="N145" s="226"/>
      <c r="P145" s="226"/>
      <c r="R145" s="226"/>
      <c r="T145" s="226"/>
      <c r="V145" s="226"/>
      <c r="X145" s="226"/>
    </row>
    <row r="146" ht="12.75">
      <c r="D146" s="104"/>
    </row>
    <row r="147" ht="12.75">
      <c r="D147" s="104"/>
    </row>
    <row r="148" ht="12.75">
      <c r="D148" s="104"/>
    </row>
    <row r="149" ht="12.75">
      <c r="D149" s="104"/>
    </row>
    <row r="150" ht="12.75">
      <c r="D150" s="104"/>
    </row>
    <row r="151" ht="12.75">
      <c r="D151" s="104"/>
    </row>
    <row r="152" spans="4:24" ht="12.75">
      <c r="D152" s="104"/>
      <c r="J152" s="226"/>
      <c r="L152" s="226"/>
      <c r="N152" s="226"/>
      <c r="P152" s="226"/>
      <c r="R152" s="226"/>
      <c r="T152" s="226"/>
      <c r="V152" s="226"/>
      <c r="X152" s="226"/>
    </row>
    <row r="153" ht="12.75">
      <c r="D153" s="104"/>
    </row>
    <row r="154" ht="12.75">
      <c r="D154" s="104"/>
    </row>
    <row r="155" ht="12.75">
      <c r="D155" s="104"/>
    </row>
    <row r="156" ht="12.75">
      <c r="D156" s="104"/>
    </row>
    <row r="157" ht="12.75">
      <c r="D157" s="104"/>
    </row>
    <row r="158" spans="4:25" ht="12.75">
      <c r="D158" s="104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ht="12.75">
      <c r="D159" s="104"/>
    </row>
    <row r="160" ht="12.75">
      <c r="D160" s="104"/>
    </row>
    <row r="161" ht="12.75">
      <c r="D161" s="104"/>
    </row>
    <row r="162" ht="12.75">
      <c r="D162" s="104"/>
    </row>
    <row r="163" ht="12.75">
      <c r="D163" s="104"/>
    </row>
    <row r="164" spans="4:25" ht="12.75">
      <c r="D164" s="104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ht="12.75">
      <c r="D165" s="104"/>
    </row>
    <row r="166" ht="12.75">
      <c r="D166" s="104"/>
    </row>
    <row r="167" ht="12.75">
      <c r="D167" s="104"/>
    </row>
    <row r="168" ht="12.75">
      <c r="D168" s="104"/>
    </row>
    <row r="169" ht="12.75">
      <c r="D169" s="104"/>
    </row>
    <row r="170" ht="12.75">
      <c r="D170" s="103"/>
    </row>
    <row r="183" spans="5:25" ht="12.75"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</row>
    <row r="184" spans="5:25" ht="12.75"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</row>
  </sheetData>
  <sheetProtection/>
  <printOptions horizontalCentered="1"/>
  <pageMargins left="0.33" right="0.4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&amp;C&amp;8Dochody - str.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748"/>
  <sheetViews>
    <sheetView zoomScalePageLayoutView="0" workbookViewId="0" topLeftCell="A502">
      <selection activeCell="B530" sqref="B530"/>
    </sheetView>
  </sheetViews>
  <sheetFormatPr defaultColWidth="9.00390625" defaultRowHeight="12.75"/>
  <cols>
    <col min="1" max="1" width="4.75390625" style="7" bestFit="1" customWidth="1"/>
    <col min="2" max="2" width="7.25390625" style="7" bestFit="1" customWidth="1"/>
    <col min="3" max="3" width="5.00390625" style="7" bestFit="1" customWidth="1"/>
    <col min="4" max="4" width="32.375" style="7" customWidth="1"/>
    <col min="5" max="5" width="0.12890625" style="28" hidden="1" customWidth="1"/>
    <col min="6" max="6" width="11.25390625" style="28" hidden="1" customWidth="1"/>
    <col min="7" max="8" width="14.875" style="28" hidden="1" customWidth="1"/>
    <col min="9" max="9" width="40.25390625" style="28" hidden="1" customWidth="1"/>
    <col min="10" max="10" width="9.375" style="28" hidden="1" customWidth="1"/>
    <col min="11" max="11" width="14.125" style="28" hidden="1" customWidth="1"/>
    <col min="12" max="12" width="14.875" style="28" hidden="1" customWidth="1"/>
    <col min="13" max="13" width="14.125" style="28" hidden="1" customWidth="1"/>
    <col min="14" max="14" width="14.875" style="28" hidden="1" customWidth="1"/>
    <col min="15" max="15" width="14.125" style="28" hidden="1" customWidth="1"/>
    <col min="16" max="16" width="14.875" style="28" hidden="1" customWidth="1"/>
    <col min="17" max="17" width="14.125" style="28" hidden="1" customWidth="1"/>
    <col min="18" max="18" width="14.875" style="28" hidden="1" customWidth="1"/>
    <col min="19" max="19" width="43.25390625" style="28" hidden="1" customWidth="1"/>
    <col min="20" max="20" width="0.12890625" style="28" hidden="1" customWidth="1"/>
    <col min="21" max="21" width="45.375" style="28" hidden="1" customWidth="1"/>
    <col min="22" max="22" width="10.375" style="28" hidden="1" customWidth="1"/>
    <col min="23" max="23" width="14.125" style="28" hidden="1" customWidth="1"/>
    <col min="24" max="24" width="14.875" style="28" hidden="1" customWidth="1"/>
    <col min="25" max="25" width="14.125" style="28" customWidth="1"/>
    <col min="26" max="26" width="14.875" style="28" customWidth="1"/>
    <col min="27" max="27" width="14.125" style="28" customWidth="1"/>
    <col min="28" max="28" width="10.00390625" style="0" bestFit="1" customWidth="1"/>
    <col min="30" max="30" width="12.00390625" style="0" customWidth="1"/>
  </cols>
  <sheetData>
    <row r="1" spans="1:27" ht="12.75">
      <c r="A1" s="108"/>
      <c r="B1" s="108"/>
      <c r="C1" s="108"/>
      <c r="D1" s="108"/>
      <c r="E1" s="57"/>
      <c r="F1" s="57"/>
      <c r="G1" s="57" t="s">
        <v>340</v>
      </c>
      <c r="H1" s="57"/>
      <c r="I1" s="57" t="s">
        <v>353</v>
      </c>
      <c r="J1" s="57"/>
      <c r="K1" s="57" t="s">
        <v>421</v>
      </c>
      <c r="L1" s="57"/>
      <c r="M1" s="57" t="s">
        <v>446</v>
      </c>
      <c r="N1" s="57"/>
      <c r="O1" s="57" t="s">
        <v>458</v>
      </c>
      <c r="P1" s="57"/>
      <c r="Q1" s="57" t="s">
        <v>483</v>
      </c>
      <c r="R1" s="57"/>
      <c r="S1" s="57" t="s">
        <v>495</v>
      </c>
      <c r="T1" s="57"/>
      <c r="U1" s="57" t="s">
        <v>506</v>
      </c>
      <c r="V1" s="57"/>
      <c r="W1" s="57" t="s">
        <v>511</v>
      </c>
      <c r="X1" s="57"/>
      <c r="Y1" s="57" t="s">
        <v>539</v>
      </c>
      <c r="Z1" s="57"/>
      <c r="AA1" s="57"/>
    </row>
    <row r="2" spans="1:27" ht="12.75">
      <c r="A2" s="108"/>
      <c r="B2" s="108"/>
      <c r="C2" s="108"/>
      <c r="D2" s="108"/>
      <c r="E2" s="57"/>
      <c r="F2" s="57"/>
      <c r="G2" s="57" t="s">
        <v>337</v>
      </c>
      <c r="H2" s="57"/>
      <c r="I2" s="57" t="s">
        <v>352</v>
      </c>
      <c r="J2" s="57"/>
      <c r="K2" s="57" t="s">
        <v>418</v>
      </c>
      <c r="L2" s="57"/>
      <c r="M2" s="57" t="s">
        <v>444</v>
      </c>
      <c r="N2" s="57"/>
      <c r="O2" s="57" t="s">
        <v>457</v>
      </c>
      <c r="P2" s="57"/>
      <c r="Q2" s="57" t="s">
        <v>479</v>
      </c>
      <c r="R2" s="57"/>
      <c r="S2" s="57" t="s">
        <v>490</v>
      </c>
      <c r="T2" s="57"/>
      <c r="U2" s="57" t="s">
        <v>499</v>
      </c>
      <c r="V2" s="57"/>
      <c r="W2" s="57" t="s">
        <v>512</v>
      </c>
      <c r="X2" s="57"/>
      <c r="Y2" s="57" t="s">
        <v>521</v>
      </c>
      <c r="Z2" s="57"/>
      <c r="AA2" s="57"/>
    </row>
    <row r="3" spans="1:27" ht="12.75">
      <c r="A3" s="108"/>
      <c r="B3" s="108"/>
      <c r="C3" s="108"/>
      <c r="D3" s="108"/>
      <c r="E3" s="57"/>
      <c r="F3" s="57"/>
      <c r="G3" s="57" t="s">
        <v>341</v>
      </c>
      <c r="H3" s="57"/>
      <c r="I3" s="57" t="s">
        <v>340</v>
      </c>
      <c r="J3" s="57"/>
      <c r="K3" s="57" t="s">
        <v>353</v>
      </c>
      <c r="L3" s="57"/>
      <c r="M3" s="57" t="s">
        <v>421</v>
      </c>
      <c r="N3" s="57"/>
      <c r="O3" s="57" t="s">
        <v>446</v>
      </c>
      <c r="P3" s="57"/>
      <c r="Q3" s="57" t="s">
        <v>458</v>
      </c>
      <c r="R3" s="57"/>
      <c r="S3" s="57" t="s">
        <v>483</v>
      </c>
      <c r="T3" s="57"/>
      <c r="U3" s="57" t="s">
        <v>495</v>
      </c>
      <c r="V3" s="57"/>
      <c r="W3" s="57" t="s">
        <v>506</v>
      </c>
      <c r="X3" s="57"/>
      <c r="Y3" s="57" t="s">
        <v>511</v>
      </c>
      <c r="Z3" s="57"/>
      <c r="AA3" s="57"/>
    </row>
    <row r="4" spans="1:27" ht="12.75">
      <c r="A4" s="108"/>
      <c r="B4" s="108"/>
      <c r="C4" s="108"/>
      <c r="D4" s="108"/>
      <c r="E4" s="57"/>
      <c r="F4" s="57"/>
      <c r="G4" s="57" t="s">
        <v>339</v>
      </c>
      <c r="H4" s="57"/>
      <c r="I4" s="57" t="s">
        <v>344</v>
      </c>
      <c r="J4" s="57"/>
      <c r="K4" s="57" t="s">
        <v>364</v>
      </c>
      <c r="L4" s="57"/>
      <c r="M4" s="57" t="s">
        <v>428</v>
      </c>
      <c r="N4" s="57"/>
      <c r="O4" s="57" t="s">
        <v>450</v>
      </c>
      <c r="P4" s="57"/>
      <c r="Q4" s="57" t="s">
        <v>474</v>
      </c>
      <c r="R4" s="57"/>
      <c r="S4" s="57" t="s">
        <v>488</v>
      </c>
      <c r="T4" s="57"/>
      <c r="U4" s="57" t="s">
        <v>492</v>
      </c>
      <c r="V4" s="57"/>
      <c r="W4" s="57" t="s">
        <v>510</v>
      </c>
      <c r="X4" s="57"/>
      <c r="Y4" s="57" t="s">
        <v>516</v>
      </c>
      <c r="Z4" s="57"/>
      <c r="AA4" s="57"/>
    </row>
    <row r="5" spans="1:27" ht="21" customHeight="1">
      <c r="A5" s="311" t="s">
        <v>308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</row>
    <row r="6" spans="1:27" s="7" customFormat="1" ht="24.75" customHeight="1">
      <c r="A6" s="35" t="s">
        <v>0</v>
      </c>
      <c r="B6" s="35" t="s">
        <v>1</v>
      </c>
      <c r="C6" s="35" t="s">
        <v>2</v>
      </c>
      <c r="D6" s="35" t="s">
        <v>3</v>
      </c>
      <c r="E6" s="59" t="s">
        <v>142</v>
      </c>
      <c r="F6" s="59" t="s">
        <v>316</v>
      </c>
      <c r="G6" s="59" t="s">
        <v>142</v>
      </c>
      <c r="H6" s="59" t="s">
        <v>316</v>
      </c>
      <c r="I6" s="216" t="s">
        <v>357</v>
      </c>
      <c r="J6" s="59" t="s">
        <v>316</v>
      </c>
      <c r="K6" s="216" t="s">
        <v>361</v>
      </c>
      <c r="L6" s="59" t="s">
        <v>316</v>
      </c>
      <c r="M6" s="216" t="s">
        <v>143</v>
      </c>
      <c r="N6" s="59" t="s">
        <v>316</v>
      </c>
      <c r="O6" s="216" t="s">
        <v>143</v>
      </c>
      <c r="P6" s="59" t="s">
        <v>316</v>
      </c>
      <c r="Q6" s="216" t="s">
        <v>143</v>
      </c>
      <c r="R6" s="59" t="s">
        <v>316</v>
      </c>
      <c r="S6" s="216" t="s">
        <v>143</v>
      </c>
      <c r="T6" s="59" t="s">
        <v>316</v>
      </c>
      <c r="U6" s="216" t="s">
        <v>143</v>
      </c>
      <c r="V6" s="59" t="s">
        <v>316</v>
      </c>
      <c r="W6" s="216" t="s">
        <v>143</v>
      </c>
      <c r="X6" s="59" t="s">
        <v>316</v>
      </c>
      <c r="Y6" s="216" t="s">
        <v>143</v>
      </c>
      <c r="Z6" s="59" t="s">
        <v>316</v>
      </c>
      <c r="AA6" s="216" t="s">
        <v>333</v>
      </c>
    </row>
    <row r="7" spans="1:27" s="10" customFormat="1" ht="21" customHeight="1">
      <c r="A7" s="33" t="s">
        <v>4</v>
      </c>
      <c r="B7" s="60"/>
      <c r="C7" s="61"/>
      <c r="D7" s="36" t="s">
        <v>5</v>
      </c>
      <c r="E7" s="37">
        <f aca="true" t="shared" si="0" ref="E7:K7">SUM(E8,E10,E12)</f>
        <v>302600</v>
      </c>
      <c r="F7" s="37">
        <f t="shared" si="0"/>
        <v>25000</v>
      </c>
      <c r="G7" s="37">
        <f t="shared" si="0"/>
        <v>327600</v>
      </c>
      <c r="H7" s="37">
        <f t="shared" si="0"/>
        <v>0</v>
      </c>
      <c r="I7" s="37">
        <f t="shared" si="0"/>
        <v>327600</v>
      </c>
      <c r="J7" s="37">
        <f t="shared" si="0"/>
        <v>0</v>
      </c>
      <c r="K7" s="37">
        <f t="shared" si="0"/>
        <v>327600</v>
      </c>
      <c r="L7" s="37">
        <f>SUM(L8,L10,L12)</f>
        <v>0</v>
      </c>
      <c r="M7" s="37">
        <f>SUM(M8,M10,M12)</f>
        <v>327600</v>
      </c>
      <c r="N7" s="37">
        <f>SUM(N8,N10,N12)</f>
        <v>0</v>
      </c>
      <c r="O7" s="37">
        <f>SUM(O8,O10,O12)</f>
        <v>327600</v>
      </c>
      <c r="P7" s="37">
        <f>SUM(P8,P10,P12)</f>
        <v>0</v>
      </c>
      <c r="Q7" s="37">
        <f aca="true" t="shared" si="1" ref="Q7:W7">SUM(Q8,Q10,Q12,Q16)</f>
        <v>327600</v>
      </c>
      <c r="R7" s="37">
        <f t="shared" si="1"/>
        <v>771797</v>
      </c>
      <c r="S7" s="37">
        <f t="shared" si="1"/>
        <v>1099397</v>
      </c>
      <c r="T7" s="37">
        <f t="shared" si="1"/>
        <v>0</v>
      </c>
      <c r="U7" s="37">
        <f t="shared" si="1"/>
        <v>1099397</v>
      </c>
      <c r="V7" s="37">
        <f t="shared" si="1"/>
        <v>-250000</v>
      </c>
      <c r="W7" s="37">
        <f t="shared" si="1"/>
        <v>849397</v>
      </c>
      <c r="X7" s="37">
        <f>SUM(X8,X10,X12,X16)</f>
        <v>0</v>
      </c>
      <c r="Y7" s="37">
        <f>SUM(Y8,Y10,Y12,Y16)</f>
        <v>849397</v>
      </c>
      <c r="Z7" s="37">
        <f>SUM(Z8,Z10,Z12,Z16)</f>
        <v>0</v>
      </c>
      <c r="AA7" s="37">
        <f>SUM(AA8,AA10,AA12,AA16)</f>
        <v>849397</v>
      </c>
    </row>
    <row r="8" spans="1:27" s="133" customFormat="1" ht="21" customHeight="1">
      <c r="A8" s="162"/>
      <c r="B8" s="163" t="s">
        <v>279</v>
      </c>
      <c r="C8" s="164"/>
      <c r="D8" s="165" t="s">
        <v>280</v>
      </c>
      <c r="E8" s="81">
        <f aca="true" t="shared" si="2" ref="E8:AA8">SUM(E9)</f>
        <v>45000</v>
      </c>
      <c r="F8" s="81">
        <f t="shared" si="2"/>
        <v>0</v>
      </c>
      <c r="G8" s="81">
        <f t="shared" si="2"/>
        <v>45000</v>
      </c>
      <c r="H8" s="81">
        <f t="shared" si="2"/>
        <v>0</v>
      </c>
      <c r="I8" s="81">
        <f t="shared" si="2"/>
        <v>45000</v>
      </c>
      <c r="J8" s="81">
        <f t="shared" si="2"/>
        <v>0</v>
      </c>
      <c r="K8" s="81">
        <f t="shared" si="2"/>
        <v>45000</v>
      </c>
      <c r="L8" s="81">
        <f t="shared" si="2"/>
        <v>0</v>
      </c>
      <c r="M8" s="81">
        <f t="shared" si="2"/>
        <v>45000</v>
      </c>
      <c r="N8" s="81">
        <f t="shared" si="2"/>
        <v>0</v>
      </c>
      <c r="O8" s="81">
        <f t="shared" si="2"/>
        <v>45000</v>
      </c>
      <c r="P8" s="81">
        <f t="shared" si="2"/>
        <v>0</v>
      </c>
      <c r="Q8" s="81">
        <f t="shared" si="2"/>
        <v>45000</v>
      </c>
      <c r="R8" s="81">
        <f t="shared" si="2"/>
        <v>0</v>
      </c>
      <c r="S8" s="81">
        <f t="shared" si="2"/>
        <v>45000</v>
      </c>
      <c r="T8" s="81">
        <f t="shared" si="2"/>
        <v>0</v>
      </c>
      <c r="U8" s="81">
        <f t="shared" si="2"/>
        <v>45000</v>
      </c>
      <c r="V8" s="81">
        <f t="shared" si="2"/>
        <v>0</v>
      </c>
      <c r="W8" s="81">
        <f t="shared" si="2"/>
        <v>45000</v>
      </c>
      <c r="X8" s="81">
        <f t="shared" si="2"/>
        <v>0</v>
      </c>
      <c r="Y8" s="81">
        <f t="shared" si="2"/>
        <v>45000</v>
      </c>
      <c r="Z8" s="81">
        <f t="shared" si="2"/>
        <v>0</v>
      </c>
      <c r="AA8" s="81">
        <f t="shared" si="2"/>
        <v>45000</v>
      </c>
    </row>
    <row r="9" spans="1:27" s="133" customFormat="1" ht="48">
      <c r="A9" s="162"/>
      <c r="B9" s="166"/>
      <c r="C9" s="164">
        <v>2830</v>
      </c>
      <c r="D9" s="165" t="s">
        <v>314</v>
      </c>
      <c r="E9" s="81">
        <v>45000</v>
      </c>
      <c r="F9" s="81"/>
      <c r="G9" s="81">
        <f>SUM(E9:F9)</f>
        <v>45000</v>
      </c>
      <c r="H9" s="81"/>
      <c r="I9" s="81">
        <f>SUM(G9:H9)</f>
        <v>45000</v>
      </c>
      <c r="J9" s="81"/>
      <c r="K9" s="81">
        <f>SUM(I9:J9)</f>
        <v>45000</v>
      </c>
      <c r="L9" s="81"/>
      <c r="M9" s="81">
        <f>SUM(K9:L9)</f>
        <v>45000</v>
      </c>
      <c r="N9" s="81"/>
      <c r="O9" s="81">
        <f>SUM(M9:N9)</f>
        <v>45000</v>
      </c>
      <c r="P9" s="81"/>
      <c r="Q9" s="81">
        <f>SUM(O9:P9)</f>
        <v>45000</v>
      </c>
      <c r="R9" s="81"/>
      <c r="S9" s="81">
        <f>SUM(Q9:R9)</f>
        <v>45000</v>
      </c>
      <c r="T9" s="81"/>
      <c r="U9" s="81">
        <f>SUM(S9:T9)</f>
        <v>45000</v>
      </c>
      <c r="V9" s="81"/>
      <c r="W9" s="81">
        <f>SUM(U9:V9)</f>
        <v>45000</v>
      </c>
      <c r="X9" s="81"/>
      <c r="Y9" s="81">
        <f>SUM(W9:X9)</f>
        <v>45000</v>
      </c>
      <c r="Z9" s="81"/>
      <c r="AA9" s="81">
        <f>SUM(Y9:Z9)</f>
        <v>45000</v>
      </c>
    </row>
    <row r="10" spans="1:27" s="24" customFormat="1" ht="21" customHeight="1">
      <c r="A10" s="67"/>
      <c r="B10" s="82" t="s">
        <v>70</v>
      </c>
      <c r="C10" s="70"/>
      <c r="D10" s="38" t="s">
        <v>71</v>
      </c>
      <c r="E10" s="81">
        <f aca="true" t="shared" si="3" ref="E10:AA10">SUM(E11)</f>
        <v>7600</v>
      </c>
      <c r="F10" s="81">
        <f t="shared" si="3"/>
        <v>0</v>
      </c>
      <c r="G10" s="81">
        <f t="shared" si="3"/>
        <v>7600</v>
      </c>
      <c r="H10" s="81">
        <f t="shared" si="3"/>
        <v>0</v>
      </c>
      <c r="I10" s="81">
        <f t="shared" si="3"/>
        <v>7600</v>
      </c>
      <c r="J10" s="81">
        <f t="shared" si="3"/>
        <v>0</v>
      </c>
      <c r="K10" s="81">
        <f t="shared" si="3"/>
        <v>7600</v>
      </c>
      <c r="L10" s="81">
        <f t="shared" si="3"/>
        <v>0</v>
      </c>
      <c r="M10" s="81">
        <f t="shared" si="3"/>
        <v>7600</v>
      </c>
      <c r="N10" s="81">
        <f t="shared" si="3"/>
        <v>0</v>
      </c>
      <c r="O10" s="81">
        <f t="shared" si="3"/>
        <v>7600</v>
      </c>
      <c r="P10" s="81">
        <f t="shared" si="3"/>
        <v>0</v>
      </c>
      <c r="Q10" s="81">
        <f t="shared" si="3"/>
        <v>7600</v>
      </c>
      <c r="R10" s="81">
        <f t="shared" si="3"/>
        <v>0</v>
      </c>
      <c r="S10" s="81">
        <f t="shared" si="3"/>
        <v>7600</v>
      </c>
      <c r="T10" s="81">
        <f t="shared" si="3"/>
        <v>0</v>
      </c>
      <c r="U10" s="81">
        <f t="shared" si="3"/>
        <v>7600</v>
      </c>
      <c r="V10" s="81">
        <f t="shared" si="3"/>
        <v>0</v>
      </c>
      <c r="W10" s="81">
        <f t="shared" si="3"/>
        <v>7600</v>
      </c>
      <c r="X10" s="81">
        <f t="shared" si="3"/>
        <v>0</v>
      </c>
      <c r="Y10" s="81">
        <f t="shared" si="3"/>
        <v>7600</v>
      </c>
      <c r="Z10" s="81">
        <f t="shared" si="3"/>
        <v>0</v>
      </c>
      <c r="AA10" s="81">
        <f t="shared" si="3"/>
        <v>7600</v>
      </c>
    </row>
    <row r="11" spans="1:27" s="24" customFormat="1" ht="36">
      <c r="A11" s="83"/>
      <c r="B11" s="84"/>
      <c r="C11" s="70">
        <v>2850</v>
      </c>
      <c r="D11" s="38" t="s">
        <v>334</v>
      </c>
      <c r="E11" s="81">
        <v>7600</v>
      </c>
      <c r="F11" s="81"/>
      <c r="G11" s="81">
        <f>SUM(E11:F11)</f>
        <v>7600</v>
      </c>
      <c r="H11" s="81"/>
      <c r="I11" s="81">
        <f>SUM(G11:H11)</f>
        <v>7600</v>
      </c>
      <c r="J11" s="81"/>
      <c r="K11" s="81">
        <f>SUM(I11:J11)</f>
        <v>7600</v>
      </c>
      <c r="L11" s="81"/>
      <c r="M11" s="81">
        <f>SUM(K11:L11)</f>
        <v>7600</v>
      </c>
      <c r="N11" s="81"/>
      <c r="O11" s="81">
        <f>SUM(M11:N11)</f>
        <v>7600</v>
      </c>
      <c r="P11" s="81"/>
      <c r="Q11" s="81">
        <f>SUM(O11:P11)</f>
        <v>7600</v>
      </c>
      <c r="R11" s="81"/>
      <c r="S11" s="81">
        <f>SUM(Q11:R11)</f>
        <v>7600</v>
      </c>
      <c r="T11" s="81"/>
      <c r="U11" s="81">
        <f>SUM(S11:T11)</f>
        <v>7600</v>
      </c>
      <c r="V11" s="81"/>
      <c r="W11" s="81">
        <f>SUM(U11:V11)</f>
        <v>7600</v>
      </c>
      <c r="X11" s="81"/>
      <c r="Y11" s="81">
        <f>SUM(W11:X11)</f>
        <v>7600</v>
      </c>
      <c r="Z11" s="81"/>
      <c r="AA11" s="81">
        <f>SUM(Y11:Z11)</f>
        <v>7600</v>
      </c>
    </row>
    <row r="12" spans="1:27" s="24" customFormat="1" ht="24" customHeight="1">
      <c r="A12" s="83"/>
      <c r="B12" s="84" t="s">
        <v>288</v>
      </c>
      <c r="C12" s="70"/>
      <c r="D12" s="38" t="s">
        <v>303</v>
      </c>
      <c r="E12" s="81">
        <f aca="true" t="shared" si="4" ref="E12:J12">SUM(E14)</f>
        <v>250000</v>
      </c>
      <c r="F12" s="81">
        <f t="shared" si="4"/>
        <v>25000</v>
      </c>
      <c r="G12" s="81">
        <f t="shared" si="4"/>
        <v>275000</v>
      </c>
      <c r="H12" s="81">
        <f t="shared" si="4"/>
        <v>0</v>
      </c>
      <c r="I12" s="81">
        <f t="shared" si="4"/>
        <v>275000</v>
      </c>
      <c r="J12" s="81">
        <f t="shared" si="4"/>
        <v>0</v>
      </c>
      <c r="K12" s="81">
        <f>SUM(K13:K14)</f>
        <v>275000</v>
      </c>
      <c r="L12" s="81">
        <f>SUM(L13:L14)</f>
        <v>0</v>
      </c>
      <c r="M12" s="81">
        <f aca="true" t="shared" si="5" ref="M12:S12">SUM(M13:M15)</f>
        <v>275000</v>
      </c>
      <c r="N12" s="81">
        <f t="shared" si="5"/>
        <v>0</v>
      </c>
      <c r="O12" s="81">
        <f t="shared" si="5"/>
        <v>275000</v>
      </c>
      <c r="P12" s="81">
        <f t="shared" si="5"/>
        <v>0</v>
      </c>
      <c r="Q12" s="81">
        <f t="shared" si="5"/>
        <v>275000</v>
      </c>
      <c r="R12" s="81">
        <f t="shared" si="5"/>
        <v>500000</v>
      </c>
      <c r="S12" s="81">
        <f t="shared" si="5"/>
        <v>775000</v>
      </c>
      <c r="T12" s="81">
        <f aca="true" t="shared" si="6" ref="T12:Y12">SUM(T13:T15)</f>
        <v>0</v>
      </c>
      <c r="U12" s="81">
        <f t="shared" si="6"/>
        <v>775000</v>
      </c>
      <c r="V12" s="81">
        <f t="shared" si="6"/>
        <v>-250000</v>
      </c>
      <c r="W12" s="81">
        <f t="shared" si="6"/>
        <v>525000</v>
      </c>
      <c r="X12" s="81">
        <f t="shared" si="6"/>
        <v>0</v>
      </c>
      <c r="Y12" s="81">
        <f t="shared" si="6"/>
        <v>525000</v>
      </c>
      <c r="Z12" s="81">
        <f>SUM(Z13:Z15)</f>
        <v>0</v>
      </c>
      <c r="AA12" s="81">
        <f>SUM(AA13:AA15)</f>
        <v>525000</v>
      </c>
    </row>
    <row r="13" spans="1:30" s="24" customFormat="1" ht="24" customHeight="1">
      <c r="A13" s="83"/>
      <c r="B13" s="84"/>
      <c r="C13" s="70">
        <v>4170</v>
      </c>
      <c r="D13" s="38" t="s">
        <v>423</v>
      </c>
      <c r="E13" s="81"/>
      <c r="F13" s="81"/>
      <c r="G13" s="81"/>
      <c r="H13" s="81"/>
      <c r="I13" s="81"/>
      <c r="J13" s="81"/>
      <c r="K13" s="81">
        <v>0</v>
      </c>
      <c r="L13" s="81">
        <v>7000</v>
      </c>
      <c r="M13" s="81">
        <f>SUM(K13:L13)</f>
        <v>7000</v>
      </c>
      <c r="N13" s="81"/>
      <c r="O13" s="81">
        <f>SUM(M13:N13)</f>
        <v>7000</v>
      </c>
      <c r="P13" s="81"/>
      <c r="Q13" s="81">
        <f>SUM(O13:P13)</f>
        <v>7000</v>
      </c>
      <c r="R13" s="81"/>
      <c r="S13" s="81">
        <f>SUM(Q13:R13)</f>
        <v>7000</v>
      </c>
      <c r="T13" s="81"/>
      <c r="U13" s="81">
        <f>SUM(S13:T13)</f>
        <v>7000</v>
      </c>
      <c r="V13" s="81"/>
      <c r="W13" s="81">
        <f>SUM(U13:V13)</f>
        <v>7000</v>
      </c>
      <c r="X13" s="81"/>
      <c r="Y13" s="81">
        <f>SUM(W13:X13)</f>
        <v>7000</v>
      </c>
      <c r="Z13" s="81"/>
      <c r="AA13" s="81">
        <f>SUM(Y13:Z13)</f>
        <v>7000</v>
      </c>
      <c r="AB13" s="119"/>
      <c r="AC13" s="119"/>
      <c r="AD13" s="119"/>
    </row>
    <row r="14" spans="1:27" s="24" customFormat="1" ht="24" customHeight="1">
      <c r="A14" s="83"/>
      <c r="B14" s="84"/>
      <c r="C14" s="70">
        <v>4300</v>
      </c>
      <c r="D14" s="38" t="s">
        <v>79</v>
      </c>
      <c r="E14" s="81">
        <v>250000</v>
      </c>
      <c r="F14" s="81">
        <v>25000</v>
      </c>
      <c r="G14" s="81">
        <f>SUM(E14:F14)</f>
        <v>275000</v>
      </c>
      <c r="H14" s="81"/>
      <c r="I14" s="81">
        <f>SUM(G14:H14)</f>
        <v>275000</v>
      </c>
      <c r="J14" s="81"/>
      <c r="K14" s="81">
        <f>SUM(I14:J14)</f>
        <v>275000</v>
      </c>
      <c r="L14" s="81">
        <v>-7000</v>
      </c>
      <c r="M14" s="81">
        <f>SUM(K14:L14)</f>
        <v>268000</v>
      </c>
      <c r="N14" s="81"/>
      <c r="O14" s="81">
        <f>SUM(M14:N14)</f>
        <v>268000</v>
      </c>
      <c r="P14" s="81"/>
      <c r="Q14" s="81">
        <f>SUM(O14:P14)</f>
        <v>268000</v>
      </c>
      <c r="R14" s="81">
        <v>-234408</v>
      </c>
      <c r="S14" s="81">
        <f>SUM(Q14:R14)</f>
        <v>33592</v>
      </c>
      <c r="T14" s="81"/>
      <c r="U14" s="81">
        <f>SUM(S14:T14)</f>
        <v>33592</v>
      </c>
      <c r="V14" s="81"/>
      <c r="W14" s="81">
        <f>SUM(U14:V14)</f>
        <v>33592</v>
      </c>
      <c r="X14" s="81"/>
      <c r="Y14" s="81">
        <f>SUM(W14:X14)</f>
        <v>33592</v>
      </c>
      <c r="Z14" s="81"/>
      <c r="AA14" s="81">
        <f>SUM(Y14:Z14)</f>
        <v>33592</v>
      </c>
    </row>
    <row r="15" spans="1:27" s="24" customFormat="1" ht="24" customHeight="1">
      <c r="A15" s="83"/>
      <c r="B15" s="84"/>
      <c r="C15" s="70">
        <v>6050</v>
      </c>
      <c r="D15" s="38" t="s">
        <v>73</v>
      </c>
      <c r="E15" s="81"/>
      <c r="F15" s="81"/>
      <c r="G15" s="81"/>
      <c r="H15" s="81"/>
      <c r="I15" s="81"/>
      <c r="J15" s="81"/>
      <c r="K15" s="81"/>
      <c r="L15" s="81"/>
      <c r="M15" s="81">
        <v>0</v>
      </c>
      <c r="N15" s="81"/>
      <c r="O15" s="81">
        <f>SUM(M15:N15)</f>
        <v>0</v>
      </c>
      <c r="P15" s="81"/>
      <c r="Q15" s="81">
        <f>SUM(O15:P15)</f>
        <v>0</v>
      </c>
      <c r="R15" s="81">
        <v>734408</v>
      </c>
      <c r="S15" s="81">
        <f>SUM(Q15:R15)</f>
        <v>734408</v>
      </c>
      <c r="T15" s="81"/>
      <c r="U15" s="81">
        <f>SUM(S15:T15)</f>
        <v>734408</v>
      </c>
      <c r="V15" s="81">
        <v>-250000</v>
      </c>
      <c r="W15" s="81">
        <f>SUM(U15:V15)</f>
        <v>484408</v>
      </c>
      <c r="X15" s="81"/>
      <c r="Y15" s="81">
        <f>SUM(W15:X15)</f>
        <v>484408</v>
      </c>
      <c r="Z15" s="81"/>
      <c r="AA15" s="81">
        <f>SUM(Y15:Z15)</f>
        <v>484408</v>
      </c>
    </row>
    <row r="16" spans="1:27" s="24" customFormat="1" ht="24" customHeight="1">
      <c r="A16" s="83"/>
      <c r="B16" s="84" t="s">
        <v>242</v>
      </c>
      <c r="C16" s="70"/>
      <c r="D16" s="38" t="s">
        <v>6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>
        <f aca="true" t="shared" si="7" ref="Q16:W16">SUM(Q17:Q24)</f>
        <v>0</v>
      </c>
      <c r="R16" s="81">
        <f t="shared" si="7"/>
        <v>271797</v>
      </c>
      <c r="S16" s="81">
        <f t="shared" si="7"/>
        <v>271797</v>
      </c>
      <c r="T16" s="81">
        <f t="shared" si="7"/>
        <v>0</v>
      </c>
      <c r="U16" s="81">
        <f t="shared" si="7"/>
        <v>271797</v>
      </c>
      <c r="V16" s="81">
        <f t="shared" si="7"/>
        <v>0</v>
      </c>
      <c r="W16" s="81">
        <f t="shared" si="7"/>
        <v>271797</v>
      </c>
      <c r="X16" s="81">
        <f>SUM(X17:X24)</f>
        <v>0</v>
      </c>
      <c r="Y16" s="81">
        <f>SUM(Y17:Y24)</f>
        <v>271797</v>
      </c>
      <c r="Z16" s="81">
        <f>SUM(Z17:Z24)</f>
        <v>0</v>
      </c>
      <c r="AA16" s="81">
        <f>SUM(AA17:AA24)</f>
        <v>271797</v>
      </c>
    </row>
    <row r="17" spans="1:30" s="24" customFormat="1" ht="24" customHeight="1">
      <c r="A17" s="83"/>
      <c r="B17" s="84"/>
      <c r="C17" s="70">
        <v>4010</v>
      </c>
      <c r="D17" s="38" t="s">
        <v>84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>
        <v>0</v>
      </c>
      <c r="R17" s="81">
        <v>3378</v>
      </c>
      <c r="S17" s="81">
        <f>SUM(Q17:R17)</f>
        <v>3378</v>
      </c>
      <c r="T17" s="81"/>
      <c r="U17" s="81">
        <f>SUM(S17:T17)</f>
        <v>3378</v>
      </c>
      <c r="V17" s="81"/>
      <c r="W17" s="81">
        <f>SUM(U17:V17)</f>
        <v>3378</v>
      </c>
      <c r="X17" s="81"/>
      <c r="Y17" s="81">
        <f>SUM(W17:X17)</f>
        <v>3378</v>
      </c>
      <c r="Z17" s="81"/>
      <c r="AA17" s="81">
        <f>SUM(Y17:Z17)</f>
        <v>3378</v>
      </c>
      <c r="AB17" s="119"/>
      <c r="AC17" s="119"/>
      <c r="AD17" s="119"/>
    </row>
    <row r="18" spans="1:30" s="24" customFormat="1" ht="24" customHeight="1">
      <c r="A18" s="83"/>
      <c r="B18" s="84"/>
      <c r="C18" s="70">
        <v>4110</v>
      </c>
      <c r="D18" s="38" t="s">
        <v>86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>
        <v>0</v>
      </c>
      <c r="R18" s="81">
        <v>513</v>
      </c>
      <c r="S18" s="81">
        <f aca="true" t="shared" si="8" ref="S18:S24">SUM(Q18:R18)</f>
        <v>513</v>
      </c>
      <c r="T18" s="81"/>
      <c r="U18" s="81">
        <f aca="true" t="shared" si="9" ref="U18:U24">SUM(S18:T18)</f>
        <v>513</v>
      </c>
      <c r="V18" s="81"/>
      <c r="W18" s="81">
        <f aca="true" t="shared" si="10" ref="W18:W24">SUM(U18:V18)</f>
        <v>513</v>
      </c>
      <c r="X18" s="81"/>
      <c r="Y18" s="81">
        <f aca="true" t="shared" si="11" ref="Y18:Y24">SUM(W18:X18)</f>
        <v>513</v>
      </c>
      <c r="Z18" s="81"/>
      <c r="AA18" s="81">
        <f aca="true" t="shared" si="12" ref="AA18:AA24">SUM(Y18:Z18)</f>
        <v>513</v>
      </c>
      <c r="AB18" s="119"/>
      <c r="AC18" s="119"/>
      <c r="AD18" s="119"/>
    </row>
    <row r="19" spans="1:30" s="24" customFormat="1" ht="24" customHeight="1">
      <c r="A19" s="83"/>
      <c r="B19" s="84"/>
      <c r="C19" s="70">
        <v>4120</v>
      </c>
      <c r="D19" s="38" t="s">
        <v>87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>
        <v>0</v>
      </c>
      <c r="R19" s="81">
        <v>82</v>
      </c>
      <c r="S19" s="81">
        <f t="shared" si="8"/>
        <v>82</v>
      </c>
      <c r="T19" s="81"/>
      <c r="U19" s="81">
        <f t="shared" si="9"/>
        <v>82</v>
      </c>
      <c r="V19" s="81"/>
      <c r="W19" s="81">
        <f t="shared" si="10"/>
        <v>82</v>
      </c>
      <c r="X19" s="81"/>
      <c r="Y19" s="81">
        <f t="shared" si="11"/>
        <v>82</v>
      </c>
      <c r="Z19" s="81"/>
      <c r="AA19" s="81">
        <f t="shared" si="12"/>
        <v>82</v>
      </c>
      <c r="AB19" s="119"/>
      <c r="AC19" s="119"/>
      <c r="AD19" s="119"/>
    </row>
    <row r="20" spans="1:27" s="24" customFormat="1" ht="24" customHeight="1">
      <c r="A20" s="83"/>
      <c r="B20" s="84"/>
      <c r="C20" s="70">
        <v>4210</v>
      </c>
      <c r="D20" s="38" t="s">
        <v>72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>
        <v>0</v>
      </c>
      <c r="R20" s="81">
        <v>251</v>
      </c>
      <c r="S20" s="81">
        <f t="shared" si="8"/>
        <v>251</v>
      </c>
      <c r="T20" s="81"/>
      <c r="U20" s="81">
        <f t="shared" si="9"/>
        <v>251</v>
      </c>
      <c r="V20" s="81"/>
      <c r="W20" s="81">
        <f t="shared" si="10"/>
        <v>251</v>
      </c>
      <c r="X20" s="81"/>
      <c r="Y20" s="81">
        <f t="shared" si="11"/>
        <v>251</v>
      </c>
      <c r="Z20" s="81"/>
      <c r="AA20" s="81">
        <f t="shared" si="12"/>
        <v>251</v>
      </c>
    </row>
    <row r="21" spans="1:27" s="24" customFormat="1" ht="24" customHeight="1">
      <c r="A21" s="83"/>
      <c r="B21" s="84"/>
      <c r="C21" s="70">
        <v>4300</v>
      </c>
      <c r="D21" s="38" t="s">
        <v>79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>
        <v>0</v>
      </c>
      <c r="R21" s="81">
        <v>822</v>
      </c>
      <c r="S21" s="81">
        <f t="shared" si="8"/>
        <v>822</v>
      </c>
      <c r="T21" s="81"/>
      <c r="U21" s="81">
        <f t="shared" si="9"/>
        <v>822</v>
      </c>
      <c r="V21" s="81"/>
      <c r="W21" s="81">
        <f t="shared" si="10"/>
        <v>822</v>
      </c>
      <c r="X21" s="81"/>
      <c r="Y21" s="81">
        <f t="shared" si="11"/>
        <v>822</v>
      </c>
      <c r="Z21" s="81"/>
      <c r="AA21" s="81">
        <f t="shared" si="12"/>
        <v>822</v>
      </c>
    </row>
    <row r="22" spans="1:27" s="24" customFormat="1" ht="24" customHeight="1">
      <c r="A22" s="83"/>
      <c r="B22" s="84"/>
      <c r="C22" s="70">
        <v>4430</v>
      </c>
      <c r="D22" s="38" t="s">
        <v>94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>
        <v>0</v>
      </c>
      <c r="R22" s="81">
        <v>266467</v>
      </c>
      <c r="S22" s="81">
        <f t="shared" si="8"/>
        <v>266467</v>
      </c>
      <c r="T22" s="81"/>
      <c r="U22" s="81">
        <f t="shared" si="9"/>
        <v>266467</v>
      </c>
      <c r="V22" s="81"/>
      <c r="W22" s="81">
        <f t="shared" si="10"/>
        <v>266467</v>
      </c>
      <c r="X22" s="81"/>
      <c r="Y22" s="81">
        <f t="shared" si="11"/>
        <v>266467</v>
      </c>
      <c r="Z22" s="81"/>
      <c r="AA22" s="81">
        <f t="shared" si="12"/>
        <v>266467</v>
      </c>
    </row>
    <row r="23" spans="1:27" s="24" customFormat="1" ht="24" customHeight="1">
      <c r="A23" s="83"/>
      <c r="B23" s="84"/>
      <c r="C23" s="70">
        <v>4740</v>
      </c>
      <c r="D23" s="38" t="s">
        <v>267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>
        <v>0</v>
      </c>
      <c r="R23" s="81">
        <v>25</v>
      </c>
      <c r="S23" s="81">
        <f t="shared" si="8"/>
        <v>25</v>
      </c>
      <c r="T23" s="81"/>
      <c r="U23" s="81">
        <f t="shared" si="9"/>
        <v>25</v>
      </c>
      <c r="V23" s="81"/>
      <c r="W23" s="81">
        <f t="shared" si="10"/>
        <v>25</v>
      </c>
      <c r="X23" s="81"/>
      <c r="Y23" s="81">
        <f t="shared" si="11"/>
        <v>25</v>
      </c>
      <c r="Z23" s="81"/>
      <c r="AA23" s="81">
        <f t="shared" si="12"/>
        <v>25</v>
      </c>
    </row>
    <row r="24" spans="1:27" s="24" customFormat="1" ht="24" customHeight="1">
      <c r="A24" s="83"/>
      <c r="B24" s="84"/>
      <c r="C24" s="70">
        <v>4750</v>
      </c>
      <c r="D24" s="38" t="s">
        <v>223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>
        <v>0</v>
      </c>
      <c r="R24" s="81">
        <v>259</v>
      </c>
      <c r="S24" s="81">
        <f t="shared" si="8"/>
        <v>259</v>
      </c>
      <c r="T24" s="81"/>
      <c r="U24" s="81">
        <f t="shared" si="9"/>
        <v>259</v>
      </c>
      <c r="V24" s="81"/>
      <c r="W24" s="81">
        <f t="shared" si="10"/>
        <v>259</v>
      </c>
      <c r="X24" s="81"/>
      <c r="Y24" s="81">
        <f t="shared" si="11"/>
        <v>259</v>
      </c>
      <c r="Z24" s="81"/>
      <c r="AA24" s="81">
        <f t="shared" si="12"/>
        <v>259</v>
      </c>
    </row>
    <row r="25" spans="1:27" s="6" customFormat="1" ht="21" customHeight="1">
      <c r="A25" s="33" t="s">
        <v>74</v>
      </c>
      <c r="B25" s="34"/>
      <c r="C25" s="35"/>
      <c r="D25" s="36" t="s">
        <v>75</v>
      </c>
      <c r="E25" s="37">
        <f aca="true" t="shared" si="13" ref="E25:K25">E28</f>
        <v>1046197</v>
      </c>
      <c r="F25" s="37">
        <f t="shared" si="13"/>
        <v>1460000</v>
      </c>
      <c r="G25" s="37">
        <f t="shared" si="13"/>
        <v>2506197</v>
      </c>
      <c r="H25" s="37">
        <f t="shared" si="13"/>
        <v>0</v>
      </c>
      <c r="I25" s="37">
        <f t="shared" si="13"/>
        <v>2506197</v>
      </c>
      <c r="J25" s="37">
        <f t="shared" si="13"/>
        <v>0</v>
      </c>
      <c r="K25" s="37">
        <f t="shared" si="13"/>
        <v>2506197</v>
      </c>
      <c r="L25" s="37">
        <f aca="true" t="shared" si="14" ref="L25:W25">L28+L26</f>
        <v>149850</v>
      </c>
      <c r="M25" s="37">
        <f t="shared" si="14"/>
        <v>2656047</v>
      </c>
      <c r="N25" s="37">
        <f t="shared" si="14"/>
        <v>137220</v>
      </c>
      <c r="O25" s="37">
        <f t="shared" si="14"/>
        <v>2793267</v>
      </c>
      <c r="P25" s="37">
        <f t="shared" si="14"/>
        <v>0</v>
      </c>
      <c r="Q25" s="37">
        <f t="shared" si="14"/>
        <v>2793267</v>
      </c>
      <c r="R25" s="37">
        <f t="shared" si="14"/>
        <v>-500000</v>
      </c>
      <c r="S25" s="37">
        <f t="shared" si="14"/>
        <v>2293267</v>
      </c>
      <c r="T25" s="37">
        <f t="shared" si="14"/>
        <v>0</v>
      </c>
      <c r="U25" s="37">
        <f t="shared" si="14"/>
        <v>2293267</v>
      </c>
      <c r="V25" s="37">
        <f t="shared" si="14"/>
        <v>347600</v>
      </c>
      <c r="W25" s="37">
        <f t="shared" si="14"/>
        <v>2640867</v>
      </c>
      <c r="X25" s="37">
        <f>X28+X26</f>
        <v>0</v>
      </c>
      <c r="Y25" s="37">
        <f>Y28+Y26+Y33</f>
        <v>2640867</v>
      </c>
      <c r="Z25" s="37">
        <f>Z28+Z26+Z33</f>
        <v>60000</v>
      </c>
      <c r="AA25" s="37">
        <f>AA28+AA26+AA33</f>
        <v>2700867</v>
      </c>
    </row>
    <row r="26" spans="1:27" s="133" customFormat="1" ht="21" customHeight="1">
      <c r="A26" s="162"/>
      <c r="B26" s="141">
        <v>60014</v>
      </c>
      <c r="C26" s="151"/>
      <c r="D26" s="143" t="s">
        <v>377</v>
      </c>
      <c r="E26" s="230"/>
      <c r="F26" s="230"/>
      <c r="G26" s="230"/>
      <c r="H26" s="230"/>
      <c r="I26" s="230"/>
      <c r="J26" s="230"/>
      <c r="K26" s="230">
        <f aca="true" t="shared" si="15" ref="K26:AA26">SUM(K27)</f>
        <v>0</v>
      </c>
      <c r="L26" s="230">
        <f t="shared" si="15"/>
        <v>100000</v>
      </c>
      <c r="M26" s="230">
        <f t="shared" si="15"/>
        <v>100000</v>
      </c>
      <c r="N26" s="230">
        <f t="shared" si="15"/>
        <v>127220</v>
      </c>
      <c r="O26" s="230">
        <f t="shared" si="15"/>
        <v>227220</v>
      </c>
      <c r="P26" s="230">
        <f t="shared" si="15"/>
        <v>0</v>
      </c>
      <c r="Q26" s="230">
        <f t="shared" si="15"/>
        <v>227220</v>
      </c>
      <c r="R26" s="230">
        <f t="shared" si="15"/>
        <v>0</v>
      </c>
      <c r="S26" s="230">
        <f t="shared" si="15"/>
        <v>227220</v>
      </c>
      <c r="T26" s="230">
        <f t="shared" si="15"/>
        <v>0</v>
      </c>
      <c r="U26" s="230">
        <f t="shared" si="15"/>
        <v>227220</v>
      </c>
      <c r="V26" s="230">
        <f t="shared" si="15"/>
        <v>0</v>
      </c>
      <c r="W26" s="230">
        <f t="shared" si="15"/>
        <v>227220</v>
      </c>
      <c r="X26" s="230">
        <f t="shared" si="15"/>
        <v>0</v>
      </c>
      <c r="Y26" s="230">
        <f t="shared" si="15"/>
        <v>227220</v>
      </c>
      <c r="Z26" s="230">
        <f t="shared" si="15"/>
        <v>0</v>
      </c>
      <c r="AA26" s="230">
        <f t="shared" si="15"/>
        <v>227220</v>
      </c>
    </row>
    <row r="27" spans="1:27" s="133" customFormat="1" ht="60">
      <c r="A27" s="162"/>
      <c r="B27" s="141"/>
      <c r="C27" s="151">
        <v>6300</v>
      </c>
      <c r="D27" s="143" t="s">
        <v>376</v>
      </c>
      <c r="E27" s="230"/>
      <c r="F27" s="230"/>
      <c r="G27" s="230"/>
      <c r="H27" s="230"/>
      <c r="I27" s="230"/>
      <c r="J27" s="230"/>
      <c r="K27" s="230">
        <v>0</v>
      </c>
      <c r="L27" s="230">
        <v>100000</v>
      </c>
      <c r="M27" s="230">
        <f>SUM(K27:L27)</f>
        <v>100000</v>
      </c>
      <c r="N27" s="230">
        <v>127220</v>
      </c>
      <c r="O27" s="230">
        <f>SUM(M27:N27)</f>
        <v>227220</v>
      </c>
      <c r="P27" s="230"/>
      <c r="Q27" s="230">
        <f>SUM(O27:P27)</f>
        <v>227220</v>
      </c>
      <c r="R27" s="230"/>
      <c r="S27" s="230">
        <f>SUM(Q27:R27)</f>
        <v>227220</v>
      </c>
      <c r="T27" s="230"/>
      <c r="U27" s="230">
        <f>SUM(S27:T27)</f>
        <v>227220</v>
      </c>
      <c r="V27" s="230">
        <f>-10895-40500+51395</f>
        <v>0</v>
      </c>
      <c r="W27" s="230">
        <f>SUM(U27:V27)</f>
        <v>227220</v>
      </c>
      <c r="X27" s="230">
        <f>-10895-40500+51395</f>
        <v>0</v>
      </c>
      <c r="Y27" s="230">
        <f>SUM(W27:X27)</f>
        <v>227220</v>
      </c>
      <c r="Z27" s="230">
        <f>-10895-40500+51395</f>
        <v>0</v>
      </c>
      <c r="AA27" s="230">
        <f>SUM(Y27:Z27)</f>
        <v>227220</v>
      </c>
    </row>
    <row r="28" spans="1:27" s="24" customFormat="1" ht="21" customHeight="1">
      <c r="A28" s="67"/>
      <c r="B28" s="82" t="s">
        <v>76</v>
      </c>
      <c r="C28" s="86"/>
      <c r="D28" s="38" t="s">
        <v>77</v>
      </c>
      <c r="E28" s="81">
        <f aca="true" t="shared" si="16" ref="E28:W28">SUM(E29:E32)</f>
        <v>1046197</v>
      </c>
      <c r="F28" s="81">
        <f t="shared" si="16"/>
        <v>1460000</v>
      </c>
      <c r="G28" s="81">
        <f t="shared" si="16"/>
        <v>2506197</v>
      </c>
      <c r="H28" s="81">
        <f t="shared" si="16"/>
        <v>0</v>
      </c>
      <c r="I28" s="81">
        <f t="shared" si="16"/>
        <v>2506197</v>
      </c>
      <c r="J28" s="81">
        <f t="shared" si="16"/>
        <v>0</v>
      </c>
      <c r="K28" s="81">
        <f t="shared" si="16"/>
        <v>2506197</v>
      </c>
      <c r="L28" s="81">
        <f t="shared" si="16"/>
        <v>49850</v>
      </c>
      <c r="M28" s="81">
        <f t="shared" si="16"/>
        <v>2556047</v>
      </c>
      <c r="N28" s="81">
        <f t="shared" si="16"/>
        <v>10000</v>
      </c>
      <c r="O28" s="81">
        <f t="shared" si="16"/>
        <v>2566047</v>
      </c>
      <c r="P28" s="81">
        <f t="shared" si="16"/>
        <v>0</v>
      </c>
      <c r="Q28" s="81">
        <f t="shared" si="16"/>
        <v>2566047</v>
      </c>
      <c r="R28" s="81">
        <f t="shared" si="16"/>
        <v>-500000</v>
      </c>
      <c r="S28" s="81">
        <f t="shared" si="16"/>
        <v>2066047</v>
      </c>
      <c r="T28" s="81">
        <f t="shared" si="16"/>
        <v>0</v>
      </c>
      <c r="U28" s="81">
        <f t="shared" si="16"/>
        <v>2066047</v>
      </c>
      <c r="V28" s="81">
        <f t="shared" si="16"/>
        <v>347600</v>
      </c>
      <c r="W28" s="81">
        <f t="shared" si="16"/>
        <v>2413647</v>
      </c>
      <c r="X28" s="81">
        <f>SUM(X29:X32)</f>
        <v>0</v>
      </c>
      <c r="Y28" s="81">
        <f>SUM(Y29:Y32)</f>
        <v>2413647</v>
      </c>
      <c r="Z28" s="81">
        <f>SUM(Z29:Z32)</f>
        <v>0</v>
      </c>
      <c r="AA28" s="81">
        <f>SUM(AA29:AA32)</f>
        <v>2413647</v>
      </c>
    </row>
    <row r="29" spans="1:27" s="24" customFormat="1" ht="21" customHeight="1">
      <c r="A29" s="67"/>
      <c r="B29" s="87"/>
      <c r="C29" s="67">
        <v>4210</v>
      </c>
      <c r="D29" s="38" t="s">
        <v>72</v>
      </c>
      <c r="E29" s="81">
        <f>19527+28019</f>
        <v>47546</v>
      </c>
      <c r="F29" s="81"/>
      <c r="G29" s="81">
        <f>SUM(E29:F29)</f>
        <v>47546</v>
      </c>
      <c r="H29" s="81"/>
      <c r="I29" s="81">
        <f>SUM(G29:H29)</f>
        <v>47546</v>
      </c>
      <c r="J29" s="81"/>
      <c r="K29" s="81">
        <f>SUM(I29:J29)</f>
        <v>47546</v>
      </c>
      <c r="L29" s="81">
        <v>-1150</v>
      </c>
      <c r="M29" s="81">
        <f>SUM(K29:L29)</f>
        <v>46396</v>
      </c>
      <c r="N29" s="81"/>
      <c r="O29" s="81">
        <f>SUM(M29:N29)</f>
        <v>46396</v>
      </c>
      <c r="P29" s="81"/>
      <c r="Q29" s="81">
        <f>SUM(O29:P29)</f>
        <v>46396</v>
      </c>
      <c r="R29" s="81"/>
      <c r="S29" s="81">
        <f>SUM(Q29:R29)</f>
        <v>46396</v>
      </c>
      <c r="T29" s="81"/>
      <c r="U29" s="81">
        <f>SUM(S29:T29)</f>
        <v>46396</v>
      </c>
      <c r="V29" s="81"/>
      <c r="W29" s="81">
        <f>SUM(U29:V29)</f>
        <v>46396</v>
      </c>
      <c r="X29" s="81"/>
      <c r="Y29" s="81">
        <f>SUM(W29:X29)</f>
        <v>46396</v>
      </c>
      <c r="Z29" s="81"/>
      <c r="AA29" s="81">
        <f>SUM(Y29:Z29)</f>
        <v>46396</v>
      </c>
    </row>
    <row r="30" spans="1:27" s="24" customFormat="1" ht="21" customHeight="1">
      <c r="A30" s="67"/>
      <c r="B30" s="87"/>
      <c r="C30" s="67">
        <v>4270</v>
      </c>
      <c r="D30" s="38" t="s">
        <v>78</v>
      </c>
      <c r="E30" s="81">
        <f>250000+13800</f>
        <v>263800</v>
      </c>
      <c r="F30" s="81"/>
      <c r="G30" s="81">
        <f>SUM(E30:F30)</f>
        <v>263800</v>
      </c>
      <c r="H30" s="81"/>
      <c r="I30" s="81">
        <f>SUM(G30:H30)</f>
        <v>263800</v>
      </c>
      <c r="J30" s="81"/>
      <c r="K30" s="81">
        <f>SUM(I30:J30)</f>
        <v>263800</v>
      </c>
      <c r="L30" s="81"/>
      <c r="M30" s="81">
        <f>SUM(K30:L30)</f>
        <v>263800</v>
      </c>
      <c r="N30" s="81"/>
      <c r="O30" s="81">
        <f>SUM(M30:N30)</f>
        <v>263800</v>
      </c>
      <c r="P30" s="81"/>
      <c r="Q30" s="81">
        <f>SUM(O30:P30)</f>
        <v>263800</v>
      </c>
      <c r="R30" s="81"/>
      <c r="S30" s="81">
        <f>SUM(Q30:R30)</f>
        <v>263800</v>
      </c>
      <c r="T30" s="81"/>
      <c r="U30" s="81">
        <f>SUM(S30:T30)</f>
        <v>263800</v>
      </c>
      <c r="V30" s="81"/>
      <c r="W30" s="81">
        <f>SUM(U30:V30)</f>
        <v>263800</v>
      </c>
      <c r="X30" s="81"/>
      <c r="Y30" s="81">
        <f>SUM(W30:X30)</f>
        <v>263800</v>
      </c>
      <c r="Z30" s="81"/>
      <c r="AA30" s="81">
        <f>SUM(Y30:Z30)</f>
        <v>263800</v>
      </c>
    </row>
    <row r="31" spans="1:27" s="24" customFormat="1" ht="21" customHeight="1">
      <c r="A31" s="67"/>
      <c r="B31" s="87"/>
      <c r="C31" s="67">
        <v>4300</v>
      </c>
      <c r="D31" s="38" t="s">
        <v>79</v>
      </c>
      <c r="E31" s="81">
        <f>245000+1200+19351</f>
        <v>265551</v>
      </c>
      <c r="F31" s="81">
        <v>20000</v>
      </c>
      <c r="G31" s="81">
        <f>SUM(E31:F31)</f>
        <v>285551</v>
      </c>
      <c r="H31" s="81"/>
      <c r="I31" s="81">
        <f>SUM(G31:H31)</f>
        <v>285551</v>
      </c>
      <c r="J31" s="81"/>
      <c r="K31" s="81">
        <f>SUM(I31:J31)</f>
        <v>285551</v>
      </c>
      <c r="L31" s="81">
        <v>51000</v>
      </c>
      <c r="M31" s="81">
        <f>SUM(K31:L31)</f>
        <v>336551</v>
      </c>
      <c r="N31" s="81">
        <v>10000</v>
      </c>
      <c r="O31" s="81">
        <f>SUM(M31:N31)</f>
        <v>346551</v>
      </c>
      <c r="P31" s="81"/>
      <c r="Q31" s="81">
        <f>SUM(O31:P31)</f>
        <v>346551</v>
      </c>
      <c r="R31" s="81"/>
      <c r="S31" s="81">
        <f>SUM(Q31:R31)</f>
        <v>346551</v>
      </c>
      <c r="T31" s="81"/>
      <c r="U31" s="81">
        <f>SUM(S31:T31)</f>
        <v>346551</v>
      </c>
      <c r="V31" s="81">
        <v>50000</v>
      </c>
      <c r="W31" s="81">
        <f>SUM(U31:V31)</f>
        <v>396551</v>
      </c>
      <c r="X31" s="81"/>
      <c r="Y31" s="81">
        <f>SUM(W31:X31)</f>
        <v>396551</v>
      </c>
      <c r="Z31" s="81"/>
      <c r="AA31" s="81">
        <f>SUM(Y31:Z31)</f>
        <v>396551</v>
      </c>
    </row>
    <row r="32" spans="1:27" s="24" customFormat="1" ht="24">
      <c r="A32" s="67"/>
      <c r="B32" s="87"/>
      <c r="C32" s="67">
        <v>6050</v>
      </c>
      <c r="D32" s="38" t="s">
        <v>73</v>
      </c>
      <c r="E32" s="81">
        <f>6300+13000+450000</f>
        <v>469300</v>
      </c>
      <c r="F32" s="81">
        <f>-100000+500000+30000+500000+500000+10000</f>
        <v>1440000</v>
      </c>
      <c r="G32" s="81">
        <f>SUM(E32:F32)</f>
        <v>1909300</v>
      </c>
      <c r="H32" s="81"/>
      <c r="I32" s="81">
        <f>SUM(G32:H32)</f>
        <v>1909300</v>
      </c>
      <c r="J32" s="81"/>
      <c r="K32" s="81">
        <f>SUM(I32:J32)</f>
        <v>1909300</v>
      </c>
      <c r="L32" s="81"/>
      <c r="M32" s="81">
        <f>SUM(K32:L32)</f>
        <v>1909300</v>
      </c>
      <c r="N32" s="81"/>
      <c r="O32" s="81">
        <f>SUM(M32:N32)</f>
        <v>1909300</v>
      </c>
      <c r="P32" s="81"/>
      <c r="Q32" s="81">
        <f>SUM(O32:P32)</f>
        <v>1909300</v>
      </c>
      <c r="R32" s="81">
        <f>-500000</f>
        <v>-500000</v>
      </c>
      <c r="S32" s="81">
        <f>SUM(Q32:R32)</f>
        <v>1409300</v>
      </c>
      <c r="T32" s="81"/>
      <c r="U32" s="81">
        <f>SUM(S32:T32)</f>
        <v>1409300</v>
      </c>
      <c r="V32" s="81">
        <f>60100+234000+3500</f>
        <v>297600</v>
      </c>
      <c r="W32" s="81">
        <f>SUM(U32:V32)</f>
        <v>1706900</v>
      </c>
      <c r="X32" s="81"/>
      <c r="Y32" s="81">
        <f>SUM(W32:X32)</f>
        <v>1706900</v>
      </c>
      <c r="Z32" s="81"/>
      <c r="AA32" s="81">
        <f>SUM(Y32:Z32)</f>
        <v>1706900</v>
      </c>
    </row>
    <row r="33" spans="1:27" s="24" customFormat="1" ht="22.5" customHeight="1">
      <c r="A33" s="67"/>
      <c r="B33" s="87">
        <v>60095</v>
      </c>
      <c r="C33" s="67"/>
      <c r="D33" s="38" t="s">
        <v>6</v>
      </c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>
        <f>SUM(Y34)</f>
        <v>0</v>
      </c>
      <c r="Z33" s="81">
        <f>SUM(Z34)</f>
        <v>60000</v>
      </c>
      <c r="AA33" s="81">
        <f>SUM(AA34)</f>
        <v>60000</v>
      </c>
    </row>
    <row r="34" spans="1:27" s="24" customFormat="1" ht="48">
      <c r="A34" s="67"/>
      <c r="B34" s="87"/>
      <c r="C34" s="67">
        <v>2710</v>
      </c>
      <c r="D34" s="13" t="s">
        <v>471</v>
      </c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>
        <v>0</v>
      </c>
      <c r="Z34" s="81">
        <v>60000</v>
      </c>
      <c r="AA34" s="81">
        <f>SUM(Y34:Z34)</f>
        <v>60000</v>
      </c>
    </row>
    <row r="35" spans="1:27" s="6" customFormat="1" ht="21" customHeight="1">
      <c r="A35" s="33" t="s">
        <v>8</v>
      </c>
      <c r="B35" s="34"/>
      <c r="C35" s="35"/>
      <c r="D35" s="36" t="s">
        <v>9</v>
      </c>
      <c r="E35" s="37">
        <f aca="true" t="shared" si="17" ref="E35:W35">SUM(E36,E38,E51)</f>
        <v>2992517</v>
      </c>
      <c r="F35" s="37">
        <f t="shared" si="17"/>
        <v>-700000</v>
      </c>
      <c r="G35" s="37">
        <f t="shared" si="17"/>
        <v>2292517</v>
      </c>
      <c r="H35" s="37">
        <f t="shared" si="17"/>
        <v>0</v>
      </c>
      <c r="I35" s="37">
        <f t="shared" si="17"/>
        <v>2292517</v>
      </c>
      <c r="J35" s="37">
        <f t="shared" si="17"/>
        <v>0</v>
      </c>
      <c r="K35" s="37">
        <f t="shared" si="17"/>
        <v>2292517</v>
      </c>
      <c r="L35" s="37">
        <f t="shared" si="17"/>
        <v>191405</v>
      </c>
      <c r="M35" s="37">
        <f t="shared" si="17"/>
        <v>2483922</v>
      </c>
      <c r="N35" s="37">
        <f t="shared" si="17"/>
        <v>0</v>
      </c>
      <c r="O35" s="37">
        <f t="shared" si="17"/>
        <v>2483922</v>
      </c>
      <c r="P35" s="37">
        <f t="shared" si="17"/>
        <v>0</v>
      </c>
      <c r="Q35" s="37">
        <f t="shared" si="17"/>
        <v>2483922</v>
      </c>
      <c r="R35" s="37">
        <f t="shared" si="17"/>
        <v>0</v>
      </c>
      <c r="S35" s="37">
        <f t="shared" si="17"/>
        <v>2483922</v>
      </c>
      <c r="T35" s="37">
        <f t="shared" si="17"/>
        <v>0</v>
      </c>
      <c r="U35" s="37">
        <f t="shared" si="17"/>
        <v>2483922</v>
      </c>
      <c r="V35" s="37">
        <f t="shared" si="17"/>
        <v>0</v>
      </c>
      <c r="W35" s="37">
        <f t="shared" si="17"/>
        <v>2483922</v>
      </c>
      <c r="X35" s="37">
        <f>SUM(X36,X38,X51)</f>
        <v>0</v>
      </c>
      <c r="Y35" s="37">
        <f>SUM(Y36,Y38,Y51)</f>
        <v>2483922</v>
      </c>
      <c r="Z35" s="37">
        <f>SUM(Z36,Z38,Z51)</f>
        <v>0</v>
      </c>
      <c r="AA35" s="37">
        <f>SUM(AA36,AA38,AA51)</f>
        <v>2483922</v>
      </c>
    </row>
    <row r="36" spans="1:27" s="24" customFormat="1" ht="24">
      <c r="A36" s="67"/>
      <c r="B36" s="87">
        <v>70004</v>
      </c>
      <c r="C36" s="86"/>
      <c r="D36" s="38" t="s">
        <v>198</v>
      </c>
      <c r="E36" s="81">
        <f aca="true" t="shared" si="18" ref="E36:AA36">SUM(E37)</f>
        <v>30000</v>
      </c>
      <c r="F36" s="81">
        <f t="shared" si="18"/>
        <v>0</v>
      </c>
      <c r="G36" s="81">
        <f t="shared" si="18"/>
        <v>30000</v>
      </c>
      <c r="H36" s="81">
        <f t="shared" si="18"/>
        <v>0</v>
      </c>
      <c r="I36" s="81">
        <f t="shared" si="18"/>
        <v>30000</v>
      </c>
      <c r="J36" s="81">
        <f t="shared" si="18"/>
        <v>0</v>
      </c>
      <c r="K36" s="81">
        <f t="shared" si="18"/>
        <v>30000</v>
      </c>
      <c r="L36" s="81">
        <f t="shared" si="18"/>
        <v>0</v>
      </c>
      <c r="M36" s="81">
        <f t="shared" si="18"/>
        <v>30000</v>
      </c>
      <c r="N36" s="81">
        <f t="shared" si="18"/>
        <v>0</v>
      </c>
      <c r="O36" s="81">
        <f t="shared" si="18"/>
        <v>30000</v>
      </c>
      <c r="P36" s="81">
        <f t="shared" si="18"/>
        <v>0</v>
      </c>
      <c r="Q36" s="81">
        <f t="shared" si="18"/>
        <v>30000</v>
      </c>
      <c r="R36" s="81">
        <f t="shared" si="18"/>
        <v>0</v>
      </c>
      <c r="S36" s="81">
        <f t="shared" si="18"/>
        <v>30000</v>
      </c>
      <c r="T36" s="81">
        <f t="shared" si="18"/>
        <v>0</v>
      </c>
      <c r="U36" s="81">
        <f t="shared" si="18"/>
        <v>30000</v>
      </c>
      <c r="V36" s="81">
        <f t="shared" si="18"/>
        <v>0</v>
      </c>
      <c r="W36" s="81">
        <f t="shared" si="18"/>
        <v>30000</v>
      </c>
      <c r="X36" s="81">
        <f t="shared" si="18"/>
        <v>0</v>
      </c>
      <c r="Y36" s="81">
        <f t="shared" si="18"/>
        <v>30000</v>
      </c>
      <c r="Z36" s="81">
        <f t="shared" si="18"/>
        <v>0</v>
      </c>
      <c r="AA36" s="81">
        <f t="shared" si="18"/>
        <v>30000</v>
      </c>
    </row>
    <row r="37" spans="1:27" s="24" customFormat="1" ht="21" customHeight="1">
      <c r="A37" s="67"/>
      <c r="B37" s="87"/>
      <c r="C37" s="86">
        <v>4300</v>
      </c>
      <c r="D37" s="38" t="s">
        <v>79</v>
      </c>
      <c r="E37" s="81">
        <v>30000</v>
      </c>
      <c r="F37" s="81"/>
      <c r="G37" s="81">
        <f>SUM(E37:F37)</f>
        <v>30000</v>
      </c>
      <c r="H37" s="81"/>
      <c r="I37" s="81">
        <f>SUM(G37:H37)</f>
        <v>30000</v>
      </c>
      <c r="J37" s="81"/>
      <c r="K37" s="81">
        <f>SUM(I37:J37)</f>
        <v>30000</v>
      </c>
      <c r="L37" s="81"/>
      <c r="M37" s="81">
        <f>SUM(K37:L37)</f>
        <v>30000</v>
      </c>
      <c r="N37" s="81"/>
      <c r="O37" s="81">
        <f>SUM(M37:N37)</f>
        <v>30000</v>
      </c>
      <c r="P37" s="81"/>
      <c r="Q37" s="81">
        <f>SUM(O37:P37)</f>
        <v>30000</v>
      </c>
      <c r="R37" s="81"/>
      <c r="S37" s="81">
        <f>SUM(Q37:R37)</f>
        <v>30000</v>
      </c>
      <c r="T37" s="81"/>
      <c r="U37" s="81">
        <f>SUM(S37:T37)</f>
        <v>30000</v>
      </c>
      <c r="V37" s="81"/>
      <c r="W37" s="81">
        <f>SUM(U37:V37)</f>
        <v>30000</v>
      </c>
      <c r="X37" s="81"/>
      <c r="Y37" s="81">
        <f>SUM(W37:X37)</f>
        <v>30000</v>
      </c>
      <c r="Z37" s="81"/>
      <c r="AA37" s="81">
        <f>SUM(Y37:Z37)</f>
        <v>30000</v>
      </c>
    </row>
    <row r="38" spans="1:27" s="24" customFormat="1" ht="21" customHeight="1">
      <c r="A38" s="67"/>
      <c r="B38" s="82" t="s">
        <v>10</v>
      </c>
      <c r="C38" s="86"/>
      <c r="D38" s="38" t="s">
        <v>147</v>
      </c>
      <c r="E38" s="81">
        <f aca="true" t="shared" si="19" ref="E38:W38">SUM(E39:E50)</f>
        <v>2461932</v>
      </c>
      <c r="F38" s="81">
        <f t="shared" si="19"/>
        <v>-500000</v>
      </c>
      <c r="G38" s="81">
        <f t="shared" si="19"/>
        <v>1961932</v>
      </c>
      <c r="H38" s="81">
        <f t="shared" si="19"/>
        <v>0</v>
      </c>
      <c r="I38" s="81">
        <f t="shared" si="19"/>
        <v>1961932</v>
      </c>
      <c r="J38" s="81">
        <f t="shared" si="19"/>
        <v>0</v>
      </c>
      <c r="K38" s="81">
        <f t="shared" si="19"/>
        <v>1961932</v>
      </c>
      <c r="L38" s="81">
        <f t="shared" si="19"/>
        <v>191405</v>
      </c>
      <c r="M38" s="81">
        <f t="shared" si="19"/>
        <v>2153337</v>
      </c>
      <c r="N38" s="81">
        <f t="shared" si="19"/>
        <v>0</v>
      </c>
      <c r="O38" s="81">
        <f t="shared" si="19"/>
        <v>2153337</v>
      </c>
      <c r="P38" s="81">
        <f t="shared" si="19"/>
        <v>-2500</v>
      </c>
      <c r="Q38" s="81">
        <f t="shared" si="19"/>
        <v>2150837</v>
      </c>
      <c r="R38" s="81">
        <f t="shared" si="19"/>
        <v>0</v>
      </c>
      <c r="S38" s="81">
        <f t="shared" si="19"/>
        <v>2150837</v>
      </c>
      <c r="T38" s="81">
        <f t="shared" si="19"/>
        <v>0</v>
      </c>
      <c r="U38" s="81">
        <f t="shared" si="19"/>
        <v>2150837</v>
      </c>
      <c r="V38" s="81">
        <f t="shared" si="19"/>
        <v>0</v>
      </c>
      <c r="W38" s="81">
        <f t="shared" si="19"/>
        <v>2150837</v>
      </c>
      <c r="X38" s="81">
        <f>SUM(X39:X50)</f>
        <v>0</v>
      </c>
      <c r="Y38" s="81">
        <f>SUM(Y39:Y50)</f>
        <v>2150837</v>
      </c>
      <c r="Z38" s="81">
        <f>SUM(Z39:Z50)</f>
        <v>0</v>
      </c>
      <c r="AA38" s="81">
        <f>SUM(AA39:AA50)</f>
        <v>2150837</v>
      </c>
    </row>
    <row r="39" spans="1:30" s="24" customFormat="1" ht="21" customHeight="1">
      <c r="A39" s="67"/>
      <c r="B39" s="82"/>
      <c r="C39" s="86">
        <v>4170</v>
      </c>
      <c r="D39" s="38" t="s">
        <v>190</v>
      </c>
      <c r="E39" s="81">
        <v>5000</v>
      </c>
      <c r="F39" s="81"/>
      <c r="G39" s="81">
        <f>SUM(E39:F39)</f>
        <v>5000</v>
      </c>
      <c r="H39" s="81"/>
      <c r="I39" s="81">
        <f>SUM(G39:H39)</f>
        <v>5000</v>
      </c>
      <c r="J39" s="81"/>
      <c r="K39" s="81">
        <f>SUM(I39:J39)</f>
        <v>5000</v>
      </c>
      <c r="L39" s="81"/>
      <c r="M39" s="81">
        <f>SUM(K39:L39)</f>
        <v>5000</v>
      </c>
      <c r="N39" s="81"/>
      <c r="O39" s="81">
        <f>SUM(M39:N39)</f>
        <v>5000</v>
      </c>
      <c r="P39" s="81"/>
      <c r="Q39" s="81">
        <f>SUM(O39:P39)</f>
        <v>5000</v>
      </c>
      <c r="R39" s="81"/>
      <c r="S39" s="81">
        <f>SUM(Q39:R39)</f>
        <v>5000</v>
      </c>
      <c r="T39" s="81"/>
      <c r="U39" s="81">
        <f>SUM(S39:T39)</f>
        <v>5000</v>
      </c>
      <c r="V39" s="81"/>
      <c r="W39" s="81">
        <f>SUM(U39:V39)</f>
        <v>5000</v>
      </c>
      <c r="X39" s="81"/>
      <c r="Y39" s="81">
        <f>SUM(W39:X39)</f>
        <v>5000</v>
      </c>
      <c r="Z39" s="81"/>
      <c r="AA39" s="81">
        <f>SUM(Y39:Z39)</f>
        <v>5000</v>
      </c>
      <c r="AB39" s="119"/>
      <c r="AC39" s="119"/>
      <c r="AD39" s="119"/>
    </row>
    <row r="40" spans="1:27" s="24" customFormat="1" ht="21" customHeight="1">
      <c r="A40" s="67"/>
      <c r="B40" s="82"/>
      <c r="C40" s="86">
        <v>4210</v>
      </c>
      <c r="D40" s="38" t="s">
        <v>72</v>
      </c>
      <c r="E40" s="81">
        <v>74000</v>
      </c>
      <c r="F40" s="81"/>
      <c r="G40" s="81">
        <f aca="true" t="shared" si="20" ref="G40:G50">SUM(E40:F40)</f>
        <v>74000</v>
      </c>
      <c r="H40" s="81"/>
      <c r="I40" s="81">
        <f aca="true" t="shared" si="21" ref="I40:I50">SUM(G40:H40)</f>
        <v>74000</v>
      </c>
      <c r="J40" s="81"/>
      <c r="K40" s="81">
        <f aca="true" t="shared" si="22" ref="K40:K50">SUM(I40:J40)</f>
        <v>74000</v>
      </c>
      <c r="L40" s="81"/>
      <c r="M40" s="81">
        <f aca="true" t="shared" si="23" ref="M40:M50">SUM(K40:L40)</f>
        <v>74000</v>
      </c>
      <c r="N40" s="81"/>
      <c r="O40" s="81">
        <f aca="true" t="shared" si="24" ref="O40:O50">SUM(M40:N40)</f>
        <v>74000</v>
      </c>
      <c r="P40" s="81"/>
      <c r="Q40" s="81">
        <f aca="true" t="shared" si="25" ref="Q40:Q50">SUM(O40:P40)</f>
        <v>74000</v>
      </c>
      <c r="R40" s="81"/>
      <c r="S40" s="81">
        <f aca="true" t="shared" si="26" ref="S40:S50">SUM(Q40:R40)</f>
        <v>74000</v>
      </c>
      <c r="T40" s="81"/>
      <c r="U40" s="81">
        <f aca="true" t="shared" si="27" ref="U40:U50">SUM(S40:T40)</f>
        <v>74000</v>
      </c>
      <c r="V40" s="81"/>
      <c r="W40" s="81">
        <f aca="true" t="shared" si="28" ref="W40:W50">SUM(U40:V40)</f>
        <v>74000</v>
      </c>
      <c r="X40" s="81"/>
      <c r="Y40" s="81">
        <f aca="true" t="shared" si="29" ref="Y40:Y50">SUM(W40:X40)</f>
        <v>74000</v>
      </c>
      <c r="Z40" s="81"/>
      <c r="AA40" s="81">
        <f aca="true" t="shared" si="30" ref="AA40:AA50">SUM(Y40:Z40)</f>
        <v>74000</v>
      </c>
    </row>
    <row r="41" spans="1:27" s="24" customFormat="1" ht="21" customHeight="1">
      <c r="A41" s="67"/>
      <c r="B41" s="82"/>
      <c r="C41" s="86">
        <v>4260</v>
      </c>
      <c r="D41" s="38" t="s">
        <v>95</v>
      </c>
      <c r="E41" s="81">
        <v>73800</v>
      </c>
      <c r="F41" s="81"/>
      <c r="G41" s="81">
        <f t="shared" si="20"/>
        <v>73800</v>
      </c>
      <c r="H41" s="81"/>
      <c r="I41" s="81">
        <f t="shared" si="21"/>
        <v>73800</v>
      </c>
      <c r="J41" s="81"/>
      <c r="K41" s="81">
        <f t="shared" si="22"/>
        <v>73800</v>
      </c>
      <c r="L41" s="81"/>
      <c r="M41" s="81">
        <f t="shared" si="23"/>
        <v>73800</v>
      </c>
      <c r="N41" s="81"/>
      <c r="O41" s="81">
        <f t="shared" si="24"/>
        <v>73800</v>
      </c>
      <c r="P41" s="81"/>
      <c r="Q41" s="81">
        <f t="shared" si="25"/>
        <v>73800</v>
      </c>
      <c r="R41" s="81"/>
      <c r="S41" s="81">
        <f t="shared" si="26"/>
        <v>73800</v>
      </c>
      <c r="T41" s="81"/>
      <c r="U41" s="81">
        <f t="shared" si="27"/>
        <v>73800</v>
      </c>
      <c r="V41" s="81"/>
      <c r="W41" s="81">
        <f t="shared" si="28"/>
        <v>73800</v>
      </c>
      <c r="X41" s="81"/>
      <c r="Y41" s="81">
        <f t="shared" si="29"/>
        <v>73800</v>
      </c>
      <c r="Z41" s="81"/>
      <c r="AA41" s="81">
        <f t="shared" si="30"/>
        <v>73800</v>
      </c>
    </row>
    <row r="42" spans="1:27" s="24" customFormat="1" ht="21" customHeight="1">
      <c r="A42" s="67"/>
      <c r="B42" s="82"/>
      <c r="C42" s="86">
        <v>4270</v>
      </c>
      <c r="D42" s="38" t="s">
        <v>78</v>
      </c>
      <c r="E42" s="81">
        <v>1200000</v>
      </c>
      <c r="F42" s="81">
        <v>-500000</v>
      </c>
      <c r="G42" s="81">
        <f t="shared" si="20"/>
        <v>700000</v>
      </c>
      <c r="H42" s="81"/>
      <c r="I42" s="81">
        <f t="shared" si="21"/>
        <v>700000</v>
      </c>
      <c r="J42" s="81"/>
      <c r="K42" s="81">
        <f t="shared" si="22"/>
        <v>700000</v>
      </c>
      <c r="L42" s="81"/>
      <c r="M42" s="81">
        <f t="shared" si="23"/>
        <v>700000</v>
      </c>
      <c r="N42" s="81"/>
      <c r="O42" s="81">
        <f t="shared" si="24"/>
        <v>700000</v>
      </c>
      <c r="P42" s="81"/>
      <c r="Q42" s="81">
        <f t="shared" si="25"/>
        <v>700000</v>
      </c>
      <c r="R42" s="81"/>
      <c r="S42" s="81">
        <f t="shared" si="26"/>
        <v>700000</v>
      </c>
      <c r="T42" s="81"/>
      <c r="U42" s="81">
        <f t="shared" si="27"/>
        <v>700000</v>
      </c>
      <c r="V42" s="81"/>
      <c r="W42" s="81">
        <f t="shared" si="28"/>
        <v>700000</v>
      </c>
      <c r="X42" s="81"/>
      <c r="Y42" s="81">
        <f t="shared" si="29"/>
        <v>700000</v>
      </c>
      <c r="Z42" s="81"/>
      <c r="AA42" s="81">
        <f t="shared" si="30"/>
        <v>700000</v>
      </c>
    </row>
    <row r="43" spans="1:27" s="202" customFormat="1" ht="21" customHeight="1">
      <c r="A43" s="200"/>
      <c r="B43" s="201"/>
      <c r="C43" s="67">
        <v>4300</v>
      </c>
      <c r="D43" s="38" t="s">
        <v>79</v>
      </c>
      <c r="E43" s="81">
        <f>600+201200+90000-5000</f>
        <v>286800</v>
      </c>
      <c r="F43" s="81"/>
      <c r="G43" s="81">
        <f t="shared" si="20"/>
        <v>286800</v>
      </c>
      <c r="H43" s="81"/>
      <c r="I43" s="81">
        <f t="shared" si="21"/>
        <v>286800</v>
      </c>
      <c r="J43" s="81">
        <v>-10000</v>
      </c>
      <c r="K43" s="81">
        <f t="shared" si="22"/>
        <v>276800</v>
      </c>
      <c r="L43" s="81">
        <f>29253-1296</f>
        <v>27957</v>
      </c>
      <c r="M43" s="81">
        <f t="shared" si="23"/>
        <v>304757</v>
      </c>
      <c r="N43" s="81"/>
      <c r="O43" s="81">
        <f t="shared" si="24"/>
        <v>304757</v>
      </c>
      <c r="P43" s="81">
        <v>-2500</v>
      </c>
      <c r="Q43" s="81">
        <f t="shared" si="25"/>
        <v>302257</v>
      </c>
      <c r="R43" s="81"/>
      <c r="S43" s="81">
        <f t="shared" si="26"/>
        <v>302257</v>
      </c>
      <c r="T43" s="81"/>
      <c r="U43" s="81">
        <f t="shared" si="27"/>
        <v>302257</v>
      </c>
      <c r="V43" s="81"/>
      <c r="W43" s="81">
        <f t="shared" si="28"/>
        <v>302257</v>
      </c>
      <c r="X43" s="81"/>
      <c r="Y43" s="81">
        <f t="shared" si="29"/>
        <v>302257</v>
      </c>
      <c r="Z43" s="81"/>
      <c r="AA43" s="81">
        <f t="shared" si="30"/>
        <v>302257</v>
      </c>
    </row>
    <row r="44" spans="1:27" s="202" customFormat="1" ht="21" customHeight="1">
      <c r="A44" s="200"/>
      <c r="B44" s="201"/>
      <c r="C44" s="67">
        <v>4390</v>
      </c>
      <c r="D44" s="38" t="s">
        <v>255</v>
      </c>
      <c r="E44" s="81"/>
      <c r="F44" s="81"/>
      <c r="G44" s="81"/>
      <c r="H44" s="81"/>
      <c r="I44" s="81">
        <v>0</v>
      </c>
      <c r="J44" s="81">
        <v>10000</v>
      </c>
      <c r="K44" s="81">
        <f t="shared" si="22"/>
        <v>10000</v>
      </c>
      <c r="L44" s="81"/>
      <c r="M44" s="81">
        <f t="shared" si="23"/>
        <v>10000</v>
      </c>
      <c r="N44" s="81"/>
      <c r="O44" s="81">
        <f t="shared" si="24"/>
        <v>10000</v>
      </c>
      <c r="P44" s="81"/>
      <c r="Q44" s="81">
        <f t="shared" si="25"/>
        <v>10000</v>
      </c>
      <c r="R44" s="81"/>
      <c r="S44" s="81">
        <f t="shared" si="26"/>
        <v>10000</v>
      </c>
      <c r="T44" s="81"/>
      <c r="U44" s="81">
        <f t="shared" si="27"/>
        <v>10000</v>
      </c>
      <c r="V44" s="81"/>
      <c r="W44" s="81">
        <f t="shared" si="28"/>
        <v>10000</v>
      </c>
      <c r="X44" s="81"/>
      <c r="Y44" s="81">
        <f t="shared" si="29"/>
        <v>10000</v>
      </c>
      <c r="Z44" s="81"/>
      <c r="AA44" s="81">
        <f t="shared" si="30"/>
        <v>10000</v>
      </c>
    </row>
    <row r="45" spans="1:27" s="24" customFormat="1" ht="26.25" customHeight="1">
      <c r="A45" s="67"/>
      <c r="B45" s="87"/>
      <c r="C45" s="67">
        <v>4400</v>
      </c>
      <c r="D45" s="38" t="s">
        <v>241</v>
      </c>
      <c r="E45" s="81">
        <v>786500</v>
      </c>
      <c r="F45" s="81"/>
      <c r="G45" s="81">
        <f t="shared" si="20"/>
        <v>786500</v>
      </c>
      <c r="H45" s="81"/>
      <c r="I45" s="81">
        <f t="shared" si="21"/>
        <v>786500</v>
      </c>
      <c r="J45" s="81"/>
      <c r="K45" s="81">
        <f t="shared" si="22"/>
        <v>786500</v>
      </c>
      <c r="L45" s="81"/>
      <c r="M45" s="81">
        <f t="shared" si="23"/>
        <v>786500</v>
      </c>
      <c r="N45" s="81"/>
      <c r="O45" s="81">
        <f t="shared" si="24"/>
        <v>786500</v>
      </c>
      <c r="P45" s="81"/>
      <c r="Q45" s="81">
        <f t="shared" si="25"/>
        <v>786500</v>
      </c>
      <c r="R45" s="81"/>
      <c r="S45" s="81">
        <f t="shared" si="26"/>
        <v>786500</v>
      </c>
      <c r="T45" s="81"/>
      <c r="U45" s="81">
        <f t="shared" si="27"/>
        <v>786500</v>
      </c>
      <c r="V45" s="81"/>
      <c r="W45" s="81">
        <f t="shared" si="28"/>
        <v>786500</v>
      </c>
      <c r="X45" s="81"/>
      <c r="Y45" s="81">
        <f t="shared" si="29"/>
        <v>786500</v>
      </c>
      <c r="Z45" s="81"/>
      <c r="AA45" s="81">
        <f t="shared" si="30"/>
        <v>786500</v>
      </c>
    </row>
    <row r="46" spans="1:27" s="24" customFormat="1" ht="21.75" customHeight="1">
      <c r="A46" s="67"/>
      <c r="B46" s="87"/>
      <c r="C46" s="67">
        <v>4430</v>
      </c>
      <c r="D46" s="38" t="s">
        <v>94</v>
      </c>
      <c r="E46" s="81">
        <v>5000</v>
      </c>
      <c r="F46" s="81"/>
      <c r="G46" s="81">
        <f t="shared" si="20"/>
        <v>5000</v>
      </c>
      <c r="H46" s="81"/>
      <c r="I46" s="81">
        <f t="shared" si="21"/>
        <v>5000</v>
      </c>
      <c r="J46" s="81"/>
      <c r="K46" s="81">
        <f t="shared" si="22"/>
        <v>5000</v>
      </c>
      <c r="L46" s="81"/>
      <c r="M46" s="81">
        <f t="shared" si="23"/>
        <v>5000</v>
      </c>
      <c r="N46" s="81"/>
      <c r="O46" s="81">
        <f t="shared" si="24"/>
        <v>5000</v>
      </c>
      <c r="P46" s="81"/>
      <c r="Q46" s="81">
        <f t="shared" si="25"/>
        <v>5000</v>
      </c>
      <c r="R46" s="81"/>
      <c r="S46" s="81">
        <f t="shared" si="26"/>
        <v>5000</v>
      </c>
      <c r="T46" s="81"/>
      <c r="U46" s="81">
        <f t="shared" si="27"/>
        <v>5000</v>
      </c>
      <c r="V46" s="81"/>
      <c r="W46" s="81">
        <f t="shared" si="28"/>
        <v>5000</v>
      </c>
      <c r="X46" s="81"/>
      <c r="Y46" s="81">
        <f t="shared" si="29"/>
        <v>5000</v>
      </c>
      <c r="Z46" s="81"/>
      <c r="AA46" s="81">
        <f t="shared" si="30"/>
        <v>5000</v>
      </c>
    </row>
    <row r="47" spans="1:27" s="24" customFormat="1" ht="21" customHeight="1">
      <c r="A47" s="67"/>
      <c r="B47" s="87"/>
      <c r="C47" s="67">
        <v>4480</v>
      </c>
      <c r="D47" s="38" t="s">
        <v>30</v>
      </c>
      <c r="E47" s="81">
        <v>132</v>
      </c>
      <c r="F47" s="81"/>
      <c r="G47" s="81">
        <f t="shared" si="20"/>
        <v>132</v>
      </c>
      <c r="H47" s="81"/>
      <c r="I47" s="81">
        <f t="shared" si="21"/>
        <v>132</v>
      </c>
      <c r="J47" s="81"/>
      <c r="K47" s="81">
        <f t="shared" si="22"/>
        <v>132</v>
      </c>
      <c r="L47" s="81">
        <v>157782</v>
      </c>
      <c r="M47" s="81">
        <f t="shared" si="23"/>
        <v>157914</v>
      </c>
      <c r="N47" s="81"/>
      <c r="O47" s="81">
        <f t="shared" si="24"/>
        <v>157914</v>
      </c>
      <c r="P47" s="81"/>
      <c r="Q47" s="81">
        <f t="shared" si="25"/>
        <v>157914</v>
      </c>
      <c r="R47" s="81"/>
      <c r="S47" s="81">
        <f t="shared" si="26"/>
        <v>157914</v>
      </c>
      <c r="T47" s="81"/>
      <c r="U47" s="81">
        <f t="shared" si="27"/>
        <v>157914</v>
      </c>
      <c r="V47" s="81"/>
      <c r="W47" s="81">
        <f t="shared" si="28"/>
        <v>157914</v>
      </c>
      <c r="X47" s="81"/>
      <c r="Y47" s="81">
        <f t="shared" si="29"/>
        <v>157914</v>
      </c>
      <c r="Z47" s="81"/>
      <c r="AA47" s="81">
        <f t="shared" si="30"/>
        <v>157914</v>
      </c>
    </row>
    <row r="48" spans="1:27" s="24" customFormat="1" ht="24">
      <c r="A48" s="67"/>
      <c r="B48" s="87"/>
      <c r="C48" s="67">
        <v>4500</v>
      </c>
      <c r="D48" s="38" t="s">
        <v>373</v>
      </c>
      <c r="E48" s="81"/>
      <c r="F48" s="81"/>
      <c r="G48" s="81"/>
      <c r="H48" s="81"/>
      <c r="I48" s="81"/>
      <c r="J48" s="81"/>
      <c r="K48" s="81">
        <v>0</v>
      </c>
      <c r="L48" s="81">
        <v>4919</v>
      </c>
      <c r="M48" s="81">
        <f t="shared" si="23"/>
        <v>4919</v>
      </c>
      <c r="N48" s="81"/>
      <c r="O48" s="81">
        <f t="shared" si="24"/>
        <v>4919</v>
      </c>
      <c r="P48" s="81"/>
      <c r="Q48" s="81">
        <f t="shared" si="25"/>
        <v>4919</v>
      </c>
      <c r="R48" s="81"/>
      <c r="S48" s="81">
        <f t="shared" si="26"/>
        <v>4919</v>
      </c>
      <c r="T48" s="81"/>
      <c r="U48" s="81">
        <f t="shared" si="27"/>
        <v>4919</v>
      </c>
      <c r="V48" s="81"/>
      <c r="W48" s="81">
        <f t="shared" si="28"/>
        <v>4919</v>
      </c>
      <c r="X48" s="81"/>
      <c r="Y48" s="81">
        <f t="shared" si="29"/>
        <v>4919</v>
      </c>
      <c r="Z48" s="81"/>
      <c r="AA48" s="81">
        <f t="shared" si="30"/>
        <v>4919</v>
      </c>
    </row>
    <row r="49" spans="1:27" s="24" customFormat="1" ht="21" customHeight="1">
      <c r="A49" s="67"/>
      <c r="B49" s="87"/>
      <c r="C49" s="86">
        <v>4510</v>
      </c>
      <c r="D49" s="38" t="s">
        <v>145</v>
      </c>
      <c r="E49" s="81">
        <v>700</v>
      </c>
      <c r="F49" s="81"/>
      <c r="G49" s="81">
        <f t="shared" si="20"/>
        <v>700</v>
      </c>
      <c r="H49" s="81"/>
      <c r="I49" s="81">
        <f t="shared" si="21"/>
        <v>700</v>
      </c>
      <c r="J49" s="81"/>
      <c r="K49" s="81">
        <f t="shared" si="22"/>
        <v>700</v>
      </c>
      <c r="L49" s="81">
        <v>747</v>
      </c>
      <c r="M49" s="81">
        <f t="shared" si="23"/>
        <v>1447</v>
      </c>
      <c r="N49" s="81"/>
      <c r="O49" s="81">
        <f t="shared" si="24"/>
        <v>1447</v>
      </c>
      <c r="P49" s="81"/>
      <c r="Q49" s="81">
        <f t="shared" si="25"/>
        <v>1447</v>
      </c>
      <c r="R49" s="81"/>
      <c r="S49" s="81">
        <f t="shared" si="26"/>
        <v>1447</v>
      </c>
      <c r="T49" s="81"/>
      <c r="U49" s="81">
        <f t="shared" si="27"/>
        <v>1447</v>
      </c>
      <c r="V49" s="81"/>
      <c r="W49" s="81">
        <f t="shared" si="28"/>
        <v>1447</v>
      </c>
      <c r="X49" s="81"/>
      <c r="Y49" s="81">
        <f t="shared" si="29"/>
        <v>1447</v>
      </c>
      <c r="Z49" s="81"/>
      <c r="AA49" s="81">
        <f t="shared" si="30"/>
        <v>1447</v>
      </c>
    </row>
    <row r="50" spans="1:27" s="24" customFormat="1" ht="24">
      <c r="A50" s="67"/>
      <c r="B50" s="87"/>
      <c r="C50" s="86">
        <v>4610</v>
      </c>
      <c r="D50" s="38" t="s">
        <v>181</v>
      </c>
      <c r="E50" s="81">
        <v>30000</v>
      </c>
      <c r="F50" s="81"/>
      <c r="G50" s="81">
        <f t="shared" si="20"/>
        <v>30000</v>
      </c>
      <c r="H50" s="81"/>
      <c r="I50" s="81">
        <f t="shared" si="21"/>
        <v>30000</v>
      </c>
      <c r="J50" s="81"/>
      <c r="K50" s="81">
        <f t="shared" si="22"/>
        <v>30000</v>
      </c>
      <c r="L50" s="81"/>
      <c r="M50" s="81">
        <f t="shared" si="23"/>
        <v>30000</v>
      </c>
      <c r="N50" s="81"/>
      <c r="O50" s="81">
        <f t="shared" si="24"/>
        <v>30000</v>
      </c>
      <c r="P50" s="81"/>
      <c r="Q50" s="81">
        <f t="shared" si="25"/>
        <v>30000</v>
      </c>
      <c r="R50" s="81"/>
      <c r="S50" s="81">
        <f t="shared" si="26"/>
        <v>30000</v>
      </c>
      <c r="T50" s="81"/>
      <c r="U50" s="81">
        <f t="shared" si="27"/>
        <v>30000</v>
      </c>
      <c r="V50" s="81"/>
      <c r="W50" s="81">
        <f t="shared" si="28"/>
        <v>30000</v>
      </c>
      <c r="X50" s="81"/>
      <c r="Y50" s="81">
        <f t="shared" si="29"/>
        <v>30000</v>
      </c>
      <c r="Z50" s="81"/>
      <c r="AA50" s="81">
        <f t="shared" si="30"/>
        <v>30000</v>
      </c>
    </row>
    <row r="51" spans="1:27" s="24" customFormat="1" ht="21" customHeight="1">
      <c r="A51" s="67"/>
      <c r="B51" s="82">
        <v>70095</v>
      </c>
      <c r="C51" s="86"/>
      <c r="D51" s="38" t="s">
        <v>6</v>
      </c>
      <c r="E51" s="81">
        <f aca="true" t="shared" si="31" ref="E51:W51">SUM(E52:E55)</f>
        <v>500585</v>
      </c>
      <c r="F51" s="81">
        <f t="shared" si="31"/>
        <v>-200000</v>
      </c>
      <c r="G51" s="81">
        <f t="shared" si="31"/>
        <v>300585</v>
      </c>
      <c r="H51" s="81">
        <f t="shared" si="31"/>
        <v>0</v>
      </c>
      <c r="I51" s="81">
        <f t="shared" si="31"/>
        <v>300585</v>
      </c>
      <c r="J51" s="81">
        <f t="shared" si="31"/>
        <v>0</v>
      </c>
      <c r="K51" s="81">
        <f t="shared" si="31"/>
        <v>300585</v>
      </c>
      <c r="L51" s="81">
        <f t="shared" si="31"/>
        <v>0</v>
      </c>
      <c r="M51" s="81">
        <f t="shared" si="31"/>
        <v>300585</v>
      </c>
      <c r="N51" s="81">
        <f t="shared" si="31"/>
        <v>0</v>
      </c>
      <c r="O51" s="81">
        <f t="shared" si="31"/>
        <v>300585</v>
      </c>
      <c r="P51" s="81">
        <f t="shared" si="31"/>
        <v>2500</v>
      </c>
      <c r="Q51" s="81">
        <f t="shared" si="31"/>
        <v>303085</v>
      </c>
      <c r="R51" s="81">
        <f t="shared" si="31"/>
        <v>0</v>
      </c>
      <c r="S51" s="81">
        <f t="shared" si="31"/>
        <v>303085</v>
      </c>
      <c r="T51" s="81">
        <f t="shared" si="31"/>
        <v>0</v>
      </c>
      <c r="U51" s="81">
        <f t="shared" si="31"/>
        <v>303085</v>
      </c>
      <c r="V51" s="81">
        <f t="shared" si="31"/>
        <v>0</v>
      </c>
      <c r="W51" s="81">
        <f t="shared" si="31"/>
        <v>303085</v>
      </c>
      <c r="X51" s="81">
        <f>SUM(X52:X55)</f>
        <v>0</v>
      </c>
      <c r="Y51" s="81">
        <f>SUM(Y52:Y55)</f>
        <v>303085</v>
      </c>
      <c r="Z51" s="81">
        <f>SUM(Z52:Z55)</f>
        <v>0</v>
      </c>
      <c r="AA51" s="81">
        <f>SUM(AA52:AA55)</f>
        <v>303085</v>
      </c>
    </row>
    <row r="52" spans="1:27" s="24" customFormat="1" ht="21" customHeight="1">
      <c r="A52" s="67"/>
      <c r="B52" s="82"/>
      <c r="C52" s="86">
        <v>4260</v>
      </c>
      <c r="D52" s="38" t="s">
        <v>95</v>
      </c>
      <c r="E52" s="81">
        <v>500</v>
      </c>
      <c r="F52" s="81"/>
      <c r="G52" s="81">
        <f>SUM(E52:F52)</f>
        <v>500</v>
      </c>
      <c r="H52" s="81"/>
      <c r="I52" s="81">
        <f>SUM(G52:H52)</f>
        <v>500</v>
      </c>
      <c r="J52" s="81"/>
      <c r="K52" s="81">
        <f>SUM(I52:J52)</f>
        <v>500</v>
      </c>
      <c r="L52" s="81"/>
      <c r="M52" s="81">
        <f>SUM(K52:L52)</f>
        <v>500</v>
      </c>
      <c r="N52" s="81"/>
      <c r="O52" s="81">
        <f>SUM(M52:N52)</f>
        <v>500</v>
      </c>
      <c r="P52" s="81"/>
      <c r="Q52" s="81">
        <f>SUM(O52:P52)</f>
        <v>500</v>
      </c>
      <c r="R52" s="81"/>
      <c r="S52" s="81">
        <f>SUM(Q52:R52)</f>
        <v>500</v>
      </c>
      <c r="T52" s="81"/>
      <c r="U52" s="81">
        <f>SUM(S52:T52)</f>
        <v>500</v>
      </c>
      <c r="V52" s="81"/>
      <c r="W52" s="81">
        <f>SUM(U52:V52)</f>
        <v>500</v>
      </c>
      <c r="X52" s="81"/>
      <c r="Y52" s="81">
        <f>SUM(W52:X52)</f>
        <v>500</v>
      </c>
      <c r="Z52" s="81"/>
      <c r="AA52" s="81">
        <f>SUM(Y52:Z52)</f>
        <v>500</v>
      </c>
    </row>
    <row r="53" spans="1:27" s="24" customFormat="1" ht="21" customHeight="1">
      <c r="A53" s="67"/>
      <c r="B53" s="82"/>
      <c r="C53" s="86">
        <v>4300</v>
      </c>
      <c r="D53" s="38" t="s">
        <v>79</v>
      </c>
      <c r="E53" s="81">
        <v>85</v>
      </c>
      <c r="F53" s="81"/>
      <c r="G53" s="81">
        <f>SUM(E53:F53)</f>
        <v>85</v>
      </c>
      <c r="H53" s="81"/>
      <c r="I53" s="81">
        <f>SUM(G53:H53)</f>
        <v>85</v>
      </c>
      <c r="J53" s="81"/>
      <c r="K53" s="81">
        <f>SUM(I53:J53)</f>
        <v>85</v>
      </c>
      <c r="L53" s="81"/>
      <c r="M53" s="81">
        <f>SUM(K53:L53)</f>
        <v>85</v>
      </c>
      <c r="N53" s="81"/>
      <c r="O53" s="81">
        <f>SUM(M53:N53)</f>
        <v>85</v>
      </c>
      <c r="P53" s="81"/>
      <c r="Q53" s="81">
        <f>SUM(O53:P53)</f>
        <v>85</v>
      </c>
      <c r="R53" s="81"/>
      <c r="S53" s="81">
        <f>SUM(Q53:R53)</f>
        <v>85</v>
      </c>
      <c r="T53" s="81"/>
      <c r="U53" s="81">
        <f>SUM(S53:T53)</f>
        <v>85</v>
      </c>
      <c r="V53" s="81"/>
      <c r="W53" s="81">
        <f>SUM(U53:V53)</f>
        <v>85</v>
      </c>
      <c r="X53" s="81"/>
      <c r="Y53" s="81">
        <f>SUM(W53:X53)</f>
        <v>85</v>
      </c>
      <c r="Z53" s="81"/>
      <c r="AA53" s="81">
        <f>SUM(Y53:Z53)</f>
        <v>85</v>
      </c>
    </row>
    <row r="54" spans="1:27" s="24" customFormat="1" ht="21" customHeight="1">
      <c r="A54" s="67"/>
      <c r="B54" s="82"/>
      <c r="C54" s="86">
        <v>4580</v>
      </c>
      <c r="D54" s="38" t="s">
        <v>11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>
        <v>0</v>
      </c>
      <c r="P54" s="81">
        <v>2500</v>
      </c>
      <c r="Q54" s="81">
        <f>SUM(O54:P54)</f>
        <v>2500</v>
      </c>
      <c r="R54" s="81"/>
      <c r="S54" s="81">
        <f>SUM(Q54:R54)</f>
        <v>2500</v>
      </c>
      <c r="T54" s="81"/>
      <c r="U54" s="81">
        <f>SUM(S54:T54)</f>
        <v>2500</v>
      </c>
      <c r="V54" s="81"/>
      <c r="W54" s="81">
        <f>SUM(U54:V54)</f>
        <v>2500</v>
      </c>
      <c r="X54" s="81"/>
      <c r="Y54" s="81">
        <f>SUM(W54:X54)</f>
        <v>2500</v>
      </c>
      <c r="Z54" s="81"/>
      <c r="AA54" s="81">
        <f>SUM(Y54:Z54)</f>
        <v>2500</v>
      </c>
    </row>
    <row r="55" spans="1:27" s="24" customFormat="1" ht="24">
      <c r="A55" s="67"/>
      <c r="B55" s="82"/>
      <c r="C55" s="67">
        <v>6050</v>
      </c>
      <c r="D55" s="38" t="s">
        <v>73</v>
      </c>
      <c r="E55" s="81">
        <v>500000</v>
      </c>
      <c r="F55" s="81">
        <v>-200000</v>
      </c>
      <c r="G55" s="81">
        <f>SUM(E55:F55)</f>
        <v>300000</v>
      </c>
      <c r="H55" s="81"/>
      <c r="I55" s="81">
        <f>SUM(G55:H55)</f>
        <v>300000</v>
      </c>
      <c r="J55" s="81"/>
      <c r="K55" s="81">
        <f>SUM(I55:J55)</f>
        <v>300000</v>
      </c>
      <c r="L55" s="81"/>
      <c r="M55" s="81">
        <f>SUM(K55:L55)</f>
        <v>300000</v>
      </c>
      <c r="N55" s="81"/>
      <c r="O55" s="81">
        <f>SUM(M55:N55)</f>
        <v>300000</v>
      </c>
      <c r="P55" s="81"/>
      <c r="Q55" s="81">
        <f>SUM(O55:P55)</f>
        <v>300000</v>
      </c>
      <c r="R55" s="81"/>
      <c r="S55" s="81">
        <f>SUM(Q55:R55)</f>
        <v>300000</v>
      </c>
      <c r="T55" s="81"/>
      <c r="U55" s="81">
        <f>SUM(S55:T55)</f>
        <v>300000</v>
      </c>
      <c r="V55" s="81"/>
      <c r="W55" s="81">
        <f>SUM(U55:V55)</f>
        <v>300000</v>
      </c>
      <c r="X55" s="81"/>
      <c r="Y55" s="81">
        <f>SUM(W55:X55)</f>
        <v>300000</v>
      </c>
      <c r="Z55" s="81"/>
      <c r="AA55" s="81">
        <f>SUM(Y55:Z55)</f>
        <v>300000</v>
      </c>
    </row>
    <row r="56" spans="1:27" s="6" customFormat="1" ht="21" customHeight="1">
      <c r="A56" s="33" t="s">
        <v>13</v>
      </c>
      <c r="B56" s="34"/>
      <c r="C56" s="35"/>
      <c r="D56" s="36" t="s">
        <v>80</v>
      </c>
      <c r="E56" s="37">
        <f aca="true" t="shared" si="32" ref="E56:W56">SUM(E57,E60)</f>
        <v>270200</v>
      </c>
      <c r="F56" s="37">
        <f t="shared" si="32"/>
        <v>20000</v>
      </c>
      <c r="G56" s="37">
        <f t="shared" si="32"/>
        <v>290200</v>
      </c>
      <c r="H56" s="37">
        <f t="shared" si="32"/>
        <v>0</v>
      </c>
      <c r="I56" s="37">
        <f t="shared" si="32"/>
        <v>290200</v>
      </c>
      <c r="J56" s="37">
        <f t="shared" si="32"/>
        <v>0</v>
      </c>
      <c r="K56" s="37">
        <f t="shared" si="32"/>
        <v>290200</v>
      </c>
      <c r="L56" s="37">
        <f t="shared" si="32"/>
        <v>0</v>
      </c>
      <c r="M56" s="37">
        <f t="shared" si="32"/>
        <v>290200</v>
      </c>
      <c r="N56" s="37">
        <f t="shared" si="32"/>
        <v>0</v>
      </c>
      <c r="O56" s="37">
        <f t="shared" si="32"/>
        <v>290200</v>
      </c>
      <c r="P56" s="37">
        <f t="shared" si="32"/>
        <v>0</v>
      </c>
      <c r="Q56" s="37">
        <f t="shared" si="32"/>
        <v>290200</v>
      </c>
      <c r="R56" s="37">
        <f t="shared" si="32"/>
        <v>0</v>
      </c>
      <c r="S56" s="37">
        <f t="shared" si="32"/>
        <v>290200</v>
      </c>
      <c r="T56" s="37">
        <f t="shared" si="32"/>
        <v>0</v>
      </c>
      <c r="U56" s="37">
        <f t="shared" si="32"/>
        <v>290200</v>
      </c>
      <c r="V56" s="37">
        <f t="shared" si="32"/>
        <v>0</v>
      </c>
      <c r="W56" s="37">
        <f t="shared" si="32"/>
        <v>290200</v>
      </c>
      <c r="X56" s="37">
        <f>SUM(X57,X60)</f>
        <v>0</v>
      </c>
      <c r="Y56" s="37">
        <f>SUM(Y57,Y60)</f>
        <v>290200</v>
      </c>
      <c r="Z56" s="37">
        <f>SUM(Z57,Z60)</f>
        <v>0</v>
      </c>
      <c r="AA56" s="37">
        <f>SUM(AA57,AA60)</f>
        <v>290200</v>
      </c>
    </row>
    <row r="57" spans="1:27" s="24" customFormat="1" ht="21" customHeight="1">
      <c r="A57" s="67"/>
      <c r="B57" s="82" t="s">
        <v>81</v>
      </c>
      <c r="C57" s="86"/>
      <c r="D57" s="38" t="s">
        <v>82</v>
      </c>
      <c r="E57" s="81">
        <f aca="true" t="shared" si="33" ref="E57:W57">SUM(E58:E59)</f>
        <v>150000</v>
      </c>
      <c r="F57" s="81">
        <f t="shared" si="33"/>
        <v>0</v>
      </c>
      <c r="G57" s="81">
        <f t="shared" si="33"/>
        <v>150000</v>
      </c>
      <c r="H57" s="81">
        <f t="shared" si="33"/>
        <v>0</v>
      </c>
      <c r="I57" s="81">
        <f t="shared" si="33"/>
        <v>150000</v>
      </c>
      <c r="J57" s="81">
        <f t="shared" si="33"/>
        <v>0</v>
      </c>
      <c r="K57" s="81">
        <f t="shared" si="33"/>
        <v>150000</v>
      </c>
      <c r="L57" s="81">
        <f t="shared" si="33"/>
        <v>0</v>
      </c>
      <c r="M57" s="81">
        <f t="shared" si="33"/>
        <v>150000</v>
      </c>
      <c r="N57" s="81">
        <f t="shared" si="33"/>
        <v>0</v>
      </c>
      <c r="O57" s="81">
        <f t="shared" si="33"/>
        <v>150000</v>
      </c>
      <c r="P57" s="81">
        <f t="shared" si="33"/>
        <v>0</v>
      </c>
      <c r="Q57" s="81">
        <f t="shared" si="33"/>
        <v>150000</v>
      </c>
      <c r="R57" s="81">
        <f t="shared" si="33"/>
        <v>0</v>
      </c>
      <c r="S57" s="81">
        <f t="shared" si="33"/>
        <v>150000</v>
      </c>
      <c r="T57" s="81">
        <f t="shared" si="33"/>
        <v>0</v>
      </c>
      <c r="U57" s="81">
        <f t="shared" si="33"/>
        <v>150000</v>
      </c>
      <c r="V57" s="81">
        <f t="shared" si="33"/>
        <v>0</v>
      </c>
      <c r="W57" s="81">
        <f t="shared" si="33"/>
        <v>150000</v>
      </c>
      <c r="X57" s="81">
        <f>SUM(X58:X59)</f>
        <v>0</v>
      </c>
      <c r="Y57" s="81">
        <f>SUM(Y58:Y59)</f>
        <v>150000</v>
      </c>
      <c r="Z57" s="81">
        <f>SUM(Z58:Z59)</f>
        <v>0</v>
      </c>
      <c r="AA57" s="81">
        <f>SUM(AA58:AA59)</f>
        <v>150000</v>
      </c>
    </row>
    <row r="58" spans="1:30" s="24" customFormat="1" ht="21" customHeight="1">
      <c r="A58" s="67"/>
      <c r="B58" s="82"/>
      <c r="C58" s="86">
        <v>4170</v>
      </c>
      <c r="D58" s="38" t="s">
        <v>190</v>
      </c>
      <c r="E58" s="81">
        <v>20000</v>
      </c>
      <c r="F58" s="81"/>
      <c r="G58" s="81">
        <f>SUM(E58:F58)</f>
        <v>20000</v>
      </c>
      <c r="H58" s="81"/>
      <c r="I58" s="81">
        <f>SUM(G58:H58)</f>
        <v>20000</v>
      </c>
      <c r="J58" s="81"/>
      <c r="K58" s="81">
        <f>SUM(I58:J58)</f>
        <v>20000</v>
      </c>
      <c r="L58" s="81"/>
      <c r="M58" s="81">
        <f>SUM(K58:L58)</f>
        <v>20000</v>
      </c>
      <c r="N58" s="81"/>
      <c r="O58" s="81">
        <f>SUM(M58:N58)</f>
        <v>20000</v>
      </c>
      <c r="P58" s="81"/>
      <c r="Q58" s="81">
        <f>SUM(O58:P58)</f>
        <v>20000</v>
      </c>
      <c r="R58" s="81"/>
      <c r="S58" s="81">
        <f>SUM(Q58:R58)</f>
        <v>20000</v>
      </c>
      <c r="T58" s="81"/>
      <c r="U58" s="81">
        <f>SUM(S58:T58)</f>
        <v>20000</v>
      </c>
      <c r="V58" s="81"/>
      <c r="W58" s="81">
        <f>SUM(U58:V58)</f>
        <v>20000</v>
      </c>
      <c r="X58" s="81"/>
      <c r="Y58" s="81">
        <f>SUM(W58:X58)</f>
        <v>20000</v>
      </c>
      <c r="Z58" s="81"/>
      <c r="AA58" s="81">
        <f>SUM(Y58:Z58)</f>
        <v>20000</v>
      </c>
      <c r="AB58" s="119"/>
      <c r="AC58" s="119"/>
      <c r="AD58" s="119"/>
    </row>
    <row r="59" spans="1:27" s="24" customFormat="1" ht="21" customHeight="1">
      <c r="A59" s="67"/>
      <c r="B59" s="82"/>
      <c r="C59" s="67">
        <v>4300</v>
      </c>
      <c r="D59" s="38" t="s">
        <v>79</v>
      </c>
      <c r="E59" s="81">
        <v>130000</v>
      </c>
      <c r="F59" s="81"/>
      <c r="G59" s="81">
        <f>SUM(E59:F59)</f>
        <v>130000</v>
      </c>
      <c r="H59" s="81"/>
      <c r="I59" s="81">
        <f>SUM(G59:H59)</f>
        <v>130000</v>
      </c>
      <c r="J59" s="81"/>
      <c r="K59" s="81">
        <f>SUM(I59:J59)</f>
        <v>130000</v>
      </c>
      <c r="L59" s="81"/>
      <c r="M59" s="81">
        <f>SUM(K59:L59)</f>
        <v>130000</v>
      </c>
      <c r="N59" s="81"/>
      <c r="O59" s="81">
        <f>SUM(M59:N59)</f>
        <v>130000</v>
      </c>
      <c r="P59" s="81"/>
      <c r="Q59" s="81">
        <f>SUM(O59:P59)</f>
        <v>130000</v>
      </c>
      <c r="R59" s="81"/>
      <c r="S59" s="81">
        <f>SUM(Q59:R59)</f>
        <v>130000</v>
      </c>
      <c r="T59" s="81"/>
      <c r="U59" s="81">
        <f>SUM(S59:T59)</f>
        <v>130000</v>
      </c>
      <c r="V59" s="81"/>
      <c r="W59" s="81">
        <f>SUM(U59:V59)</f>
        <v>130000</v>
      </c>
      <c r="X59" s="81"/>
      <c r="Y59" s="81">
        <f>SUM(W59:X59)</f>
        <v>130000</v>
      </c>
      <c r="Z59" s="81"/>
      <c r="AA59" s="81">
        <f>SUM(Y59:Z59)</f>
        <v>130000</v>
      </c>
    </row>
    <row r="60" spans="1:27" s="24" customFormat="1" ht="21" customHeight="1">
      <c r="A60" s="67"/>
      <c r="B60" s="82">
        <v>71035</v>
      </c>
      <c r="C60" s="67"/>
      <c r="D60" s="38" t="s">
        <v>14</v>
      </c>
      <c r="E60" s="81">
        <f aca="true" t="shared" si="34" ref="E60:W60">SUM(E61:E64)</f>
        <v>120200</v>
      </c>
      <c r="F60" s="81">
        <f t="shared" si="34"/>
        <v>20000</v>
      </c>
      <c r="G60" s="81">
        <f t="shared" si="34"/>
        <v>140200</v>
      </c>
      <c r="H60" s="81">
        <f t="shared" si="34"/>
        <v>0</v>
      </c>
      <c r="I60" s="81">
        <f t="shared" si="34"/>
        <v>140200</v>
      </c>
      <c r="J60" s="81">
        <f t="shared" si="34"/>
        <v>0</v>
      </c>
      <c r="K60" s="81">
        <f t="shared" si="34"/>
        <v>140200</v>
      </c>
      <c r="L60" s="81">
        <f t="shared" si="34"/>
        <v>0</v>
      </c>
      <c r="M60" s="81">
        <f t="shared" si="34"/>
        <v>140200</v>
      </c>
      <c r="N60" s="81">
        <f t="shared" si="34"/>
        <v>0</v>
      </c>
      <c r="O60" s="81">
        <f t="shared" si="34"/>
        <v>140200</v>
      </c>
      <c r="P60" s="81">
        <f t="shared" si="34"/>
        <v>0</v>
      </c>
      <c r="Q60" s="81">
        <f t="shared" si="34"/>
        <v>140200</v>
      </c>
      <c r="R60" s="81">
        <f t="shared" si="34"/>
        <v>0</v>
      </c>
      <c r="S60" s="81">
        <f t="shared" si="34"/>
        <v>140200</v>
      </c>
      <c r="T60" s="81">
        <f t="shared" si="34"/>
        <v>0</v>
      </c>
      <c r="U60" s="81">
        <f t="shared" si="34"/>
        <v>140200</v>
      </c>
      <c r="V60" s="81">
        <f t="shared" si="34"/>
        <v>0</v>
      </c>
      <c r="W60" s="81">
        <f t="shared" si="34"/>
        <v>140200</v>
      </c>
      <c r="X60" s="81">
        <f>SUM(X61:X64)</f>
        <v>0</v>
      </c>
      <c r="Y60" s="81">
        <f>SUM(Y61:Y64)</f>
        <v>140200</v>
      </c>
      <c r="Z60" s="81">
        <f>SUM(Z61:Z64)</f>
        <v>0</v>
      </c>
      <c r="AA60" s="81">
        <f>SUM(AA61:AA64)</f>
        <v>140200</v>
      </c>
    </row>
    <row r="61" spans="1:27" s="24" customFormat="1" ht="21" customHeight="1">
      <c r="A61" s="67"/>
      <c r="B61" s="82"/>
      <c r="C61" s="67">
        <v>4260</v>
      </c>
      <c r="D61" s="38" t="s">
        <v>95</v>
      </c>
      <c r="E61" s="81">
        <f>1000+200</f>
        <v>1200</v>
      </c>
      <c r="F61" s="81"/>
      <c r="G61" s="81">
        <f>SUM(E61:F61)</f>
        <v>1200</v>
      </c>
      <c r="H61" s="81"/>
      <c r="I61" s="81">
        <f>SUM(G61:H61)</f>
        <v>1200</v>
      </c>
      <c r="J61" s="81"/>
      <c r="K61" s="81">
        <f>SUM(I61:J61)</f>
        <v>1200</v>
      </c>
      <c r="L61" s="81"/>
      <c r="M61" s="81">
        <f>SUM(K61:L61)</f>
        <v>1200</v>
      </c>
      <c r="N61" s="81"/>
      <c r="O61" s="81">
        <f>SUM(M61:N61)</f>
        <v>1200</v>
      </c>
      <c r="P61" s="81"/>
      <c r="Q61" s="81">
        <f>SUM(O61:P61)</f>
        <v>1200</v>
      </c>
      <c r="R61" s="81"/>
      <c r="S61" s="81">
        <f>SUM(Q61:R61)</f>
        <v>1200</v>
      </c>
      <c r="T61" s="81"/>
      <c r="U61" s="81">
        <f>SUM(S61:T61)</f>
        <v>1200</v>
      </c>
      <c r="V61" s="81"/>
      <c r="W61" s="81">
        <f>SUM(U61:V61)</f>
        <v>1200</v>
      </c>
      <c r="X61" s="81"/>
      <c r="Y61" s="81">
        <f>SUM(W61:X61)</f>
        <v>1200</v>
      </c>
      <c r="Z61" s="81"/>
      <c r="AA61" s="81">
        <f>SUM(Y61:Z61)</f>
        <v>1200</v>
      </c>
    </row>
    <row r="62" spans="1:27" s="24" customFormat="1" ht="21" customHeight="1">
      <c r="A62" s="67"/>
      <c r="B62" s="82"/>
      <c r="C62" s="67">
        <v>4270</v>
      </c>
      <c r="D62" s="38" t="s">
        <v>78</v>
      </c>
      <c r="E62" s="81">
        <v>100000</v>
      </c>
      <c r="F62" s="81"/>
      <c r="G62" s="81">
        <f>SUM(E62:F62)</f>
        <v>100000</v>
      </c>
      <c r="H62" s="81"/>
      <c r="I62" s="81">
        <f>SUM(G62:H62)</f>
        <v>100000</v>
      </c>
      <c r="J62" s="81"/>
      <c r="K62" s="81">
        <f>SUM(I62:J62)</f>
        <v>100000</v>
      </c>
      <c r="L62" s="81"/>
      <c r="M62" s="81">
        <f>SUM(K62:L62)</f>
        <v>100000</v>
      </c>
      <c r="N62" s="81"/>
      <c r="O62" s="81">
        <f>SUM(M62:N62)</f>
        <v>100000</v>
      </c>
      <c r="P62" s="81"/>
      <c r="Q62" s="81">
        <f>SUM(O62:P62)</f>
        <v>100000</v>
      </c>
      <c r="R62" s="81"/>
      <c r="S62" s="81">
        <f>SUM(Q62:R62)</f>
        <v>100000</v>
      </c>
      <c r="T62" s="81"/>
      <c r="U62" s="81">
        <f>SUM(S62:T62)</f>
        <v>100000</v>
      </c>
      <c r="V62" s="81"/>
      <c r="W62" s="81">
        <f>SUM(U62:V62)</f>
        <v>100000</v>
      </c>
      <c r="X62" s="81"/>
      <c r="Y62" s="81">
        <f>SUM(W62:X62)</f>
        <v>100000</v>
      </c>
      <c r="Z62" s="81"/>
      <c r="AA62" s="81">
        <f>SUM(Y62:Z62)</f>
        <v>100000</v>
      </c>
    </row>
    <row r="63" spans="1:27" s="24" customFormat="1" ht="21" customHeight="1">
      <c r="A63" s="67"/>
      <c r="B63" s="82"/>
      <c r="C63" s="67">
        <v>4300</v>
      </c>
      <c r="D63" s="38" t="s">
        <v>79</v>
      </c>
      <c r="E63" s="81">
        <v>19000</v>
      </c>
      <c r="F63" s="81"/>
      <c r="G63" s="81">
        <f>SUM(E63:F63)</f>
        <v>19000</v>
      </c>
      <c r="H63" s="81"/>
      <c r="I63" s="81">
        <f>SUM(G63:H63)</f>
        <v>19000</v>
      </c>
      <c r="J63" s="81"/>
      <c r="K63" s="81">
        <f>SUM(I63:J63)</f>
        <v>19000</v>
      </c>
      <c r="L63" s="81"/>
      <c r="M63" s="81">
        <f>SUM(K63:L63)</f>
        <v>19000</v>
      </c>
      <c r="N63" s="81"/>
      <c r="O63" s="81">
        <f>SUM(M63:N63)</f>
        <v>19000</v>
      </c>
      <c r="P63" s="81"/>
      <c r="Q63" s="81">
        <f>SUM(O63:P63)</f>
        <v>19000</v>
      </c>
      <c r="R63" s="81"/>
      <c r="S63" s="81">
        <f>SUM(Q63:R63)</f>
        <v>19000</v>
      </c>
      <c r="T63" s="81"/>
      <c r="U63" s="81">
        <f>SUM(S63:T63)</f>
        <v>19000</v>
      </c>
      <c r="V63" s="81"/>
      <c r="W63" s="81">
        <f>SUM(U63:V63)</f>
        <v>19000</v>
      </c>
      <c r="X63" s="81"/>
      <c r="Y63" s="81">
        <f>SUM(W63:X63)</f>
        <v>19000</v>
      </c>
      <c r="Z63" s="81"/>
      <c r="AA63" s="81">
        <f>SUM(Y63:Z63)</f>
        <v>19000</v>
      </c>
    </row>
    <row r="64" spans="1:27" s="24" customFormat="1" ht="24">
      <c r="A64" s="67"/>
      <c r="B64" s="82"/>
      <c r="C64" s="67">
        <v>6050</v>
      </c>
      <c r="D64" s="38" t="s">
        <v>73</v>
      </c>
      <c r="E64" s="81">
        <v>0</v>
      </c>
      <c r="F64" s="81">
        <v>20000</v>
      </c>
      <c r="G64" s="81">
        <f>SUM(E64:F64)</f>
        <v>20000</v>
      </c>
      <c r="H64" s="81"/>
      <c r="I64" s="81">
        <f>SUM(G64:H64)</f>
        <v>20000</v>
      </c>
      <c r="J64" s="81"/>
      <c r="K64" s="81">
        <f>SUM(I64:J64)</f>
        <v>20000</v>
      </c>
      <c r="L64" s="81"/>
      <c r="M64" s="81">
        <f>SUM(K64:L64)</f>
        <v>20000</v>
      </c>
      <c r="N64" s="81"/>
      <c r="O64" s="81">
        <f>SUM(M64:N64)</f>
        <v>20000</v>
      </c>
      <c r="P64" s="81"/>
      <c r="Q64" s="81">
        <f>SUM(O64:P64)</f>
        <v>20000</v>
      </c>
      <c r="R64" s="81"/>
      <c r="S64" s="81">
        <f>SUM(Q64:R64)</f>
        <v>20000</v>
      </c>
      <c r="T64" s="81"/>
      <c r="U64" s="81">
        <f>SUM(S64:T64)</f>
        <v>20000</v>
      </c>
      <c r="V64" s="81"/>
      <c r="W64" s="81">
        <f>SUM(U64:V64)</f>
        <v>20000</v>
      </c>
      <c r="X64" s="81"/>
      <c r="Y64" s="81">
        <f>SUM(W64:X64)</f>
        <v>20000</v>
      </c>
      <c r="Z64" s="81"/>
      <c r="AA64" s="81">
        <f>SUM(Y64:Z64)</f>
        <v>20000</v>
      </c>
    </row>
    <row r="65" spans="1:27" s="6" customFormat="1" ht="21" customHeight="1">
      <c r="A65" s="33" t="s">
        <v>15</v>
      </c>
      <c r="B65" s="34"/>
      <c r="C65" s="35"/>
      <c r="D65" s="36" t="s">
        <v>83</v>
      </c>
      <c r="E65" s="37">
        <f aca="true" t="shared" si="35" ref="E65:X65">SUM(E66,E81,E92,E125,E138,)</f>
        <v>6136665</v>
      </c>
      <c r="F65" s="37">
        <f t="shared" si="35"/>
        <v>-414000</v>
      </c>
      <c r="G65" s="37">
        <f t="shared" si="35"/>
        <v>5722665</v>
      </c>
      <c r="H65" s="37">
        <f t="shared" si="35"/>
        <v>0</v>
      </c>
      <c r="I65" s="37">
        <f t="shared" si="35"/>
        <v>5722665</v>
      </c>
      <c r="J65" s="37">
        <f t="shared" si="35"/>
        <v>0</v>
      </c>
      <c r="K65" s="37">
        <f t="shared" si="35"/>
        <v>5722665</v>
      </c>
      <c r="L65" s="37">
        <f t="shared" si="35"/>
        <v>5711</v>
      </c>
      <c r="M65" s="37">
        <f t="shared" si="35"/>
        <v>5728376</v>
      </c>
      <c r="N65" s="37">
        <f t="shared" si="35"/>
        <v>0</v>
      </c>
      <c r="O65" s="37">
        <f t="shared" si="35"/>
        <v>5728376</v>
      </c>
      <c r="P65" s="37">
        <f t="shared" si="35"/>
        <v>0</v>
      </c>
      <c r="Q65" s="37">
        <f t="shared" si="35"/>
        <v>5728376</v>
      </c>
      <c r="R65" s="37">
        <f t="shared" si="35"/>
        <v>9000</v>
      </c>
      <c r="S65" s="37">
        <f t="shared" si="35"/>
        <v>5737376</v>
      </c>
      <c r="T65" s="37">
        <f t="shared" si="35"/>
        <v>0</v>
      </c>
      <c r="U65" s="37">
        <f t="shared" si="35"/>
        <v>5737376</v>
      </c>
      <c r="V65" s="37">
        <f t="shared" si="35"/>
        <v>0</v>
      </c>
      <c r="W65" s="37">
        <f t="shared" si="35"/>
        <v>5737376</v>
      </c>
      <c r="X65" s="37">
        <f t="shared" si="35"/>
        <v>0</v>
      </c>
      <c r="Y65" s="37">
        <f>SUM(Y66,Y81,Y92,Y125,Y138,Y117)</f>
        <v>5737376</v>
      </c>
      <c r="Z65" s="37">
        <f>SUM(Z66,Z81,Z92,Z125,Z138,Z117)</f>
        <v>41179</v>
      </c>
      <c r="AA65" s="37">
        <f>SUM(AA66,AA81,AA92,AA125,AA138,AA117)</f>
        <v>5778555</v>
      </c>
    </row>
    <row r="66" spans="1:27" s="24" customFormat="1" ht="21" customHeight="1">
      <c r="A66" s="67"/>
      <c r="B66" s="82">
        <v>75011</v>
      </c>
      <c r="C66" s="86"/>
      <c r="D66" s="38" t="s">
        <v>17</v>
      </c>
      <c r="E66" s="81">
        <f aca="true" t="shared" si="36" ref="E66:W66">SUM(E67:E80)</f>
        <v>411600</v>
      </c>
      <c r="F66" s="81">
        <f t="shared" si="36"/>
        <v>0</v>
      </c>
      <c r="G66" s="81">
        <f t="shared" si="36"/>
        <v>411600</v>
      </c>
      <c r="H66" s="81">
        <f t="shared" si="36"/>
        <v>0</v>
      </c>
      <c r="I66" s="81">
        <f t="shared" si="36"/>
        <v>411600</v>
      </c>
      <c r="J66" s="81">
        <f t="shared" si="36"/>
        <v>0</v>
      </c>
      <c r="K66" s="81">
        <f t="shared" si="36"/>
        <v>411600</v>
      </c>
      <c r="L66" s="81">
        <f t="shared" si="36"/>
        <v>-10000</v>
      </c>
      <c r="M66" s="81">
        <f t="shared" si="36"/>
        <v>401600</v>
      </c>
      <c r="N66" s="81">
        <f t="shared" si="36"/>
        <v>0</v>
      </c>
      <c r="O66" s="81">
        <f t="shared" si="36"/>
        <v>401600</v>
      </c>
      <c r="P66" s="81">
        <f t="shared" si="36"/>
        <v>0</v>
      </c>
      <c r="Q66" s="81">
        <f t="shared" si="36"/>
        <v>401600</v>
      </c>
      <c r="R66" s="81">
        <f t="shared" si="36"/>
        <v>0</v>
      </c>
      <c r="S66" s="81">
        <f t="shared" si="36"/>
        <v>401600</v>
      </c>
      <c r="T66" s="81">
        <f t="shared" si="36"/>
        <v>0</v>
      </c>
      <c r="U66" s="81">
        <f t="shared" si="36"/>
        <v>401600</v>
      </c>
      <c r="V66" s="81">
        <f t="shared" si="36"/>
        <v>0</v>
      </c>
      <c r="W66" s="81">
        <f t="shared" si="36"/>
        <v>401600</v>
      </c>
      <c r="X66" s="81">
        <f>SUM(X67:X80)</f>
        <v>0</v>
      </c>
      <c r="Y66" s="81">
        <f>SUM(Y67:Y80)</f>
        <v>401600</v>
      </c>
      <c r="Z66" s="81">
        <f>SUM(Z67:Z80)</f>
        <v>0</v>
      </c>
      <c r="AA66" s="81">
        <f>SUM(AA67:AA80)</f>
        <v>401600</v>
      </c>
    </row>
    <row r="67" spans="1:27" s="24" customFormat="1" ht="24">
      <c r="A67" s="67"/>
      <c r="B67" s="82"/>
      <c r="C67" s="86">
        <v>3020</v>
      </c>
      <c r="D67" s="38" t="s">
        <v>188</v>
      </c>
      <c r="E67" s="81">
        <v>2000</v>
      </c>
      <c r="F67" s="81"/>
      <c r="G67" s="81">
        <f>SUM(E67:F67)</f>
        <v>2000</v>
      </c>
      <c r="H67" s="81"/>
      <c r="I67" s="81">
        <f>SUM(G67:H67)</f>
        <v>2000</v>
      </c>
      <c r="J67" s="81"/>
      <c r="K67" s="81">
        <f>SUM(I67:J67)</f>
        <v>2000</v>
      </c>
      <c r="L67" s="81"/>
      <c r="M67" s="81">
        <f>SUM(K67:L67)</f>
        <v>2000</v>
      </c>
      <c r="N67" s="81"/>
      <c r="O67" s="81">
        <f>SUM(M67:N67)</f>
        <v>2000</v>
      </c>
      <c r="P67" s="81"/>
      <c r="Q67" s="81">
        <f>SUM(O67:P67)</f>
        <v>2000</v>
      </c>
      <c r="R67" s="81"/>
      <c r="S67" s="81">
        <f>SUM(Q67:R67)</f>
        <v>2000</v>
      </c>
      <c r="T67" s="81"/>
      <c r="U67" s="81">
        <f>SUM(S67:T67)</f>
        <v>2000</v>
      </c>
      <c r="V67" s="81"/>
      <c r="W67" s="81">
        <f>SUM(U67:V67)</f>
        <v>2000</v>
      </c>
      <c r="X67" s="81"/>
      <c r="Y67" s="81">
        <f>SUM(W67:X67)</f>
        <v>2000</v>
      </c>
      <c r="Z67" s="81"/>
      <c r="AA67" s="81">
        <f>SUM(Y67:Z67)</f>
        <v>2000</v>
      </c>
    </row>
    <row r="68" spans="1:30" s="24" customFormat="1" ht="21" customHeight="1">
      <c r="A68" s="67"/>
      <c r="B68" s="87"/>
      <c r="C68" s="67">
        <v>4010</v>
      </c>
      <c r="D68" s="38" t="s">
        <v>84</v>
      </c>
      <c r="E68" s="81">
        <v>294200</v>
      </c>
      <c r="F68" s="81"/>
      <c r="G68" s="81">
        <f aca="true" t="shared" si="37" ref="G68:G80">SUM(E68:F68)</f>
        <v>294200</v>
      </c>
      <c r="H68" s="81"/>
      <c r="I68" s="81">
        <f aca="true" t="shared" si="38" ref="I68:I80">SUM(G68:H68)</f>
        <v>294200</v>
      </c>
      <c r="J68" s="81"/>
      <c r="K68" s="81">
        <f aca="true" t="shared" si="39" ref="K68:K80">SUM(I68:J68)</f>
        <v>294200</v>
      </c>
      <c r="L68" s="81">
        <f>1657-10000</f>
        <v>-8343</v>
      </c>
      <c r="M68" s="81">
        <f aca="true" t="shared" si="40" ref="M68:M80">SUM(K68:L68)</f>
        <v>285857</v>
      </c>
      <c r="N68" s="81"/>
      <c r="O68" s="81">
        <f aca="true" t="shared" si="41" ref="O68:O80">SUM(M68:N68)</f>
        <v>285857</v>
      </c>
      <c r="P68" s="81"/>
      <c r="Q68" s="81">
        <f aca="true" t="shared" si="42" ref="Q68:Q80">SUM(O68:P68)</f>
        <v>285857</v>
      </c>
      <c r="R68" s="81"/>
      <c r="S68" s="81">
        <f aca="true" t="shared" si="43" ref="S68:S80">SUM(Q68:R68)</f>
        <v>285857</v>
      </c>
      <c r="T68" s="81"/>
      <c r="U68" s="81">
        <f aca="true" t="shared" si="44" ref="U68:U80">SUM(S68:T68)</f>
        <v>285857</v>
      </c>
      <c r="V68" s="81"/>
      <c r="W68" s="81">
        <f aca="true" t="shared" si="45" ref="W68:W80">SUM(U68:V68)</f>
        <v>285857</v>
      </c>
      <c r="X68" s="81"/>
      <c r="Y68" s="81">
        <f aca="true" t="shared" si="46" ref="Y68:Y80">SUM(W68:X68)</f>
        <v>285857</v>
      </c>
      <c r="Z68" s="81"/>
      <c r="AA68" s="81">
        <f aca="true" t="shared" si="47" ref="AA68:AA80">SUM(Y68:Z68)</f>
        <v>285857</v>
      </c>
      <c r="AB68" s="119"/>
      <c r="AC68" s="119"/>
      <c r="AD68" s="119"/>
    </row>
    <row r="69" spans="1:30" s="24" customFormat="1" ht="21" customHeight="1">
      <c r="A69" s="67"/>
      <c r="B69" s="87"/>
      <c r="C69" s="67">
        <v>4040</v>
      </c>
      <c r="D69" s="38" t="s">
        <v>85</v>
      </c>
      <c r="E69" s="81">
        <v>22400</v>
      </c>
      <c r="F69" s="81"/>
      <c r="G69" s="81">
        <f t="shared" si="37"/>
        <v>22400</v>
      </c>
      <c r="H69" s="81"/>
      <c r="I69" s="81">
        <f t="shared" si="38"/>
        <v>22400</v>
      </c>
      <c r="J69" s="81"/>
      <c r="K69" s="81">
        <f t="shared" si="39"/>
        <v>22400</v>
      </c>
      <c r="L69" s="81">
        <v>-2312</v>
      </c>
      <c r="M69" s="81">
        <f t="shared" si="40"/>
        <v>20088</v>
      </c>
      <c r="N69" s="81"/>
      <c r="O69" s="81">
        <f t="shared" si="41"/>
        <v>20088</v>
      </c>
      <c r="P69" s="81"/>
      <c r="Q69" s="81">
        <f t="shared" si="42"/>
        <v>20088</v>
      </c>
      <c r="R69" s="81"/>
      <c r="S69" s="81">
        <f t="shared" si="43"/>
        <v>20088</v>
      </c>
      <c r="T69" s="81"/>
      <c r="U69" s="81">
        <f t="shared" si="44"/>
        <v>20088</v>
      </c>
      <c r="V69" s="81"/>
      <c r="W69" s="81">
        <f t="shared" si="45"/>
        <v>20088</v>
      </c>
      <c r="X69" s="81"/>
      <c r="Y69" s="81">
        <f t="shared" si="46"/>
        <v>20088</v>
      </c>
      <c r="Z69" s="81"/>
      <c r="AA69" s="81">
        <f t="shared" si="47"/>
        <v>20088</v>
      </c>
      <c r="AB69" s="119"/>
      <c r="AC69" s="119"/>
      <c r="AD69" s="119"/>
    </row>
    <row r="70" spans="1:30" s="24" customFormat="1" ht="21" customHeight="1">
      <c r="A70" s="67"/>
      <c r="B70" s="87"/>
      <c r="C70" s="67">
        <v>4110</v>
      </c>
      <c r="D70" s="38" t="s">
        <v>86</v>
      </c>
      <c r="E70" s="81">
        <v>48100</v>
      </c>
      <c r="F70" s="81"/>
      <c r="G70" s="81">
        <f t="shared" si="37"/>
        <v>48100</v>
      </c>
      <c r="H70" s="81"/>
      <c r="I70" s="81">
        <f t="shared" si="38"/>
        <v>48100</v>
      </c>
      <c r="J70" s="81"/>
      <c r="K70" s="81">
        <f t="shared" si="39"/>
        <v>48100</v>
      </c>
      <c r="L70" s="81"/>
      <c r="M70" s="81">
        <f t="shared" si="40"/>
        <v>48100</v>
      </c>
      <c r="N70" s="81"/>
      <c r="O70" s="81">
        <f t="shared" si="41"/>
        <v>48100</v>
      </c>
      <c r="P70" s="81"/>
      <c r="Q70" s="81">
        <f t="shared" si="42"/>
        <v>48100</v>
      </c>
      <c r="R70" s="81"/>
      <c r="S70" s="81">
        <f t="shared" si="43"/>
        <v>48100</v>
      </c>
      <c r="T70" s="81"/>
      <c r="U70" s="81">
        <f t="shared" si="44"/>
        <v>48100</v>
      </c>
      <c r="V70" s="81"/>
      <c r="W70" s="81">
        <f t="shared" si="45"/>
        <v>48100</v>
      </c>
      <c r="X70" s="81"/>
      <c r="Y70" s="81">
        <f t="shared" si="46"/>
        <v>48100</v>
      </c>
      <c r="Z70" s="81"/>
      <c r="AA70" s="81">
        <f t="shared" si="47"/>
        <v>48100</v>
      </c>
      <c r="AB70" s="119"/>
      <c r="AC70" s="119"/>
      <c r="AD70" s="119"/>
    </row>
    <row r="71" spans="1:30" s="24" customFormat="1" ht="21" customHeight="1">
      <c r="A71" s="67"/>
      <c r="B71" s="87"/>
      <c r="C71" s="67">
        <v>4120</v>
      </c>
      <c r="D71" s="38" t="s">
        <v>87</v>
      </c>
      <c r="E71" s="81">
        <v>7800</v>
      </c>
      <c r="F71" s="81"/>
      <c r="G71" s="81">
        <f t="shared" si="37"/>
        <v>7800</v>
      </c>
      <c r="H71" s="81"/>
      <c r="I71" s="81">
        <f t="shared" si="38"/>
        <v>7800</v>
      </c>
      <c r="J71" s="81"/>
      <c r="K71" s="81">
        <f t="shared" si="39"/>
        <v>7800</v>
      </c>
      <c r="L71" s="81"/>
      <c r="M71" s="81">
        <f t="shared" si="40"/>
        <v>7800</v>
      </c>
      <c r="N71" s="81"/>
      <c r="O71" s="81">
        <f t="shared" si="41"/>
        <v>7800</v>
      </c>
      <c r="P71" s="81"/>
      <c r="Q71" s="81">
        <f t="shared" si="42"/>
        <v>7800</v>
      </c>
      <c r="R71" s="81"/>
      <c r="S71" s="81">
        <f t="shared" si="43"/>
        <v>7800</v>
      </c>
      <c r="T71" s="81"/>
      <c r="U71" s="81">
        <f t="shared" si="44"/>
        <v>7800</v>
      </c>
      <c r="V71" s="81"/>
      <c r="W71" s="81">
        <f t="shared" si="45"/>
        <v>7800</v>
      </c>
      <c r="X71" s="81"/>
      <c r="Y71" s="81">
        <f t="shared" si="46"/>
        <v>7800</v>
      </c>
      <c r="Z71" s="81"/>
      <c r="AA71" s="81">
        <f t="shared" si="47"/>
        <v>7800</v>
      </c>
      <c r="AB71" s="119"/>
      <c r="AC71" s="119"/>
      <c r="AD71" s="119"/>
    </row>
    <row r="72" spans="1:27" s="24" customFormat="1" ht="21" customHeight="1">
      <c r="A72" s="67"/>
      <c r="B72" s="87"/>
      <c r="C72" s="67">
        <v>4210</v>
      </c>
      <c r="D72" s="38" t="s">
        <v>92</v>
      </c>
      <c r="E72" s="81">
        <v>11000</v>
      </c>
      <c r="F72" s="81"/>
      <c r="G72" s="81">
        <f t="shared" si="37"/>
        <v>11000</v>
      </c>
      <c r="H72" s="81"/>
      <c r="I72" s="81">
        <f t="shared" si="38"/>
        <v>11000</v>
      </c>
      <c r="J72" s="81"/>
      <c r="K72" s="81">
        <f t="shared" si="39"/>
        <v>11000</v>
      </c>
      <c r="L72" s="81"/>
      <c r="M72" s="81">
        <f t="shared" si="40"/>
        <v>11000</v>
      </c>
      <c r="N72" s="81"/>
      <c r="O72" s="81">
        <f t="shared" si="41"/>
        <v>11000</v>
      </c>
      <c r="P72" s="81"/>
      <c r="Q72" s="81">
        <f t="shared" si="42"/>
        <v>11000</v>
      </c>
      <c r="R72" s="81"/>
      <c r="S72" s="81">
        <f t="shared" si="43"/>
        <v>11000</v>
      </c>
      <c r="T72" s="81"/>
      <c r="U72" s="81">
        <f t="shared" si="44"/>
        <v>11000</v>
      </c>
      <c r="V72" s="81"/>
      <c r="W72" s="81">
        <f t="shared" si="45"/>
        <v>11000</v>
      </c>
      <c r="X72" s="81"/>
      <c r="Y72" s="81">
        <f t="shared" si="46"/>
        <v>11000</v>
      </c>
      <c r="Z72" s="81"/>
      <c r="AA72" s="81">
        <f t="shared" si="47"/>
        <v>11000</v>
      </c>
    </row>
    <row r="73" spans="1:27" s="24" customFormat="1" ht="21" customHeight="1">
      <c r="A73" s="67"/>
      <c r="B73" s="87"/>
      <c r="C73" s="67">
        <v>4280</v>
      </c>
      <c r="D73" s="38" t="s">
        <v>217</v>
      </c>
      <c r="E73" s="81">
        <v>1000</v>
      </c>
      <c r="F73" s="81"/>
      <c r="G73" s="81">
        <f t="shared" si="37"/>
        <v>1000</v>
      </c>
      <c r="H73" s="81"/>
      <c r="I73" s="81">
        <f t="shared" si="38"/>
        <v>1000</v>
      </c>
      <c r="J73" s="81"/>
      <c r="K73" s="81">
        <f t="shared" si="39"/>
        <v>1000</v>
      </c>
      <c r="L73" s="81"/>
      <c r="M73" s="81">
        <f t="shared" si="40"/>
        <v>1000</v>
      </c>
      <c r="N73" s="81"/>
      <c r="O73" s="81">
        <f t="shared" si="41"/>
        <v>1000</v>
      </c>
      <c r="P73" s="81"/>
      <c r="Q73" s="81">
        <f t="shared" si="42"/>
        <v>1000</v>
      </c>
      <c r="R73" s="81"/>
      <c r="S73" s="81">
        <f t="shared" si="43"/>
        <v>1000</v>
      </c>
      <c r="T73" s="81"/>
      <c r="U73" s="81">
        <f t="shared" si="44"/>
        <v>1000</v>
      </c>
      <c r="V73" s="81"/>
      <c r="W73" s="81">
        <f t="shared" si="45"/>
        <v>1000</v>
      </c>
      <c r="X73" s="81"/>
      <c r="Y73" s="81">
        <f t="shared" si="46"/>
        <v>1000</v>
      </c>
      <c r="Z73" s="81"/>
      <c r="AA73" s="81">
        <f t="shared" si="47"/>
        <v>1000</v>
      </c>
    </row>
    <row r="74" spans="1:27" s="24" customFormat="1" ht="21" customHeight="1">
      <c r="A74" s="67"/>
      <c r="B74" s="87"/>
      <c r="C74" s="67">
        <v>4300</v>
      </c>
      <c r="D74" s="38" t="s">
        <v>79</v>
      </c>
      <c r="E74" s="81">
        <v>6800</v>
      </c>
      <c r="F74" s="81"/>
      <c r="G74" s="81">
        <f t="shared" si="37"/>
        <v>6800</v>
      </c>
      <c r="H74" s="81"/>
      <c r="I74" s="81">
        <f t="shared" si="38"/>
        <v>6800</v>
      </c>
      <c r="J74" s="81"/>
      <c r="K74" s="81">
        <f t="shared" si="39"/>
        <v>6800</v>
      </c>
      <c r="L74" s="81"/>
      <c r="M74" s="81">
        <f t="shared" si="40"/>
        <v>6800</v>
      </c>
      <c r="N74" s="81"/>
      <c r="O74" s="81">
        <f t="shared" si="41"/>
        <v>6800</v>
      </c>
      <c r="P74" s="81"/>
      <c r="Q74" s="81">
        <f t="shared" si="42"/>
        <v>6800</v>
      </c>
      <c r="R74" s="81"/>
      <c r="S74" s="81">
        <f t="shared" si="43"/>
        <v>6800</v>
      </c>
      <c r="T74" s="81"/>
      <c r="U74" s="81">
        <f t="shared" si="44"/>
        <v>6800</v>
      </c>
      <c r="V74" s="81"/>
      <c r="W74" s="81">
        <f t="shared" si="45"/>
        <v>6800</v>
      </c>
      <c r="X74" s="81"/>
      <c r="Y74" s="81">
        <f t="shared" si="46"/>
        <v>6800</v>
      </c>
      <c r="Z74" s="81"/>
      <c r="AA74" s="81">
        <f t="shared" si="47"/>
        <v>6800</v>
      </c>
    </row>
    <row r="75" spans="1:27" s="24" customFormat="1" ht="21" customHeight="1">
      <c r="A75" s="67"/>
      <c r="B75" s="87"/>
      <c r="C75" s="67">
        <v>4410</v>
      </c>
      <c r="D75" s="38" t="s">
        <v>90</v>
      </c>
      <c r="E75" s="81">
        <v>1000</v>
      </c>
      <c r="F75" s="81"/>
      <c r="G75" s="81">
        <f t="shared" si="37"/>
        <v>1000</v>
      </c>
      <c r="H75" s="81"/>
      <c r="I75" s="81">
        <f t="shared" si="38"/>
        <v>1000</v>
      </c>
      <c r="J75" s="81"/>
      <c r="K75" s="81">
        <f t="shared" si="39"/>
        <v>1000</v>
      </c>
      <c r="L75" s="81"/>
      <c r="M75" s="81">
        <f t="shared" si="40"/>
        <v>1000</v>
      </c>
      <c r="N75" s="81"/>
      <c r="O75" s="81">
        <f t="shared" si="41"/>
        <v>1000</v>
      </c>
      <c r="P75" s="81"/>
      <c r="Q75" s="81">
        <f t="shared" si="42"/>
        <v>1000</v>
      </c>
      <c r="R75" s="81"/>
      <c r="S75" s="81">
        <f t="shared" si="43"/>
        <v>1000</v>
      </c>
      <c r="T75" s="81"/>
      <c r="U75" s="81">
        <f t="shared" si="44"/>
        <v>1000</v>
      </c>
      <c r="V75" s="81"/>
      <c r="W75" s="81">
        <f t="shared" si="45"/>
        <v>1000</v>
      </c>
      <c r="X75" s="81"/>
      <c r="Y75" s="81">
        <f t="shared" si="46"/>
        <v>1000</v>
      </c>
      <c r="Z75" s="81"/>
      <c r="AA75" s="81">
        <f t="shared" si="47"/>
        <v>1000</v>
      </c>
    </row>
    <row r="76" spans="1:27" s="24" customFormat="1" ht="21" customHeight="1">
      <c r="A76" s="67"/>
      <c r="B76" s="87"/>
      <c r="C76" s="67">
        <v>4430</v>
      </c>
      <c r="D76" s="38" t="s">
        <v>94</v>
      </c>
      <c r="E76" s="81">
        <v>3000</v>
      </c>
      <c r="F76" s="81"/>
      <c r="G76" s="81">
        <f t="shared" si="37"/>
        <v>3000</v>
      </c>
      <c r="H76" s="81"/>
      <c r="I76" s="81">
        <f t="shared" si="38"/>
        <v>3000</v>
      </c>
      <c r="J76" s="81"/>
      <c r="K76" s="81">
        <f t="shared" si="39"/>
        <v>3000</v>
      </c>
      <c r="L76" s="81"/>
      <c r="M76" s="81">
        <f t="shared" si="40"/>
        <v>3000</v>
      </c>
      <c r="N76" s="81"/>
      <c r="O76" s="81">
        <f t="shared" si="41"/>
        <v>3000</v>
      </c>
      <c r="P76" s="81"/>
      <c r="Q76" s="81">
        <f t="shared" si="42"/>
        <v>3000</v>
      </c>
      <c r="R76" s="81"/>
      <c r="S76" s="81">
        <f t="shared" si="43"/>
        <v>3000</v>
      </c>
      <c r="T76" s="81"/>
      <c r="U76" s="81">
        <f t="shared" si="44"/>
        <v>3000</v>
      </c>
      <c r="V76" s="81"/>
      <c r="W76" s="81">
        <f t="shared" si="45"/>
        <v>3000</v>
      </c>
      <c r="X76" s="81"/>
      <c r="Y76" s="81">
        <f t="shared" si="46"/>
        <v>3000</v>
      </c>
      <c r="Z76" s="81"/>
      <c r="AA76" s="81">
        <f t="shared" si="47"/>
        <v>3000</v>
      </c>
    </row>
    <row r="77" spans="1:27" s="24" customFormat="1" ht="24">
      <c r="A77" s="67"/>
      <c r="B77" s="87"/>
      <c r="C77" s="70">
        <v>4440</v>
      </c>
      <c r="D77" s="38" t="s">
        <v>88</v>
      </c>
      <c r="E77" s="81">
        <v>9300</v>
      </c>
      <c r="F77" s="81"/>
      <c r="G77" s="81">
        <f t="shared" si="37"/>
        <v>9300</v>
      </c>
      <c r="H77" s="81"/>
      <c r="I77" s="81">
        <f t="shared" si="38"/>
        <v>9300</v>
      </c>
      <c r="J77" s="81"/>
      <c r="K77" s="81">
        <f t="shared" si="39"/>
        <v>9300</v>
      </c>
      <c r="L77" s="81">
        <v>655</v>
      </c>
      <c r="M77" s="81">
        <f t="shared" si="40"/>
        <v>9955</v>
      </c>
      <c r="N77" s="81"/>
      <c r="O77" s="81">
        <f t="shared" si="41"/>
        <v>9955</v>
      </c>
      <c r="P77" s="81"/>
      <c r="Q77" s="81">
        <f t="shared" si="42"/>
        <v>9955</v>
      </c>
      <c r="R77" s="81"/>
      <c r="S77" s="81">
        <f t="shared" si="43"/>
        <v>9955</v>
      </c>
      <c r="T77" s="81"/>
      <c r="U77" s="81">
        <f t="shared" si="44"/>
        <v>9955</v>
      </c>
      <c r="V77" s="81"/>
      <c r="W77" s="81">
        <f t="shared" si="45"/>
        <v>9955</v>
      </c>
      <c r="X77" s="81"/>
      <c r="Y77" s="81">
        <f t="shared" si="46"/>
        <v>9955</v>
      </c>
      <c r="Z77" s="81"/>
      <c r="AA77" s="81">
        <f t="shared" si="47"/>
        <v>9955</v>
      </c>
    </row>
    <row r="78" spans="1:27" s="24" customFormat="1" ht="27.75" customHeight="1">
      <c r="A78" s="67"/>
      <c r="B78" s="87"/>
      <c r="C78" s="70">
        <v>4700</v>
      </c>
      <c r="D78" s="38" t="s">
        <v>249</v>
      </c>
      <c r="E78" s="81">
        <v>2000</v>
      </c>
      <c r="F78" s="81"/>
      <c r="G78" s="81">
        <f t="shared" si="37"/>
        <v>2000</v>
      </c>
      <c r="H78" s="81"/>
      <c r="I78" s="81">
        <f t="shared" si="38"/>
        <v>2000</v>
      </c>
      <c r="J78" s="81"/>
      <c r="K78" s="81">
        <f t="shared" si="39"/>
        <v>2000</v>
      </c>
      <c r="L78" s="81"/>
      <c r="M78" s="81">
        <f t="shared" si="40"/>
        <v>2000</v>
      </c>
      <c r="N78" s="81"/>
      <c r="O78" s="81">
        <f t="shared" si="41"/>
        <v>2000</v>
      </c>
      <c r="P78" s="81"/>
      <c r="Q78" s="81">
        <f t="shared" si="42"/>
        <v>2000</v>
      </c>
      <c r="R78" s="81"/>
      <c r="S78" s="81">
        <f t="shared" si="43"/>
        <v>2000</v>
      </c>
      <c r="T78" s="81"/>
      <c r="U78" s="81">
        <f t="shared" si="44"/>
        <v>2000</v>
      </c>
      <c r="V78" s="81"/>
      <c r="W78" s="81">
        <f t="shared" si="45"/>
        <v>2000</v>
      </c>
      <c r="X78" s="81"/>
      <c r="Y78" s="81">
        <f t="shared" si="46"/>
        <v>2000</v>
      </c>
      <c r="Z78" s="81"/>
      <c r="AA78" s="81">
        <f t="shared" si="47"/>
        <v>2000</v>
      </c>
    </row>
    <row r="79" spans="1:27" s="24" customFormat="1" ht="24">
      <c r="A79" s="67"/>
      <c r="B79" s="87"/>
      <c r="C79" s="70">
        <v>4740</v>
      </c>
      <c r="D79" s="38" t="s">
        <v>267</v>
      </c>
      <c r="E79" s="81">
        <v>1000</v>
      </c>
      <c r="F79" s="81"/>
      <c r="G79" s="81">
        <f t="shared" si="37"/>
        <v>1000</v>
      </c>
      <c r="H79" s="81"/>
      <c r="I79" s="81">
        <f t="shared" si="38"/>
        <v>1000</v>
      </c>
      <c r="J79" s="81"/>
      <c r="K79" s="81">
        <f t="shared" si="39"/>
        <v>1000</v>
      </c>
      <c r="L79" s="81"/>
      <c r="M79" s="81">
        <f t="shared" si="40"/>
        <v>1000</v>
      </c>
      <c r="N79" s="81"/>
      <c r="O79" s="81">
        <f t="shared" si="41"/>
        <v>1000</v>
      </c>
      <c r="P79" s="81"/>
      <c r="Q79" s="81">
        <f t="shared" si="42"/>
        <v>1000</v>
      </c>
      <c r="R79" s="81"/>
      <c r="S79" s="81">
        <f t="shared" si="43"/>
        <v>1000</v>
      </c>
      <c r="T79" s="81"/>
      <c r="U79" s="81">
        <f t="shared" si="44"/>
        <v>1000</v>
      </c>
      <c r="V79" s="81"/>
      <c r="W79" s="81">
        <f t="shared" si="45"/>
        <v>1000</v>
      </c>
      <c r="X79" s="81"/>
      <c r="Y79" s="81">
        <f t="shared" si="46"/>
        <v>1000</v>
      </c>
      <c r="Z79" s="81"/>
      <c r="AA79" s="81">
        <f t="shared" si="47"/>
        <v>1000</v>
      </c>
    </row>
    <row r="80" spans="1:27" s="24" customFormat="1" ht="27" customHeight="1">
      <c r="A80" s="67"/>
      <c r="B80" s="87"/>
      <c r="C80" s="70">
        <v>4750</v>
      </c>
      <c r="D80" s="38" t="s">
        <v>223</v>
      </c>
      <c r="E80" s="81">
        <v>2000</v>
      </c>
      <c r="F80" s="81"/>
      <c r="G80" s="81">
        <f t="shared" si="37"/>
        <v>2000</v>
      </c>
      <c r="H80" s="81"/>
      <c r="I80" s="81">
        <f t="shared" si="38"/>
        <v>2000</v>
      </c>
      <c r="J80" s="81"/>
      <c r="K80" s="81">
        <f t="shared" si="39"/>
        <v>2000</v>
      </c>
      <c r="L80" s="81"/>
      <c r="M80" s="81">
        <f t="shared" si="40"/>
        <v>2000</v>
      </c>
      <c r="N80" s="81"/>
      <c r="O80" s="81">
        <f t="shared" si="41"/>
        <v>2000</v>
      </c>
      <c r="P80" s="81"/>
      <c r="Q80" s="81">
        <f t="shared" si="42"/>
        <v>2000</v>
      </c>
      <c r="R80" s="81"/>
      <c r="S80" s="81">
        <f t="shared" si="43"/>
        <v>2000</v>
      </c>
      <c r="T80" s="81"/>
      <c r="U80" s="81">
        <f t="shared" si="44"/>
        <v>2000</v>
      </c>
      <c r="V80" s="81"/>
      <c r="W80" s="81">
        <f t="shared" si="45"/>
        <v>2000</v>
      </c>
      <c r="X80" s="81"/>
      <c r="Y80" s="81">
        <f t="shared" si="46"/>
        <v>2000</v>
      </c>
      <c r="Z80" s="81"/>
      <c r="AA80" s="81">
        <f t="shared" si="47"/>
        <v>2000</v>
      </c>
    </row>
    <row r="81" spans="1:27" s="24" customFormat="1" ht="24">
      <c r="A81" s="86"/>
      <c r="B81" s="82" t="s">
        <v>91</v>
      </c>
      <c r="C81" s="86"/>
      <c r="D81" s="38" t="s">
        <v>148</v>
      </c>
      <c r="E81" s="81">
        <f aca="true" t="shared" si="48" ref="E81:W81">SUM(E82:E91)</f>
        <v>300000</v>
      </c>
      <c r="F81" s="81">
        <f t="shared" si="48"/>
        <v>14000</v>
      </c>
      <c r="G81" s="81">
        <f t="shared" si="48"/>
        <v>314000</v>
      </c>
      <c r="H81" s="81">
        <f t="shared" si="48"/>
        <v>0</v>
      </c>
      <c r="I81" s="81">
        <f t="shared" si="48"/>
        <v>314000</v>
      </c>
      <c r="J81" s="81">
        <f t="shared" si="48"/>
        <v>0</v>
      </c>
      <c r="K81" s="81">
        <f t="shared" si="48"/>
        <v>314000</v>
      </c>
      <c r="L81" s="81">
        <f t="shared" si="48"/>
        <v>0</v>
      </c>
      <c r="M81" s="81">
        <f t="shared" si="48"/>
        <v>314000</v>
      </c>
      <c r="N81" s="81">
        <f t="shared" si="48"/>
        <v>0</v>
      </c>
      <c r="O81" s="81">
        <f t="shared" si="48"/>
        <v>314000</v>
      </c>
      <c r="P81" s="81">
        <f t="shared" si="48"/>
        <v>0</v>
      </c>
      <c r="Q81" s="81">
        <f t="shared" si="48"/>
        <v>314000</v>
      </c>
      <c r="R81" s="81">
        <f t="shared" si="48"/>
        <v>0</v>
      </c>
      <c r="S81" s="81">
        <f t="shared" si="48"/>
        <v>314000</v>
      </c>
      <c r="T81" s="81">
        <f t="shared" si="48"/>
        <v>0</v>
      </c>
      <c r="U81" s="81">
        <f t="shared" si="48"/>
        <v>314000</v>
      </c>
      <c r="V81" s="81">
        <f t="shared" si="48"/>
        <v>0</v>
      </c>
      <c r="W81" s="81">
        <f t="shared" si="48"/>
        <v>314000</v>
      </c>
      <c r="X81" s="81">
        <f>SUM(X82:X91)</f>
        <v>0</v>
      </c>
      <c r="Y81" s="81">
        <f>SUM(Y82:Y91)</f>
        <v>314000</v>
      </c>
      <c r="Z81" s="81">
        <f>SUM(Z82:Z91)</f>
        <v>10400</v>
      </c>
      <c r="AA81" s="81">
        <f>SUM(AA82:AA91)</f>
        <v>324400</v>
      </c>
    </row>
    <row r="82" spans="1:27" s="24" customFormat="1" ht="21" customHeight="1">
      <c r="A82" s="86"/>
      <c r="B82" s="82"/>
      <c r="C82" s="67">
        <v>3030</v>
      </c>
      <c r="D82" s="38" t="s">
        <v>89</v>
      </c>
      <c r="E82" s="81">
        <v>257000</v>
      </c>
      <c r="F82" s="81"/>
      <c r="G82" s="81">
        <f>SUM(E82:F82)</f>
        <v>257000</v>
      </c>
      <c r="H82" s="81"/>
      <c r="I82" s="81">
        <f>SUM(G82:H82)</f>
        <v>257000</v>
      </c>
      <c r="J82" s="81"/>
      <c r="K82" s="81">
        <f>SUM(I82:J82)</f>
        <v>257000</v>
      </c>
      <c r="L82" s="81"/>
      <c r="M82" s="81">
        <f>SUM(K82:L82)</f>
        <v>257000</v>
      </c>
      <c r="N82" s="81"/>
      <c r="O82" s="81">
        <f>SUM(M82:N82)</f>
        <v>257000</v>
      </c>
      <c r="P82" s="81">
        <v>9000</v>
      </c>
      <c r="Q82" s="81">
        <f>SUM(O82:P82)</f>
        <v>266000</v>
      </c>
      <c r="R82" s="81">
        <v>-1500</v>
      </c>
      <c r="S82" s="81">
        <f>SUM(Q82:R82)</f>
        <v>264500</v>
      </c>
      <c r="T82" s="81"/>
      <c r="U82" s="81">
        <f>SUM(S82:T82)</f>
        <v>264500</v>
      </c>
      <c r="V82" s="81"/>
      <c r="W82" s="81">
        <f>SUM(U82:V82)</f>
        <v>264500</v>
      </c>
      <c r="X82" s="81"/>
      <c r="Y82" s="81">
        <f>SUM(W82:X82)</f>
        <v>264500</v>
      </c>
      <c r="Z82" s="81"/>
      <c r="AA82" s="81">
        <f>SUM(Y82:Z82)</f>
        <v>264500</v>
      </c>
    </row>
    <row r="83" spans="1:30" s="24" customFormat="1" ht="21" customHeight="1">
      <c r="A83" s="86"/>
      <c r="B83" s="82"/>
      <c r="C83" s="67">
        <v>4170</v>
      </c>
      <c r="D83" s="38" t="s">
        <v>190</v>
      </c>
      <c r="E83" s="81">
        <v>2000</v>
      </c>
      <c r="F83" s="81"/>
      <c r="G83" s="81">
        <f aca="true" t="shared" si="49" ref="G83:G91">SUM(E83:F83)</f>
        <v>2000</v>
      </c>
      <c r="H83" s="81"/>
      <c r="I83" s="81">
        <f aca="true" t="shared" si="50" ref="I83:I91">SUM(G83:H83)</f>
        <v>2000</v>
      </c>
      <c r="J83" s="81"/>
      <c r="K83" s="81">
        <f aca="true" t="shared" si="51" ref="K83:K91">SUM(I83:J83)</f>
        <v>2000</v>
      </c>
      <c r="L83" s="81"/>
      <c r="M83" s="81">
        <f aca="true" t="shared" si="52" ref="M83:M91">SUM(K83:L83)</f>
        <v>2000</v>
      </c>
      <c r="N83" s="81"/>
      <c r="O83" s="81">
        <f aca="true" t="shared" si="53" ref="O83:O91">SUM(M83:N83)</f>
        <v>2000</v>
      </c>
      <c r="P83" s="81"/>
      <c r="Q83" s="81">
        <f aca="true" t="shared" si="54" ref="Q83:Q91">SUM(O83:P83)</f>
        <v>2000</v>
      </c>
      <c r="R83" s="81"/>
      <c r="S83" s="81">
        <f aca="true" t="shared" si="55" ref="S83:S91">SUM(Q83:R83)</f>
        <v>2000</v>
      </c>
      <c r="T83" s="81"/>
      <c r="U83" s="81">
        <f aca="true" t="shared" si="56" ref="U83:U91">SUM(S83:T83)</f>
        <v>2000</v>
      </c>
      <c r="V83" s="81"/>
      <c r="W83" s="81">
        <f aca="true" t="shared" si="57" ref="W83:W91">SUM(U83:V83)</f>
        <v>2000</v>
      </c>
      <c r="X83" s="81"/>
      <c r="Y83" s="81">
        <f aca="true" t="shared" si="58" ref="Y83:Y91">SUM(W83:X83)</f>
        <v>2000</v>
      </c>
      <c r="Z83" s="81"/>
      <c r="AA83" s="81">
        <f aca="true" t="shared" si="59" ref="AA83:AA91">SUM(Y83:Z83)</f>
        <v>2000</v>
      </c>
      <c r="AB83" s="119"/>
      <c r="AC83" s="119"/>
      <c r="AD83" s="119"/>
    </row>
    <row r="84" spans="1:27" s="24" customFormat="1" ht="21" customHeight="1">
      <c r="A84" s="86"/>
      <c r="B84" s="82"/>
      <c r="C84" s="67">
        <v>4210</v>
      </c>
      <c r="D84" s="38" t="s">
        <v>92</v>
      </c>
      <c r="E84" s="81">
        <v>15500</v>
      </c>
      <c r="F84" s="81">
        <v>5000</v>
      </c>
      <c r="G84" s="81">
        <f t="shared" si="49"/>
        <v>20500</v>
      </c>
      <c r="H84" s="81"/>
      <c r="I84" s="81">
        <f t="shared" si="50"/>
        <v>20500</v>
      </c>
      <c r="J84" s="81"/>
      <c r="K84" s="81">
        <f t="shared" si="51"/>
        <v>20500</v>
      </c>
      <c r="L84" s="81"/>
      <c r="M84" s="81">
        <f t="shared" si="52"/>
        <v>20500</v>
      </c>
      <c r="N84" s="81"/>
      <c r="O84" s="81">
        <f t="shared" si="53"/>
        <v>20500</v>
      </c>
      <c r="P84" s="81">
        <v>1000</v>
      </c>
      <c r="Q84" s="81">
        <f t="shared" si="54"/>
        <v>21500</v>
      </c>
      <c r="R84" s="81">
        <v>1000</v>
      </c>
      <c r="S84" s="81">
        <f t="shared" si="55"/>
        <v>22500</v>
      </c>
      <c r="T84" s="81"/>
      <c r="U84" s="81">
        <f t="shared" si="56"/>
        <v>22500</v>
      </c>
      <c r="V84" s="81"/>
      <c r="W84" s="81">
        <f t="shared" si="57"/>
        <v>22500</v>
      </c>
      <c r="X84" s="81"/>
      <c r="Y84" s="81">
        <f t="shared" si="58"/>
        <v>22500</v>
      </c>
      <c r="Z84" s="81">
        <v>1750</v>
      </c>
      <c r="AA84" s="81">
        <f t="shared" si="59"/>
        <v>24250</v>
      </c>
    </row>
    <row r="85" spans="1:27" s="24" customFormat="1" ht="27" customHeight="1">
      <c r="A85" s="86"/>
      <c r="B85" s="82"/>
      <c r="C85" s="67">
        <v>4300</v>
      </c>
      <c r="D85" s="38" t="s">
        <v>79</v>
      </c>
      <c r="E85" s="81">
        <v>17900</v>
      </c>
      <c r="F85" s="81">
        <v>3000</v>
      </c>
      <c r="G85" s="81">
        <f t="shared" si="49"/>
        <v>20900</v>
      </c>
      <c r="H85" s="81"/>
      <c r="I85" s="81">
        <f t="shared" si="50"/>
        <v>20900</v>
      </c>
      <c r="J85" s="81"/>
      <c r="K85" s="81">
        <f t="shared" si="51"/>
        <v>20900</v>
      </c>
      <c r="L85" s="81"/>
      <c r="M85" s="81">
        <f t="shared" si="52"/>
        <v>20900</v>
      </c>
      <c r="N85" s="81"/>
      <c r="O85" s="81">
        <f t="shared" si="53"/>
        <v>20900</v>
      </c>
      <c r="P85" s="81"/>
      <c r="Q85" s="81">
        <f t="shared" si="54"/>
        <v>20900</v>
      </c>
      <c r="R85" s="81">
        <v>500</v>
      </c>
      <c r="S85" s="81">
        <f t="shared" si="55"/>
        <v>21400</v>
      </c>
      <c r="T85" s="81"/>
      <c r="U85" s="81">
        <f t="shared" si="56"/>
        <v>21400</v>
      </c>
      <c r="V85" s="81"/>
      <c r="W85" s="81">
        <f t="shared" si="57"/>
        <v>21400</v>
      </c>
      <c r="X85" s="81"/>
      <c r="Y85" s="81">
        <f t="shared" si="58"/>
        <v>21400</v>
      </c>
      <c r="Z85" s="81">
        <v>7250</v>
      </c>
      <c r="AA85" s="81">
        <f t="shared" si="59"/>
        <v>28650</v>
      </c>
    </row>
    <row r="86" spans="1:27" s="24" customFormat="1" ht="36">
      <c r="A86" s="86"/>
      <c r="B86" s="82"/>
      <c r="C86" s="67">
        <v>4370</v>
      </c>
      <c r="D86" s="38" t="s">
        <v>432</v>
      </c>
      <c r="E86" s="81">
        <v>100</v>
      </c>
      <c r="F86" s="81"/>
      <c r="G86" s="81">
        <f t="shared" si="49"/>
        <v>100</v>
      </c>
      <c r="H86" s="81"/>
      <c r="I86" s="81">
        <f t="shared" si="50"/>
        <v>100</v>
      </c>
      <c r="J86" s="81"/>
      <c r="K86" s="81">
        <f t="shared" si="51"/>
        <v>100</v>
      </c>
      <c r="L86" s="81"/>
      <c r="M86" s="81">
        <f t="shared" si="52"/>
        <v>100</v>
      </c>
      <c r="N86" s="81"/>
      <c r="O86" s="81">
        <f t="shared" si="53"/>
        <v>100</v>
      </c>
      <c r="P86" s="81"/>
      <c r="Q86" s="81">
        <f t="shared" si="54"/>
        <v>100</v>
      </c>
      <c r="R86" s="81"/>
      <c r="S86" s="81">
        <f t="shared" si="55"/>
        <v>100</v>
      </c>
      <c r="T86" s="81"/>
      <c r="U86" s="81">
        <f t="shared" si="56"/>
        <v>100</v>
      </c>
      <c r="V86" s="81"/>
      <c r="W86" s="81">
        <f t="shared" si="57"/>
        <v>100</v>
      </c>
      <c r="X86" s="81"/>
      <c r="Y86" s="81">
        <f t="shared" si="58"/>
        <v>100</v>
      </c>
      <c r="Z86" s="81"/>
      <c r="AA86" s="81">
        <f t="shared" si="59"/>
        <v>100</v>
      </c>
    </row>
    <row r="87" spans="1:27" s="24" customFormat="1" ht="21" customHeight="1">
      <c r="A87" s="86"/>
      <c r="B87" s="82"/>
      <c r="C87" s="67">
        <v>4410</v>
      </c>
      <c r="D87" s="38" t="s">
        <v>90</v>
      </c>
      <c r="E87" s="81">
        <v>2000</v>
      </c>
      <c r="F87" s="81">
        <v>6000</v>
      </c>
      <c r="G87" s="81">
        <f t="shared" si="49"/>
        <v>8000</v>
      </c>
      <c r="H87" s="81"/>
      <c r="I87" s="81">
        <f t="shared" si="50"/>
        <v>8000</v>
      </c>
      <c r="J87" s="81"/>
      <c r="K87" s="81">
        <f t="shared" si="51"/>
        <v>8000</v>
      </c>
      <c r="L87" s="81"/>
      <c r="M87" s="81">
        <f t="shared" si="52"/>
        <v>8000</v>
      </c>
      <c r="N87" s="81"/>
      <c r="O87" s="81">
        <f t="shared" si="53"/>
        <v>8000</v>
      </c>
      <c r="P87" s="81">
        <v>-8000</v>
      </c>
      <c r="Q87" s="81">
        <f t="shared" si="54"/>
        <v>0</v>
      </c>
      <c r="R87" s="81"/>
      <c r="S87" s="81">
        <f t="shared" si="55"/>
        <v>0</v>
      </c>
      <c r="T87" s="81"/>
      <c r="U87" s="81">
        <f t="shared" si="56"/>
        <v>0</v>
      </c>
      <c r="V87" s="81"/>
      <c r="W87" s="81">
        <f t="shared" si="57"/>
        <v>0</v>
      </c>
      <c r="X87" s="81"/>
      <c r="Y87" s="81">
        <f t="shared" si="58"/>
        <v>0</v>
      </c>
      <c r="Z87" s="81"/>
      <c r="AA87" s="81">
        <f t="shared" si="59"/>
        <v>0</v>
      </c>
    </row>
    <row r="88" spans="1:27" s="24" customFormat="1" ht="21" customHeight="1">
      <c r="A88" s="86"/>
      <c r="B88" s="82"/>
      <c r="C88" s="67">
        <v>4420</v>
      </c>
      <c r="D88" s="38" t="s">
        <v>93</v>
      </c>
      <c r="E88" s="81">
        <v>2000</v>
      </c>
      <c r="F88" s="81"/>
      <c r="G88" s="81">
        <f t="shared" si="49"/>
        <v>2000</v>
      </c>
      <c r="H88" s="81"/>
      <c r="I88" s="81">
        <f t="shared" si="50"/>
        <v>2000</v>
      </c>
      <c r="J88" s="81"/>
      <c r="K88" s="81">
        <f t="shared" si="51"/>
        <v>2000</v>
      </c>
      <c r="L88" s="81"/>
      <c r="M88" s="81">
        <f t="shared" si="52"/>
        <v>2000</v>
      </c>
      <c r="N88" s="81"/>
      <c r="O88" s="81">
        <f t="shared" si="53"/>
        <v>2000</v>
      </c>
      <c r="P88" s="81">
        <v>-2000</v>
      </c>
      <c r="Q88" s="81">
        <f t="shared" si="54"/>
        <v>0</v>
      </c>
      <c r="R88" s="81"/>
      <c r="S88" s="81">
        <f t="shared" si="55"/>
        <v>0</v>
      </c>
      <c r="T88" s="81"/>
      <c r="U88" s="81">
        <f t="shared" si="56"/>
        <v>0</v>
      </c>
      <c r="V88" s="81"/>
      <c r="W88" s="81">
        <f t="shared" si="57"/>
        <v>0</v>
      </c>
      <c r="X88" s="81"/>
      <c r="Y88" s="81">
        <f t="shared" si="58"/>
        <v>0</v>
      </c>
      <c r="Z88" s="81">
        <v>900</v>
      </c>
      <c r="AA88" s="81">
        <f t="shared" si="59"/>
        <v>900</v>
      </c>
    </row>
    <row r="89" spans="1:27" s="24" customFormat="1" ht="21" customHeight="1">
      <c r="A89" s="86"/>
      <c r="B89" s="82"/>
      <c r="C89" s="70">
        <v>4430</v>
      </c>
      <c r="D89" s="38" t="s">
        <v>94</v>
      </c>
      <c r="E89" s="81">
        <v>500</v>
      </c>
      <c r="F89" s="81"/>
      <c r="G89" s="81">
        <f t="shared" si="49"/>
        <v>500</v>
      </c>
      <c r="H89" s="81"/>
      <c r="I89" s="81">
        <f t="shared" si="50"/>
        <v>500</v>
      </c>
      <c r="J89" s="81"/>
      <c r="K89" s="81">
        <f t="shared" si="51"/>
        <v>500</v>
      </c>
      <c r="L89" s="81"/>
      <c r="M89" s="81">
        <f t="shared" si="52"/>
        <v>500</v>
      </c>
      <c r="N89" s="81"/>
      <c r="O89" s="81">
        <f t="shared" si="53"/>
        <v>500</v>
      </c>
      <c r="P89" s="81"/>
      <c r="Q89" s="81">
        <f t="shared" si="54"/>
        <v>500</v>
      </c>
      <c r="R89" s="81"/>
      <c r="S89" s="81">
        <f t="shared" si="55"/>
        <v>500</v>
      </c>
      <c r="T89" s="81"/>
      <c r="U89" s="81">
        <f t="shared" si="56"/>
        <v>500</v>
      </c>
      <c r="V89" s="81"/>
      <c r="W89" s="81">
        <f t="shared" si="57"/>
        <v>500</v>
      </c>
      <c r="X89" s="81"/>
      <c r="Y89" s="81">
        <f t="shared" si="58"/>
        <v>500</v>
      </c>
      <c r="Z89" s="81">
        <v>500</v>
      </c>
      <c r="AA89" s="81">
        <f t="shared" si="59"/>
        <v>1000</v>
      </c>
    </row>
    <row r="90" spans="1:27" s="24" customFormat="1" ht="24">
      <c r="A90" s="86"/>
      <c r="B90" s="82"/>
      <c r="C90" s="70">
        <v>4740</v>
      </c>
      <c r="D90" s="38" t="s">
        <v>267</v>
      </c>
      <c r="E90" s="81">
        <v>2000</v>
      </c>
      <c r="F90" s="81"/>
      <c r="G90" s="81">
        <f t="shared" si="49"/>
        <v>2000</v>
      </c>
      <c r="H90" s="81"/>
      <c r="I90" s="81">
        <f t="shared" si="50"/>
        <v>2000</v>
      </c>
      <c r="J90" s="81"/>
      <c r="K90" s="81">
        <f t="shared" si="51"/>
        <v>2000</v>
      </c>
      <c r="L90" s="81"/>
      <c r="M90" s="81">
        <f t="shared" si="52"/>
        <v>2000</v>
      </c>
      <c r="N90" s="81"/>
      <c r="O90" s="81">
        <f t="shared" si="53"/>
        <v>2000</v>
      </c>
      <c r="P90" s="81"/>
      <c r="Q90" s="81">
        <f t="shared" si="54"/>
        <v>2000</v>
      </c>
      <c r="R90" s="81"/>
      <c r="S90" s="81">
        <f t="shared" si="55"/>
        <v>2000</v>
      </c>
      <c r="T90" s="81"/>
      <c r="U90" s="81">
        <f t="shared" si="56"/>
        <v>2000</v>
      </c>
      <c r="V90" s="81"/>
      <c r="W90" s="81">
        <f t="shared" si="57"/>
        <v>2000</v>
      </c>
      <c r="X90" s="81"/>
      <c r="Y90" s="81">
        <f t="shared" si="58"/>
        <v>2000</v>
      </c>
      <c r="Z90" s="81"/>
      <c r="AA90" s="81">
        <f t="shared" si="59"/>
        <v>2000</v>
      </c>
    </row>
    <row r="91" spans="1:27" s="24" customFormat="1" ht="24.75" customHeight="1">
      <c r="A91" s="86"/>
      <c r="B91" s="82"/>
      <c r="C91" s="70">
        <v>4750</v>
      </c>
      <c r="D91" s="38" t="s">
        <v>223</v>
      </c>
      <c r="E91" s="81">
        <v>1000</v>
      </c>
      <c r="F91" s="81"/>
      <c r="G91" s="81">
        <f t="shared" si="49"/>
        <v>1000</v>
      </c>
      <c r="H91" s="81"/>
      <c r="I91" s="81">
        <f t="shared" si="50"/>
        <v>1000</v>
      </c>
      <c r="J91" s="81"/>
      <c r="K91" s="81">
        <f t="shared" si="51"/>
        <v>1000</v>
      </c>
      <c r="L91" s="81"/>
      <c r="M91" s="81">
        <f t="shared" si="52"/>
        <v>1000</v>
      </c>
      <c r="N91" s="81"/>
      <c r="O91" s="81">
        <f t="shared" si="53"/>
        <v>1000</v>
      </c>
      <c r="P91" s="81"/>
      <c r="Q91" s="81">
        <f t="shared" si="54"/>
        <v>1000</v>
      </c>
      <c r="R91" s="81"/>
      <c r="S91" s="81">
        <f t="shared" si="55"/>
        <v>1000</v>
      </c>
      <c r="T91" s="81"/>
      <c r="U91" s="81">
        <f t="shared" si="56"/>
        <v>1000</v>
      </c>
      <c r="V91" s="81"/>
      <c r="W91" s="81">
        <f t="shared" si="57"/>
        <v>1000</v>
      </c>
      <c r="X91" s="81"/>
      <c r="Y91" s="81">
        <f t="shared" si="58"/>
        <v>1000</v>
      </c>
      <c r="Z91" s="81"/>
      <c r="AA91" s="81">
        <f t="shared" si="59"/>
        <v>1000</v>
      </c>
    </row>
    <row r="92" spans="1:27" s="24" customFormat="1" ht="21" customHeight="1">
      <c r="A92" s="86"/>
      <c r="B92" s="82" t="s">
        <v>18</v>
      </c>
      <c r="C92" s="86"/>
      <c r="D92" s="38" t="s">
        <v>19</v>
      </c>
      <c r="E92" s="81">
        <f aca="true" t="shared" si="60" ref="E92:W92">SUM(E93:E116)</f>
        <v>5072300</v>
      </c>
      <c r="F92" s="81">
        <f t="shared" si="60"/>
        <v>-380000</v>
      </c>
      <c r="G92" s="81">
        <f t="shared" si="60"/>
        <v>4692300</v>
      </c>
      <c r="H92" s="81">
        <f t="shared" si="60"/>
        <v>0</v>
      </c>
      <c r="I92" s="81">
        <f t="shared" si="60"/>
        <v>4692300</v>
      </c>
      <c r="J92" s="81">
        <f t="shared" si="60"/>
        <v>0</v>
      </c>
      <c r="K92" s="81">
        <f t="shared" si="60"/>
        <v>4692300</v>
      </c>
      <c r="L92" s="81">
        <f t="shared" si="60"/>
        <v>12111</v>
      </c>
      <c r="M92" s="81">
        <f t="shared" si="60"/>
        <v>4704411</v>
      </c>
      <c r="N92" s="81">
        <f t="shared" si="60"/>
        <v>0</v>
      </c>
      <c r="O92" s="81">
        <f t="shared" si="60"/>
        <v>4704411</v>
      </c>
      <c r="P92" s="81">
        <f t="shared" si="60"/>
        <v>0</v>
      </c>
      <c r="Q92" s="81">
        <f t="shared" si="60"/>
        <v>4704411</v>
      </c>
      <c r="R92" s="81">
        <f t="shared" si="60"/>
        <v>9000</v>
      </c>
      <c r="S92" s="81">
        <f t="shared" si="60"/>
        <v>4713411</v>
      </c>
      <c r="T92" s="81">
        <f t="shared" si="60"/>
        <v>0</v>
      </c>
      <c r="U92" s="81">
        <f t="shared" si="60"/>
        <v>4713411</v>
      </c>
      <c r="V92" s="81">
        <f t="shared" si="60"/>
        <v>0</v>
      </c>
      <c r="W92" s="81">
        <f t="shared" si="60"/>
        <v>4713411</v>
      </c>
      <c r="X92" s="81">
        <f>SUM(X93:X116)</f>
        <v>0</v>
      </c>
      <c r="Y92" s="81">
        <f>SUM(Y93:Y116)</f>
        <v>4713411</v>
      </c>
      <c r="Z92" s="81">
        <f>SUM(Z93:Z116)</f>
        <v>0</v>
      </c>
      <c r="AA92" s="81">
        <f>SUM(AA93:AA116)</f>
        <v>4713411</v>
      </c>
    </row>
    <row r="93" spans="1:27" s="24" customFormat="1" ht="21" customHeight="1">
      <c r="A93" s="86"/>
      <c r="B93" s="82"/>
      <c r="C93" s="67">
        <v>3020</v>
      </c>
      <c r="D93" s="38" t="s">
        <v>188</v>
      </c>
      <c r="E93" s="81">
        <v>27600</v>
      </c>
      <c r="F93" s="81"/>
      <c r="G93" s="81">
        <f>SUM(E93:F93)</f>
        <v>27600</v>
      </c>
      <c r="H93" s="81"/>
      <c r="I93" s="81">
        <f>SUM(G93:H93)</f>
        <v>27600</v>
      </c>
      <c r="J93" s="81"/>
      <c r="K93" s="81">
        <f>SUM(I93:J93)</f>
        <v>27600</v>
      </c>
      <c r="L93" s="81"/>
      <c r="M93" s="81">
        <f>SUM(K93:L93)</f>
        <v>27600</v>
      </c>
      <c r="N93" s="81"/>
      <c r="O93" s="81">
        <f>SUM(M93:N93)</f>
        <v>27600</v>
      </c>
      <c r="P93" s="81"/>
      <c r="Q93" s="81">
        <f>SUM(O93:P93)</f>
        <v>27600</v>
      </c>
      <c r="R93" s="81"/>
      <c r="S93" s="81">
        <f>SUM(Q93:R93)</f>
        <v>27600</v>
      </c>
      <c r="T93" s="81"/>
      <c r="U93" s="81">
        <f>SUM(S93:T93)</f>
        <v>27600</v>
      </c>
      <c r="V93" s="81"/>
      <c r="W93" s="81">
        <f>SUM(U93:V93)</f>
        <v>27600</v>
      </c>
      <c r="X93" s="81"/>
      <c r="Y93" s="81">
        <f>SUM(W93:X93)</f>
        <v>27600</v>
      </c>
      <c r="Z93" s="81"/>
      <c r="AA93" s="81">
        <f>SUM(Y93:Z93)</f>
        <v>27600</v>
      </c>
    </row>
    <row r="94" spans="1:30" s="24" customFormat="1" ht="21" customHeight="1">
      <c r="A94" s="86"/>
      <c r="B94" s="82"/>
      <c r="C94" s="67">
        <v>4010</v>
      </c>
      <c r="D94" s="38" t="s">
        <v>84</v>
      </c>
      <c r="E94" s="81">
        <v>3160586</v>
      </c>
      <c r="F94" s="81">
        <v>-200000</v>
      </c>
      <c r="G94" s="81">
        <f aca="true" t="shared" si="61" ref="G94:G116">SUM(E94:F94)</f>
        <v>2960586</v>
      </c>
      <c r="H94" s="81"/>
      <c r="I94" s="81">
        <f aca="true" t="shared" si="62" ref="I94:I113">SUM(G94:H94)</f>
        <v>2960586</v>
      </c>
      <c r="J94" s="81"/>
      <c r="K94" s="81">
        <f aca="true" t="shared" si="63" ref="K94:K113">SUM(I94:J94)</f>
        <v>2960586</v>
      </c>
      <c r="L94" s="81"/>
      <c r="M94" s="81">
        <f aca="true" t="shared" si="64" ref="M94:M113">SUM(K94:L94)</f>
        <v>2960586</v>
      </c>
      <c r="N94" s="81"/>
      <c r="O94" s="81">
        <f aca="true" t="shared" si="65" ref="O94:O113">SUM(M94:N94)</f>
        <v>2960586</v>
      </c>
      <c r="P94" s="81"/>
      <c r="Q94" s="81">
        <f aca="true" t="shared" si="66" ref="Q94:Q113">SUM(O94:P94)</f>
        <v>2960586</v>
      </c>
      <c r="R94" s="81"/>
      <c r="S94" s="81">
        <f aca="true" t="shared" si="67" ref="S94:S113">SUM(Q94:R94)</f>
        <v>2960586</v>
      </c>
      <c r="T94" s="81"/>
      <c r="U94" s="81">
        <f aca="true" t="shared" si="68" ref="U94:U113">SUM(S94:T94)</f>
        <v>2960586</v>
      </c>
      <c r="V94" s="81"/>
      <c r="W94" s="81">
        <f aca="true" t="shared" si="69" ref="W94:W113">SUM(U94:V94)</f>
        <v>2960586</v>
      </c>
      <c r="X94" s="81"/>
      <c r="Y94" s="81">
        <f aca="true" t="shared" si="70" ref="Y94:Y113">SUM(W94:X94)</f>
        <v>2960586</v>
      </c>
      <c r="Z94" s="81"/>
      <c r="AA94" s="81">
        <f aca="true" t="shared" si="71" ref="AA94:AA113">SUM(Y94:Z94)</f>
        <v>2960586</v>
      </c>
      <c r="AB94" s="119"/>
      <c r="AC94" s="119"/>
      <c r="AD94" s="119"/>
    </row>
    <row r="95" spans="1:30" s="24" customFormat="1" ht="21" customHeight="1">
      <c r="A95" s="86"/>
      <c r="B95" s="82"/>
      <c r="C95" s="67">
        <v>4040</v>
      </c>
      <c r="D95" s="38" t="s">
        <v>85</v>
      </c>
      <c r="E95" s="81">
        <v>203749</v>
      </c>
      <c r="F95" s="81"/>
      <c r="G95" s="81">
        <f t="shared" si="61"/>
        <v>203749</v>
      </c>
      <c r="H95" s="81"/>
      <c r="I95" s="81">
        <f t="shared" si="62"/>
        <v>203749</v>
      </c>
      <c r="J95" s="81">
        <v>-8000</v>
      </c>
      <c r="K95" s="81">
        <f t="shared" si="63"/>
        <v>195749</v>
      </c>
      <c r="L95" s="81">
        <v>-7434</v>
      </c>
      <c r="M95" s="81">
        <f t="shared" si="64"/>
        <v>188315</v>
      </c>
      <c r="N95" s="81"/>
      <c r="O95" s="81">
        <f t="shared" si="65"/>
        <v>188315</v>
      </c>
      <c r="P95" s="81"/>
      <c r="Q95" s="81">
        <f t="shared" si="66"/>
        <v>188315</v>
      </c>
      <c r="R95" s="81"/>
      <c r="S95" s="81">
        <f t="shared" si="67"/>
        <v>188315</v>
      </c>
      <c r="T95" s="81"/>
      <c r="U95" s="81">
        <f t="shared" si="68"/>
        <v>188315</v>
      </c>
      <c r="V95" s="81"/>
      <c r="W95" s="81">
        <f t="shared" si="69"/>
        <v>188315</v>
      </c>
      <c r="X95" s="81"/>
      <c r="Y95" s="81">
        <f t="shared" si="70"/>
        <v>188315</v>
      </c>
      <c r="Z95" s="81"/>
      <c r="AA95" s="81">
        <f t="shared" si="71"/>
        <v>188315</v>
      </c>
      <c r="AB95" s="119"/>
      <c r="AC95" s="119"/>
      <c r="AD95" s="119"/>
    </row>
    <row r="96" spans="1:30" s="24" customFormat="1" ht="21" customHeight="1">
      <c r="A96" s="86"/>
      <c r="B96" s="82"/>
      <c r="C96" s="67">
        <v>4110</v>
      </c>
      <c r="D96" s="38" t="s">
        <v>86</v>
      </c>
      <c r="E96" s="81">
        <v>496390</v>
      </c>
      <c r="F96" s="81"/>
      <c r="G96" s="81">
        <f t="shared" si="61"/>
        <v>496390</v>
      </c>
      <c r="H96" s="81"/>
      <c r="I96" s="81">
        <f t="shared" si="62"/>
        <v>496390</v>
      </c>
      <c r="J96" s="81"/>
      <c r="K96" s="81">
        <f t="shared" si="63"/>
        <v>496390</v>
      </c>
      <c r="L96" s="81">
        <v>-5055</v>
      </c>
      <c r="M96" s="81">
        <f t="shared" si="64"/>
        <v>491335</v>
      </c>
      <c r="N96" s="81"/>
      <c r="O96" s="81">
        <f t="shared" si="65"/>
        <v>491335</v>
      </c>
      <c r="P96" s="81"/>
      <c r="Q96" s="81">
        <f t="shared" si="66"/>
        <v>491335</v>
      </c>
      <c r="R96" s="81">
        <v>-600</v>
      </c>
      <c r="S96" s="81">
        <f t="shared" si="67"/>
        <v>490735</v>
      </c>
      <c r="T96" s="81"/>
      <c r="U96" s="81">
        <f t="shared" si="68"/>
        <v>490735</v>
      </c>
      <c r="V96" s="81"/>
      <c r="W96" s="81">
        <f t="shared" si="69"/>
        <v>490735</v>
      </c>
      <c r="X96" s="81"/>
      <c r="Y96" s="81">
        <f t="shared" si="70"/>
        <v>490735</v>
      </c>
      <c r="Z96" s="81"/>
      <c r="AA96" s="81">
        <f t="shared" si="71"/>
        <v>490735</v>
      </c>
      <c r="AB96" s="119"/>
      <c r="AC96" s="119"/>
      <c r="AD96" s="119"/>
    </row>
    <row r="97" spans="1:30" s="24" customFormat="1" ht="21" customHeight="1">
      <c r="A97" s="86"/>
      <c r="B97" s="82"/>
      <c r="C97" s="67">
        <v>4120</v>
      </c>
      <c r="D97" s="38" t="s">
        <v>87</v>
      </c>
      <c r="E97" s="81">
        <v>92714</v>
      </c>
      <c r="F97" s="81"/>
      <c r="G97" s="81">
        <f t="shared" si="61"/>
        <v>92714</v>
      </c>
      <c r="H97" s="81"/>
      <c r="I97" s="81">
        <f t="shared" si="62"/>
        <v>92714</v>
      </c>
      <c r="J97" s="81"/>
      <c r="K97" s="81">
        <f t="shared" si="63"/>
        <v>92714</v>
      </c>
      <c r="L97" s="81">
        <v>-9000</v>
      </c>
      <c r="M97" s="81">
        <f t="shared" si="64"/>
        <v>83714</v>
      </c>
      <c r="N97" s="81"/>
      <c r="O97" s="81">
        <f t="shared" si="65"/>
        <v>83714</v>
      </c>
      <c r="P97" s="81"/>
      <c r="Q97" s="81">
        <f t="shared" si="66"/>
        <v>83714</v>
      </c>
      <c r="R97" s="81"/>
      <c r="S97" s="81">
        <f t="shared" si="67"/>
        <v>83714</v>
      </c>
      <c r="T97" s="81"/>
      <c r="U97" s="81">
        <f t="shared" si="68"/>
        <v>83714</v>
      </c>
      <c r="V97" s="81"/>
      <c r="W97" s="81">
        <f t="shared" si="69"/>
        <v>83714</v>
      </c>
      <c r="X97" s="81"/>
      <c r="Y97" s="81">
        <f t="shared" si="70"/>
        <v>83714</v>
      </c>
      <c r="Z97" s="81"/>
      <c r="AA97" s="81">
        <f t="shared" si="71"/>
        <v>83714</v>
      </c>
      <c r="AB97" s="119"/>
      <c r="AC97" s="119"/>
      <c r="AD97" s="119"/>
    </row>
    <row r="98" spans="1:30" s="24" customFormat="1" ht="21" customHeight="1">
      <c r="A98" s="86"/>
      <c r="B98" s="82"/>
      <c r="C98" s="67">
        <v>4170</v>
      </c>
      <c r="D98" s="38" t="s">
        <v>190</v>
      </c>
      <c r="E98" s="81">
        <v>23200</v>
      </c>
      <c r="F98" s="81"/>
      <c r="G98" s="81">
        <f t="shared" si="61"/>
        <v>23200</v>
      </c>
      <c r="H98" s="81"/>
      <c r="I98" s="81">
        <f t="shared" si="62"/>
        <v>23200</v>
      </c>
      <c r="J98" s="81">
        <v>8000</v>
      </c>
      <c r="K98" s="81">
        <f t="shared" si="63"/>
        <v>31200</v>
      </c>
      <c r="L98" s="81">
        <v>3600</v>
      </c>
      <c r="M98" s="81">
        <f t="shared" si="64"/>
        <v>34800</v>
      </c>
      <c r="N98" s="81"/>
      <c r="O98" s="81">
        <f t="shared" si="65"/>
        <v>34800</v>
      </c>
      <c r="P98" s="81"/>
      <c r="Q98" s="81">
        <f t="shared" si="66"/>
        <v>34800</v>
      </c>
      <c r="R98" s="81">
        <v>432</v>
      </c>
      <c r="S98" s="81">
        <f t="shared" si="67"/>
        <v>35232</v>
      </c>
      <c r="T98" s="81"/>
      <c r="U98" s="81">
        <f t="shared" si="68"/>
        <v>35232</v>
      </c>
      <c r="V98" s="81"/>
      <c r="W98" s="81">
        <f t="shared" si="69"/>
        <v>35232</v>
      </c>
      <c r="X98" s="81"/>
      <c r="Y98" s="81">
        <f t="shared" si="70"/>
        <v>35232</v>
      </c>
      <c r="Z98" s="81"/>
      <c r="AA98" s="81">
        <f t="shared" si="71"/>
        <v>35232</v>
      </c>
      <c r="AB98" s="119"/>
      <c r="AC98" s="119"/>
      <c r="AD98" s="119"/>
    </row>
    <row r="99" spans="1:27" s="24" customFormat="1" ht="21" customHeight="1">
      <c r="A99" s="86"/>
      <c r="B99" s="82"/>
      <c r="C99" s="67">
        <v>4210</v>
      </c>
      <c r="D99" s="38" t="s">
        <v>92</v>
      </c>
      <c r="E99" s="81">
        <v>107373</v>
      </c>
      <c r="F99" s="81"/>
      <c r="G99" s="81">
        <f t="shared" si="61"/>
        <v>107373</v>
      </c>
      <c r="H99" s="81"/>
      <c r="I99" s="81">
        <f t="shared" si="62"/>
        <v>107373</v>
      </c>
      <c r="J99" s="81">
        <v>3000</v>
      </c>
      <c r="K99" s="81">
        <f t="shared" si="63"/>
        <v>110373</v>
      </c>
      <c r="L99" s="81">
        <v>-13000</v>
      </c>
      <c r="M99" s="81">
        <f t="shared" si="64"/>
        <v>97373</v>
      </c>
      <c r="N99" s="81"/>
      <c r="O99" s="81">
        <f t="shared" si="65"/>
        <v>97373</v>
      </c>
      <c r="P99" s="81">
        <v>3500</v>
      </c>
      <c r="Q99" s="81">
        <f t="shared" si="66"/>
        <v>100873</v>
      </c>
      <c r="R99" s="81">
        <v>9000</v>
      </c>
      <c r="S99" s="81">
        <f t="shared" si="67"/>
        <v>109873</v>
      </c>
      <c r="T99" s="81"/>
      <c r="U99" s="81">
        <f t="shared" si="68"/>
        <v>109873</v>
      </c>
      <c r="V99" s="81"/>
      <c r="W99" s="81">
        <f t="shared" si="69"/>
        <v>109873</v>
      </c>
      <c r="X99" s="81"/>
      <c r="Y99" s="81">
        <f t="shared" si="70"/>
        <v>109873</v>
      </c>
      <c r="Z99" s="81"/>
      <c r="AA99" s="81">
        <f t="shared" si="71"/>
        <v>109873</v>
      </c>
    </row>
    <row r="100" spans="1:27" s="24" customFormat="1" ht="21" customHeight="1">
      <c r="A100" s="86"/>
      <c r="B100" s="82"/>
      <c r="C100" s="67">
        <v>4260</v>
      </c>
      <c r="D100" s="38" t="s">
        <v>95</v>
      </c>
      <c r="E100" s="81">
        <v>102000</v>
      </c>
      <c r="F100" s="81"/>
      <c r="G100" s="81">
        <f t="shared" si="61"/>
        <v>102000</v>
      </c>
      <c r="H100" s="81"/>
      <c r="I100" s="81">
        <f t="shared" si="62"/>
        <v>102000</v>
      </c>
      <c r="J100" s="81"/>
      <c r="K100" s="81">
        <f t="shared" si="63"/>
        <v>102000</v>
      </c>
      <c r="L100" s="81"/>
      <c r="M100" s="81">
        <f t="shared" si="64"/>
        <v>102000</v>
      </c>
      <c r="N100" s="81"/>
      <c r="O100" s="81">
        <f t="shared" si="65"/>
        <v>102000</v>
      </c>
      <c r="P100" s="81"/>
      <c r="Q100" s="81">
        <f t="shared" si="66"/>
        <v>102000</v>
      </c>
      <c r="R100" s="81"/>
      <c r="S100" s="81">
        <f t="shared" si="67"/>
        <v>102000</v>
      </c>
      <c r="T100" s="81"/>
      <c r="U100" s="81">
        <f t="shared" si="68"/>
        <v>102000</v>
      </c>
      <c r="V100" s="81"/>
      <c r="W100" s="81">
        <f t="shared" si="69"/>
        <v>102000</v>
      </c>
      <c r="X100" s="81"/>
      <c r="Y100" s="81">
        <f t="shared" si="70"/>
        <v>102000</v>
      </c>
      <c r="Z100" s="81"/>
      <c r="AA100" s="81">
        <f t="shared" si="71"/>
        <v>102000</v>
      </c>
    </row>
    <row r="101" spans="1:27" s="24" customFormat="1" ht="21" customHeight="1">
      <c r="A101" s="86"/>
      <c r="B101" s="82"/>
      <c r="C101" s="67">
        <v>4270</v>
      </c>
      <c r="D101" s="38" t="s">
        <v>78</v>
      </c>
      <c r="E101" s="81">
        <v>109000</v>
      </c>
      <c r="F101" s="81">
        <v>-50000</v>
      </c>
      <c r="G101" s="81">
        <f t="shared" si="61"/>
        <v>59000</v>
      </c>
      <c r="H101" s="81"/>
      <c r="I101" s="81">
        <f t="shared" si="62"/>
        <v>59000</v>
      </c>
      <c r="J101" s="81"/>
      <c r="K101" s="81">
        <f t="shared" si="63"/>
        <v>59000</v>
      </c>
      <c r="L101" s="81"/>
      <c r="M101" s="81">
        <f t="shared" si="64"/>
        <v>59000</v>
      </c>
      <c r="N101" s="81"/>
      <c r="O101" s="81">
        <f t="shared" si="65"/>
        <v>59000</v>
      </c>
      <c r="P101" s="81">
        <v>1000</v>
      </c>
      <c r="Q101" s="81">
        <f t="shared" si="66"/>
        <v>60000</v>
      </c>
      <c r="R101" s="81"/>
      <c r="S101" s="81">
        <f t="shared" si="67"/>
        <v>60000</v>
      </c>
      <c r="T101" s="81"/>
      <c r="U101" s="81">
        <f t="shared" si="68"/>
        <v>60000</v>
      </c>
      <c r="V101" s="81"/>
      <c r="W101" s="81">
        <f t="shared" si="69"/>
        <v>60000</v>
      </c>
      <c r="X101" s="81"/>
      <c r="Y101" s="81">
        <f t="shared" si="70"/>
        <v>60000</v>
      </c>
      <c r="Z101" s="81"/>
      <c r="AA101" s="81">
        <f t="shared" si="71"/>
        <v>60000</v>
      </c>
    </row>
    <row r="102" spans="1:27" s="24" customFormat="1" ht="21" customHeight="1">
      <c r="A102" s="86"/>
      <c r="B102" s="82"/>
      <c r="C102" s="67">
        <v>4280</v>
      </c>
      <c r="D102" s="38" t="s">
        <v>217</v>
      </c>
      <c r="E102" s="81">
        <v>10200</v>
      </c>
      <c r="F102" s="81"/>
      <c r="G102" s="81">
        <f t="shared" si="61"/>
        <v>10200</v>
      </c>
      <c r="H102" s="81"/>
      <c r="I102" s="81">
        <f t="shared" si="62"/>
        <v>10200</v>
      </c>
      <c r="J102" s="81"/>
      <c r="K102" s="81">
        <f t="shared" si="63"/>
        <v>10200</v>
      </c>
      <c r="L102" s="81"/>
      <c r="M102" s="81">
        <f t="shared" si="64"/>
        <v>10200</v>
      </c>
      <c r="N102" s="81"/>
      <c r="O102" s="81">
        <f t="shared" si="65"/>
        <v>10200</v>
      </c>
      <c r="P102" s="81"/>
      <c r="Q102" s="81">
        <f t="shared" si="66"/>
        <v>10200</v>
      </c>
      <c r="R102" s="81"/>
      <c r="S102" s="81">
        <f t="shared" si="67"/>
        <v>10200</v>
      </c>
      <c r="T102" s="81"/>
      <c r="U102" s="81">
        <f t="shared" si="68"/>
        <v>10200</v>
      </c>
      <c r="V102" s="81"/>
      <c r="W102" s="81">
        <f t="shared" si="69"/>
        <v>10200</v>
      </c>
      <c r="X102" s="81"/>
      <c r="Y102" s="81">
        <f t="shared" si="70"/>
        <v>10200</v>
      </c>
      <c r="Z102" s="81"/>
      <c r="AA102" s="81">
        <f t="shared" si="71"/>
        <v>10200</v>
      </c>
    </row>
    <row r="103" spans="1:27" s="24" customFormat="1" ht="21" customHeight="1">
      <c r="A103" s="86"/>
      <c r="B103" s="82"/>
      <c r="C103" s="67">
        <v>4300</v>
      </c>
      <c r="D103" s="38" t="s">
        <v>79</v>
      </c>
      <c r="E103" s="81">
        <v>168000</v>
      </c>
      <c r="F103" s="81"/>
      <c r="G103" s="81">
        <f t="shared" si="61"/>
        <v>168000</v>
      </c>
      <c r="H103" s="81"/>
      <c r="I103" s="81">
        <f t="shared" si="62"/>
        <v>168000</v>
      </c>
      <c r="J103" s="81">
        <v>14000</v>
      </c>
      <c r="K103" s="81">
        <f t="shared" si="63"/>
        <v>182000</v>
      </c>
      <c r="L103" s="81">
        <v>30000</v>
      </c>
      <c r="M103" s="81">
        <f t="shared" si="64"/>
        <v>212000</v>
      </c>
      <c r="N103" s="81"/>
      <c r="O103" s="81">
        <f t="shared" si="65"/>
        <v>212000</v>
      </c>
      <c r="P103" s="81">
        <v>-11500</v>
      </c>
      <c r="Q103" s="81">
        <f t="shared" si="66"/>
        <v>200500</v>
      </c>
      <c r="R103" s="81"/>
      <c r="S103" s="81">
        <f t="shared" si="67"/>
        <v>200500</v>
      </c>
      <c r="T103" s="81"/>
      <c r="U103" s="81">
        <f t="shared" si="68"/>
        <v>200500</v>
      </c>
      <c r="V103" s="81"/>
      <c r="W103" s="81">
        <f t="shared" si="69"/>
        <v>200500</v>
      </c>
      <c r="X103" s="81">
        <v>-350</v>
      </c>
      <c r="Y103" s="81">
        <f t="shared" si="70"/>
        <v>200150</v>
      </c>
      <c r="Z103" s="81"/>
      <c r="AA103" s="81">
        <f t="shared" si="71"/>
        <v>200150</v>
      </c>
    </row>
    <row r="104" spans="1:27" s="24" customFormat="1" ht="21" customHeight="1">
      <c r="A104" s="86"/>
      <c r="B104" s="82"/>
      <c r="C104" s="67">
        <v>4350</v>
      </c>
      <c r="D104" s="38" t="s">
        <v>205</v>
      </c>
      <c r="E104" s="81">
        <v>14500</v>
      </c>
      <c r="F104" s="81"/>
      <c r="G104" s="81">
        <f t="shared" si="61"/>
        <v>14500</v>
      </c>
      <c r="H104" s="81"/>
      <c r="I104" s="81">
        <f t="shared" si="62"/>
        <v>14500</v>
      </c>
      <c r="J104" s="81"/>
      <c r="K104" s="81">
        <f t="shared" si="63"/>
        <v>14500</v>
      </c>
      <c r="L104" s="81"/>
      <c r="M104" s="81">
        <f t="shared" si="64"/>
        <v>14500</v>
      </c>
      <c r="N104" s="81"/>
      <c r="O104" s="81">
        <f t="shared" si="65"/>
        <v>14500</v>
      </c>
      <c r="P104" s="81"/>
      <c r="Q104" s="81">
        <f t="shared" si="66"/>
        <v>14500</v>
      </c>
      <c r="R104" s="81"/>
      <c r="S104" s="81">
        <f t="shared" si="67"/>
        <v>14500</v>
      </c>
      <c r="T104" s="81"/>
      <c r="U104" s="81">
        <f t="shared" si="68"/>
        <v>14500</v>
      </c>
      <c r="V104" s="81"/>
      <c r="W104" s="81">
        <f t="shared" si="69"/>
        <v>14500</v>
      </c>
      <c r="X104" s="81"/>
      <c r="Y104" s="81">
        <f t="shared" si="70"/>
        <v>14500</v>
      </c>
      <c r="Z104" s="81"/>
      <c r="AA104" s="81">
        <f t="shared" si="71"/>
        <v>14500</v>
      </c>
    </row>
    <row r="105" spans="1:27" s="24" customFormat="1" ht="38.25" customHeight="1">
      <c r="A105" s="86"/>
      <c r="B105" s="82"/>
      <c r="C105" s="67">
        <v>4360</v>
      </c>
      <c r="D105" s="38" t="s">
        <v>433</v>
      </c>
      <c r="E105" s="81">
        <v>26000</v>
      </c>
      <c r="F105" s="81"/>
      <c r="G105" s="81">
        <f t="shared" si="61"/>
        <v>26000</v>
      </c>
      <c r="H105" s="81"/>
      <c r="I105" s="81">
        <f t="shared" si="62"/>
        <v>26000</v>
      </c>
      <c r="J105" s="81"/>
      <c r="K105" s="81">
        <f t="shared" si="63"/>
        <v>26000</v>
      </c>
      <c r="L105" s="81"/>
      <c r="M105" s="81">
        <f t="shared" si="64"/>
        <v>26000</v>
      </c>
      <c r="N105" s="81">
        <v>-500</v>
      </c>
      <c r="O105" s="81">
        <f t="shared" si="65"/>
        <v>25500</v>
      </c>
      <c r="P105" s="81">
        <v>-3000</v>
      </c>
      <c r="Q105" s="81">
        <f t="shared" si="66"/>
        <v>22500</v>
      </c>
      <c r="R105" s="81"/>
      <c r="S105" s="81">
        <f t="shared" si="67"/>
        <v>22500</v>
      </c>
      <c r="T105" s="81"/>
      <c r="U105" s="81">
        <f t="shared" si="68"/>
        <v>22500</v>
      </c>
      <c r="V105" s="81"/>
      <c r="W105" s="81">
        <f t="shared" si="69"/>
        <v>22500</v>
      </c>
      <c r="X105" s="81"/>
      <c r="Y105" s="81">
        <f t="shared" si="70"/>
        <v>22500</v>
      </c>
      <c r="Z105" s="81"/>
      <c r="AA105" s="81">
        <f t="shared" si="71"/>
        <v>22500</v>
      </c>
    </row>
    <row r="106" spans="1:27" s="24" customFormat="1" ht="36">
      <c r="A106" s="86"/>
      <c r="B106" s="82"/>
      <c r="C106" s="67">
        <v>4370</v>
      </c>
      <c r="D106" s="38" t="s">
        <v>432</v>
      </c>
      <c r="E106" s="81">
        <v>28500</v>
      </c>
      <c r="F106" s="81"/>
      <c r="G106" s="81">
        <f t="shared" si="61"/>
        <v>28500</v>
      </c>
      <c r="H106" s="81"/>
      <c r="I106" s="81">
        <f t="shared" si="62"/>
        <v>28500</v>
      </c>
      <c r="J106" s="81"/>
      <c r="K106" s="81">
        <f t="shared" si="63"/>
        <v>28500</v>
      </c>
      <c r="L106" s="81"/>
      <c r="M106" s="81">
        <f t="shared" si="64"/>
        <v>28500</v>
      </c>
      <c r="N106" s="81"/>
      <c r="O106" s="81">
        <f t="shared" si="65"/>
        <v>28500</v>
      </c>
      <c r="P106" s="81"/>
      <c r="Q106" s="81">
        <f t="shared" si="66"/>
        <v>28500</v>
      </c>
      <c r="R106" s="81"/>
      <c r="S106" s="81">
        <f t="shared" si="67"/>
        <v>28500</v>
      </c>
      <c r="T106" s="81"/>
      <c r="U106" s="81">
        <f t="shared" si="68"/>
        <v>28500</v>
      </c>
      <c r="V106" s="81"/>
      <c r="W106" s="81">
        <f t="shared" si="69"/>
        <v>28500</v>
      </c>
      <c r="X106" s="81"/>
      <c r="Y106" s="81">
        <f t="shared" si="70"/>
        <v>28500</v>
      </c>
      <c r="Z106" s="81"/>
      <c r="AA106" s="81">
        <f t="shared" si="71"/>
        <v>28500</v>
      </c>
    </row>
    <row r="107" spans="1:27" s="24" customFormat="1" ht="21.75" customHeight="1">
      <c r="A107" s="86"/>
      <c r="B107" s="82"/>
      <c r="C107" s="67">
        <v>4410</v>
      </c>
      <c r="D107" s="38" t="s">
        <v>90</v>
      </c>
      <c r="E107" s="81">
        <v>55000</v>
      </c>
      <c r="F107" s="81">
        <v>-20000</v>
      </c>
      <c r="G107" s="81">
        <f t="shared" si="61"/>
        <v>35000</v>
      </c>
      <c r="H107" s="81"/>
      <c r="I107" s="81">
        <f t="shared" si="62"/>
        <v>35000</v>
      </c>
      <c r="J107" s="81"/>
      <c r="K107" s="81">
        <f t="shared" si="63"/>
        <v>35000</v>
      </c>
      <c r="L107" s="81"/>
      <c r="M107" s="81">
        <f t="shared" si="64"/>
        <v>35000</v>
      </c>
      <c r="N107" s="81"/>
      <c r="O107" s="81">
        <f t="shared" si="65"/>
        <v>35000</v>
      </c>
      <c r="P107" s="81">
        <v>8000</v>
      </c>
      <c r="Q107" s="81">
        <f t="shared" si="66"/>
        <v>43000</v>
      </c>
      <c r="R107" s="81"/>
      <c r="S107" s="81">
        <f t="shared" si="67"/>
        <v>43000</v>
      </c>
      <c r="T107" s="81"/>
      <c r="U107" s="81">
        <f t="shared" si="68"/>
        <v>43000</v>
      </c>
      <c r="V107" s="81"/>
      <c r="W107" s="81">
        <f t="shared" si="69"/>
        <v>43000</v>
      </c>
      <c r="X107" s="81"/>
      <c r="Y107" s="81">
        <f t="shared" si="70"/>
        <v>43000</v>
      </c>
      <c r="Z107" s="81"/>
      <c r="AA107" s="81">
        <f t="shared" si="71"/>
        <v>43000</v>
      </c>
    </row>
    <row r="108" spans="1:27" s="24" customFormat="1" ht="21.75" customHeight="1">
      <c r="A108" s="86"/>
      <c r="B108" s="82"/>
      <c r="C108" s="67">
        <v>4420</v>
      </c>
      <c r="D108" s="38" t="s">
        <v>93</v>
      </c>
      <c r="E108" s="81"/>
      <c r="F108" s="81"/>
      <c r="G108" s="81"/>
      <c r="H108" s="81"/>
      <c r="I108" s="81">
        <v>0</v>
      </c>
      <c r="J108" s="81">
        <v>500</v>
      </c>
      <c r="K108" s="81">
        <f t="shared" si="63"/>
        <v>500</v>
      </c>
      <c r="L108" s="81"/>
      <c r="M108" s="81">
        <f t="shared" si="64"/>
        <v>500</v>
      </c>
      <c r="N108" s="81">
        <v>500</v>
      </c>
      <c r="O108" s="81">
        <f t="shared" si="65"/>
        <v>1000</v>
      </c>
      <c r="P108" s="81">
        <v>2000</v>
      </c>
      <c r="Q108" s="81">
        <f t="shared" si="66"/>
        <v>3000</v>
      </c>
      <c r="R108" s="81"/>
      <c r="S108" s="81">
        <f t="shared" si="67"/>
        <v>3000</v>
      </c>
      <c r="T108" s="81"/>
      <c r="U108" s="81">
        <f t="shared" si="68"/>
        <v>3000</v>
      </c>
      <c r="V108" s="81"/>
      <c r="W108" s="81">
        <f t="shared" si="69"/>
        <v>3000</v>
      </c>
      <c r="X108" s="81"/>
      <c r="Y108" s="81">
        <f t="shared" si="70"/>
        <v>3000</v>
      </c>
      <c r="Z108" s="81"/>
      <c r="AA108" s="81">
        <f t="shared" si="71"/>
        <v>3000</v>
      </c>
    </row>
    <row r="109" spans="1:27" s="24" customFormat="1" ht="16.5" customHeight="1">
      <c r="A109" s="86"/>
      <c r="B109" s="82"/>
      <c r="C109" s="70">
        <v>4430</v>
      </c>
      <c r="D109" s="38" t="s">
        <v>94</v>
      </c>
      <c r="E109" s="81">
        <v>8300</v>
      </c>
      <c r="F109" s="81"/>
      <c r="G109" s="81">
        <f t="shared" si="61"/>
        <v>8300</v>
      </c>
      <c r="H109" s="81"/>
      <c r="I109" s="81">
        <f t="shared" si="62"/>
        <v>8300</v>
      </c>
      <c r="J109" s="81"/>
      <c r="K109" s="81">
        <f t="shared" si="63"/>
        <v>8300</v>
      </c>
      <c r="L109" s="81"/>
      <c r="M109" s="81">
        <f t="shared" si="64"/>
        <v>8300</v>
      </c>
      <c r="N109" s="81"/>
      <c r="O109" s="81">
        <f t="shared" si="65"/>
        <v>8300</v>
      </c>
      <c r="P109" s="81"/>
      <c r="Q109" s="81">
        <f t="shared" si="66"/>
        <v>8300</v>
      </c>
      <c r="R109" s="81"/>
      <c r="S109" s="81">
        <f t="shared" si="67"/>
        <v>8300</v>
      </c>
      <c r="T109" s="81"/>
      <c r="U109" s="81">
        <f t="shared" si="68"/>
        <v>8300</v>
      </c>
      <c r="V109" s="81"/>
      <c r="W109" s="81">
        <f t="shared" si="69"/>
        <v>8300</v>
      </c>
      <c r="X109" s="81"/>
      <c r="Y109" s="81">
        <f t="shared" si="70"/>
        <v>8300</v>
      </c>
      <c r="Z109" s="81"/>
      <c r="AA109" s="81">
        <f t="shared" si="71"/>
        <v>8300</v>
      </c>
    </row>
    <row r="110" spans="1:27" s="24" customFormat="1" ht="24">
      <c r="A110" s="86"/>
      <c r="B110" s="82"/>
      <c r="C110" s="70">
        <v>4440</v>
      </c>
      <c r="D110" s="38" t="s">
        <v>88</v>
      </c>
      <c r="E110" s="81">
        <v>108869</v>
      </c>
      <c r="F110" s="81"/>
      <c r="G110" s="81">
        <f t="shared" si="61"/>
        <v>108869</v>
      </c>
      <c r="H110" s="81"/>
      <c r="I110" s="81">
        <f t="shared" si="62"/>
        <v>108869</v>
      </c>
      <c r="J110" s="81">
        <v>-17500</v>
      </c>
      <c r="K110" s="81">
        <f t="shared" si="63"/>
        <v>91369</v>
      </c>
      <c r="L110" s="81"/>
      <c r="M110" s="81">
        <f t="shared" si="64"/>
        <v>91369</v>
      </c>
      <c r="N110" s="81"/>
      <c r="O110" s="81">
        <f t="shared" si="65"/>
        <v>91369</v>
      </c>
      <c r="P110" s="81"/>
      <c r="Q110" s="81">
        <f t="shared" si="66"/>
        <v>91369</v>
      </c>
      <c r="R110" s="81"/>
      <c r="S110" s="81">
        <f t="shared" si="67"/>
        <v>91369</v>
      </c>
      <c r="T110" s="81"/>
      <c r="U110" s="81">
        <f t="shared" si="68"/>
        <v>91369</v>
      </c>
      <c r="V110" s="81"/>
      <c r="W110" s="81">
        <f t="shared" si="69"/>
        <v>91369</v>
      </c>
      <c r="X110" s="81"/>
      <c r="Y110" s="81">
        <f t="shared" si="70"/>
        <v>91369</v>
      </c>
      <c r="Z110" s="81"/>
      <c r="AA110" s="81">
        <f t="shared" si="71"/>
        <v>91369</v>
      </c>
    </row>
    <row r="111" spans="1:27" s="24" customFormat="1" ht="21.75" customHeight="1">
      <c r="A111" s="86"/>
      <c r="B111" s="82"/>
      <c r="C111" s="70">
        <v>4510</v>
      </c>
      <c r="D111" s="38" t="s">
        <v>145</v>
      </c>
      <c r="E111" s="81"/>
      <c r="F111" s="81"/>
      <c r="G111" s="81"/>
      <c r="H111" s="81"/>
      <c r="I111" s="81">
        <v>0</v>
      </c>
      <c r="J111" s="81">
        <v>500</v>
      </c>
      <c r="K111" s="81">
        <f t="shared" si="63"/>
        <v>500</v>
      </c>
      <c r="L111" s="81"/>
      <c r="M111" s="81">
        <f t="shared" si="64"/>
        <v>500</v>
      </c>
      <c r="N111" s="81"/>
      <c r="O111" s="81">
        <f t="shared" si="65"/>
        <v>500</v>
      </c>
      <c r="P111" s="81"/>
      <c r="Q111" s="81">
        <f t="shared" si="66"/>
        <v>500</v>
      </c>
      <c r="R111" s="81"/>
      <c r="S111" s="81">
        <f t="shared" si="67"/>
        <v>500</v>
      </c>
      <c r="T111" s="81"/>
      <c r="U111" s="81">
        <f t="shared" si="68"/>
        <v>500</v>
      </c>
      <c r="V111" s="81"/>
      <c r="W111" s="81">
        <f t="shared" si="69"/>
        <v>500</v>
      </c>
      <c r="X111" s="81">
        <v>350</v>
      </c>
      <c r="Y111" s="81">
        <f t="shared" si="70"/>
        <v>850</v>
      </c>
      <c r="Z111" s="81"/>
      <c r="AA111" s="81">
        <f t="shared" si="71"/>
        <v>850</v>
      </c>
    </row>
    <row r="112" spans="1:27" s="24" customFormat="1" ht="22.5" customHeight="1">
      <c r="A112" s="86"/>
      <c r="B112" s="82"/>
      <c r="C112" s="70">
        <v>4700</v>
      </c>
      <c r="D112" s="38" t="s">
        <v>249</v>
      </c>
      <c r="E112" s="81">
        <v>40800</v>
      </c>
      <c r="F112" s="81">
        <v>-10000</v>
      </c>
      <c r="G112" s="81">
        <f t="shared" si="61"/>
        <v>30800</v>
      </c>
      <c r="H112" s="81"/>
      <c r="I112" s="81">
        <f t="shared" si="62"/>
        <v>30800</v>
      </c>
      <c r="J112" s="81">
        <v>-500</v>
      </c>
      <c r="K112" s="81">
        <f t="shared" si="63"/>
        <v>30300</v>
      </c>
      <c r="L112" s="81"/>
      <c r="M112" s="81">
        <f t="shared" si="64"/>
        <v>30300</v>
      </c>
      <c r="N112" s="81"/>
      <c r="O112" s="81">
        <f t="shared" si="65"/>
        <v>30300</v>
      </c>
      <c r="P112" s="81"/>
      <c r="Q112" s="81">
        <f t="shared" si="66"/>
        <v>30300</v>
      </c>
      <c r="R112" s="81">
        <v>-432</v>
      </c>
      <c r="S112" s="81">
        <f t="shared" si="67"/>
        <v>29868</v>
      </c>
      <c r="T112" s="81"/>
      <c r="U112" s="81">
        <f t="shared" si="68"/>
        <v>29868</v>
      </c>
      <c r="V112" s="81"/>
      <c r="W112" s="81">
        <f t="shared" si="69"/>
        <v>29868</v>
      </c>
      <c r="X112" s="81"/>
      <c r="Y112" s="81">
        <f t="shared" si="70"/>
        <v>29868</v>
      </c>
      <c r="Z112" s="81"/>
      <c r="AA112" s="81">
        <f t="shared" si="71"/>
        <v>29868</v>
      </c>
    </row>
    <row r="113" spans="1:27" s="24" customFormat="1" ht="28.5" customHeight="1">
      <c r="A113" s="86"/>
      <c r="B113" s="82"/>
      <c r="C113" s="70">
        <v>4740</v>
      </c>
      <c r="D113" s="38" t="s">
        <v>267</v>
      </c>
      <c r="E113" s="81">
        <v>20000</v>
      </c>
      <c r="F113" s="81"/>
      <c r="G113" s="81">
        <f t="shared" si="61"/>
        <v>20000</v>
      </c>
      <c r="H113" s="81"/>
      <c r="I113" s="81">
        <f t="shared" si="62"/>
        <v>20000</v>
      </c>
      <c r="J113" s="81"/>
      <c r="K113" s="81">
        <f t="shared" si="63"/>
        <v>20000</v>
      </c>
      <c r="L113" s="81"/>
      <c r="M113" s="81">
        <f t="shared" si="64"/>
        <v>20000</v>
      </c>
      <c r="N113" s="81"/>
      <c r="O113" s="81">
        <f t="shared" si="65"/>
        <v>20000</v>
      </c>
      <c r="P113" s="81"/>
      <c r="Q113" s="81">
        <f t="shared" si="66"/>
        <v>20000</v>
      </c>
      <c r="R113" s="81"/>
      <c r="S113" s="81">
        <f t="shared" si="67"/>
        <v>20000</v>
      </c>
      <c r="T113" s="81"/>
      <c r="U113" s="81">
        <f t="shared" si="68"/>
        <v>20000</v>
      </c>
      <c r="V113" s="81"/>
      <c r="W113" s="81">
        <f t="shared" si="69"/>
        <v>20000</v>
      </c>
      <c r="X113" s="81"/>
      <c r="Y113" s="81">
        <f t="shared" si="70"/>
        <v>20000</v>
      </c>
      <c r="Z113" s="81"/>
      <c r="AA113" s="81">
        <f t="shared" si="71"/>
        <v>20000</v>
      </c>
    </row>
    <row r="114" spans="1:27" s="24" customFormat="1" ht="27.75" customHeight="1">
      <c r="A114" s="86"/>
      <c r="B114" s="82"/>
      <c r="C114" s="70">
        <v>4750</v>
      </c>
      <c r="D114" s="38" t="s">
        <v>223</v>
      </c>
      <c r="E114" s="81">
        <v>119519</v>
      </c>
      <c r="F114" s="81"/>
      <c r="G114" s="81">
        <f>SUM(E114:F114)</f>
        <v>119519</v>
      </c>
      <c r="H114" s="81"/>
      <c r="I114" s="81">
        <f>SUM(G114:H114)</f>
        <v>119519</v>
      </c>
      <c r="J114" s="81"/>
      <c r="K114" s="81">
        <f>SUM(I114:J114)</f>
        <v>119519</v>
      </c>
      <c r="L114" s="81">
        <v>13000</v>
      </c>
      <c r="M114" s="81">
        <f>SUM(K114:L114)</f>
        <v>132519</v>
      </c>
      <c r="N114" s="81"/>
      <c r="O114" s="81">
        <f>SUM(M114:N114)</f>
        <v>132519</v>
      </c>
      <c r="P114" s="81"/>
      <c r="Q114" s="81">
        <f>SUM(O114:P114)</f>
        <v>132519</v>
      </c>
      <c r="R114" s="81"/>
      <c r="S114" s="81">
        <f>SUM(Q114:R114)</f>
        <v>132519</v>
      </c>
      <c r="T114" s="81"/>
      <c r="U114" s="81">
        <f>SUM(S114:T114)</f>
        <v>132519</v>
      </c>
      <c r="V114" s="81"/>
      <c r="W114" s="81">
        <f>SUM(U114:V114)</f>
        <v>132519</v>
      </c>
      <c r="X114" s="81"/>
      <c r="Y114" s="81">
        <f>SUM(W114:X114)</f>
        <v>132519</v>
      </c>
      <c r="Z114" s="81"/>
      <c r="AA114" s="81">
        <f>SUM(Y114:Z114)</f>
        <v>132519</v>
      </c>
    </row>
    <row r="115" spans="1:27" s="24" customFormat="1" ht="27.75" customHeight="1">
      <c r="A115" s="86"/>
      <c r="B115" s="82"/>
      <c r="C115" s="70">
        <v>4780</v>
      </c>
      <c r="D115" s="38" t="s">
        <v>476</v>
      </c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>
        <v>0</v>
      </c>
      <c r="R115" s="81">
        <v>600</v>
      </c>
      <c r="S115" s="81">
        <f>SUM(Q115:R115)</f>
        <v>600</v>
      </c>
      <c r="T115" s="81"/>
      <c r="U115" s="81">
        <f>SUM(S115:T115)</f>
        <v>600</v>
      </c>
      <c r="V115" s="81"/>
      <c r="W115" s="81">
        <f>SUM(U115:V115)</f>
        <v>600</v>
      </c>
      <c r="X115" s="81"/>
      <c r="Y115" s="81">
        <f>SUM(W115:X115)</f>
        <v>600</v>
      </c>
      <c r="Z115" s="81"/>
      <c r="AA115" s="81">
        <f>SUM(Y115:Z115)</f>
        <v>600</v>
      </c>
    </row>
    <row r="116" spans="1:27" s="24" customFormat="1" ht="24">
      <c r="A116" s="86"/>
      <c r="B116" s="82"/>
      <c r="C116" s="70">
        <v>6050</v>
      </c>
      <c r="D116" s="38" t="s">
        <v>73</v>
      </c>
      <c r="E116" s="81">
        <v>150000</v>
      </c>
      <c r="F116" s="81">
        <v>-100000</v>
      </c>
      <c r="G116" s="81">
        <f t="shared" si="61"/>
        <v>50000</v>
      </c>
      <c r="H116" s="81"/>
      <c r="I116" s="81">
        <f>SUM(G116:H116)</f>
        <v>50000</v>
      </c>
      <c r="J116" s="81"/>
      <c r="K116" s="81">
        <f>SUM(I116:J116)</f>
        <v>50000</v>
      </c>
      <c r="L116" s="81"/>
      <c r="M116" s="81">
        <f>SUM(K116:L116)</f>
        <v>50000</v>
      </c>
      <c r="N116" s="81"/>
      <c r="O116" s="81">
        <f>SUM(M116:N116)</f>
        <v>50000</v>
      </c>
      <c r="P116" s="81"/>
      <c r="Q116" s="81">
        <f>SUM(O116:P116)</f>
        <v>50000</v>
      </c>
      <c r="R116" s="81"/>
      <c r="S116" s="81">
        <f>SUM(Q116:R116)</f>
        <v>50000</v>
      </c>
      <c r="T116" s="81"/>
      <c r="U116" s="81">
        <f>SUM(S116:T116)</f>
        <v>50000</v>
      </c>
      <c r="V116" s="81"/>
      <c r="W116" s="81">
        <f>SUM(U116:V116)</f>
        <v>50000</v>
      </c>
      <c r="X116" s="81"/>
      <c r="Y116" s="81">
        <f>SUM(W116:X116)</f>
        <v>50000</v>
      </c>
      <c r="Z116" s="81"/>
      <c r="AA116" s="81">
        <f>SUM(Y116:Z116)</f>
        <v>50000</v>
      </c>
    </row>
    <row r="117" spans="1:27" s="24" customFormat="1" ht="19.5" customHeight="1">
      <c r="A117" s="86"/>
      <c r="B117" s="82">
        <v>75056</v>
      </c>
      <c r="C117" s="70"/>
      <c r="D117" s="38" t="s">
        <v>517</v>
      </c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>
        <f>SUM(Y118:Y124)</f>
        <v>0</v>
      </c>
      <c r="Z117" s="81">
        <f>SUM(Z118:Z124)</f>
        <v>14329</v>
      </c>
      <c r="AA117" s="81">
        <f>SUM(AA118:AA124)</f>
        <v>14329</v>
      </c>
    </row>
    <row r="118" spans="1:27" s="24" customFormat="1" ht="24">
      <c r="A118" s="86"/>
      <c r="B118" s="82"/>
      <c r="C118" s="70">
        <v>3020</v>
      </c>
      <c r="D118" s="38" t="s">
        <v>188</v>
      </c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>
        <v>0</v>
      </c>
      <c r="Z118" s="81">
        <v>11500</v>
      </c>
      <c r="AA118" s="81">
        <f aca="true" t="shared" si="72" ref="AA118:AA124">SUM(Y118:Z118)</f>
        <v>11500</v>
      </c>
    </row>
    <row r="119" spans="1:30" s="24" customFormat="1" ht="19.5" customHeight="1">
      <c r="A119" s="86"/>
      <c r="B119" s="82"/>
      <c r="C119" s="70">
        <v>4110</v>
      </c>
      <c r="D119" s="38" t="s">
        <v>86</v>
      </c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>
        <v>0</v>
      </c>
      <c r="Z119" s="81">
        <v>1747</v>
      </c>
      <c r="AA119" s="81">
        <f t="shared" si="72"/>
        <v>1747</v>
      </c>
      <c r="AB119" s="119"/>
      <c r="AC119" s="119"/>
      <c r="AD119" s="119"/>
    </row>
    <row r="120" spans="1:30" s="24" customFormat="1" ht="19.5" customHeight="1">
      <c r="A120" s="86"/>
      <c r="B120" s="82"/>
      <c r="C120" s="70">
        <v>4120</v>
      </c>
      <c r="D120" s="38" t="s">
        <v>87</v>
      </c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>
        <v>0</v>
      </c>
      <c r="Z120" s="81">
        <v>282</v>
      </c>
      <c r="AA120" s="81">
        <f t="shared" si="72"/>
        <v>282</v>
      </c>
      <c r="AB120" s="119"/>
      <c r="AC120" s="119"/>
      <c r="AD120" s="119"/>
    </row>
    <row r="121" spans="1:27" s="24" customFormat="1" ht="19.5" customHeight="1">
      <c r="A121" s="86"/>
      <c r="B121" s="82"/>
      <c r="C121" s="70">
        <v>4210</v>
      </c>
      <c r="D121" s="38" t="s">
        <v>92</v>
      </c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>
        <v>0</v>
      </c>
      <c r="Z121" s="81">
        <v>85</v>
      </c>
      <c r="AA121" s="81">
        <f t="shared" si="72"/>
        <v>85</v>
      </c>
    </row>
    <row r="122" spans="1:27" s="24" customFormat="1" ht="19.5" customHeight="1">
      <c r="A122" s="86"/>
      <c r="B122" s="82"/>
      <c r="C122" s="70">
        <v>4410</v>
      </c>
      <c r="D122" s="38" t="s">
        <v>90</v>
      </c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>
        <v>0</v>
      </c>
      <c r="Z122" s="81">
        <v>640</v>
      </c>
      <c r="AA122" s="81">
        <f t="shared" si="72"/>
        <v>640</v>
      </c>
    </row>
    <row r="123" spans="1:27" s="24" customFormat="1" ht="24">
      <c r="A123" s="86"/>
      <c r="B123" s="82"/>
      <c r="C123" s="70">
        <v>4740</v>
      </c>
      <c r="D123" s="38" t="s">
        <v>267</v>
      </c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>
        <v>0</v>
      </c>
      <c r="Z123" s="81">
        <v>25</v>
      </c>
      <c r="AA123" s="81">
        <f t="shared" si="72"/>
        <v>25</v>
      </c>
    </row>
    <row r="124" spans="1:27" s="24" customFormat="1" ht="24">
      <c r="A124" s="86"/>
      <c r="B124" s="82"/>
      <c r="C124" s="70">
        <v>4750</v>
      </c>
      <c r="D124" s="38" t="s">
        <v>223</v>
      </c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>
        <v>0</v>
      </c>
      <c r="Z124" s="81">
        <v>50</v>
      </c>
      <c r="AA124" s="81">
        <f t="shared" si="72"/>
        <v>50</v>
      </c>
    </row>
    <row r="125" spans="1:27" s="24" customFormat="1" ht="24">
      <c r="A125" s="86"/>
      <c r="B125" s="82">
        <v>75075</v>
      </c>
      <c r="C125" s="86"/>
      <c r="D125" s="38" t="s">
        <v>202</v>
      </c>
      <c r="E125" s="81">
        <f aca="true" t="shared" si="73" ref="E125:J125">SUM(E127:E137)</f>
        <v>238000</v>
      </c>
      <c r="F125" s="81">
        <f t="shared" si="73"/>
        <v>-48000</v>
      </c>
      <c r="G125" s="81">
        <f t="shared" si="73"/>
        <v>190000</v>
      </c>
      <c r="H125" s="81">
        <f t="shared" si="73"/>
        <v>0</v>
      </c>
      <c r="I125" s="81">
        <f t="shared" si="73"/>
        <v>190000</v>
      </c>
      <c r="J125" s="81">
        <f t="shared" si="73"/>
        <v>0</v>
      </c>
      <c r="K125" s="81">
        <f aca="true" t="shared" si="74" ref="K125:W125">SUM(K126:K137)</f>
        <v>190000</v>
      </c>
      <c r="L125" s="81">
        <f t="shared" si="74"/>
        <v>5000</v>
      </c>
      <c r="M125" s="81">
        <f t="shared" si="74"/>
        <v>195000</v>
      </c>
      <c r="N125" s="81">
        <f t="shared" si="74"/>
        <v>0</v>
      </c>
      <c r="O125" s="81">
        <f t="shared" si="74"/>
        <v>195000</v>
      </c>
      <c r="P125" s="81">
        <f t="shared" si="74"/>
        <v>0</v>
      </c>
      <c r="Q125" s="81">
        <f t="shared" si="74"/>
        <v>195000</v>
      </c>
      <c r="R125" s="81">
        <f t="shared" si="74"/>
        <v>0</v>
      </c>
      <c r="S125" s="81">
        <f t="shared" si="74"/>
        <v>195000</v>
      </c>
      <c r="T125" s="81">
        <f t="shared" si="74"/>
        <v>0</v>
      </c>
      <c r="U125" s="81">
        <f t="shared" si="74"/>
        <v>195000</v>
      </c>
      <c r="V125" s="81">
        <f t="shared" si="74"/>
        <v>0</v>
      </c>
      <c r="W125" s="81">
        <f t="shared" si="74"/>
        <v>195000</v>
      </c>
      <c r="X125" s="81">
        <f>SUM(X126:X137)</f>
        <v>0</v>
      </c>
      <c r="Y125" s="81">
        <f>SUM(Y126:Y137)</f>
        <v>195000</v>
      </c>
      <c r="Z125" s="81">
        <f>SUM(Z126:Z137)</f>
        <v>16450</v>
      </c>
      <c r="AA125" s="81">
        <f>SUM(AA126:AA137)</f>
        <v>211450</v>
      </c>
    </row>
    <row r="126" spans="1:27" s="24" customFormat="1" ht="48">
      <c r="A126" s="86"/>
      <c r="B126" s="82"/>
      <c r="C126" s="86">
        <v>2320</v>
      </c>
      <c r="D126" s="38" t="s">
        <v>149</v>
      </c>
      <c r="E126" s="81"/>
      <c r="F126" s="81"/>
      <c r="G126" s="81"/>
      <c r="H126" s="81"/>
      <c r="I126" s="81"/>
      <c r="J126" s="81"/>
      <c r="K126" s="81">
        <v>0</v>
      </c>
      <c r="L126" s="81">
        <v>5000</v>
      </c>
      <c r="M126" s="81">
        <f>SUM(K126:L126)</f>
        <v>5000</v>
      </c>
      <c r="N126" s="81"/>
      <c r="O126" s="81">
        <f>SUM(M126:N126)</f>
        <v>5000</v>
      </c>
      <c r="P126" s="81"/>
      <c r="Q126" s="81">
        <f>SUM(O126:P126)</f>
        <v>5000</v>
      </c>
      <c r="R126" s="81"/>
      <c r="S126" s="81">
        <f>SUM(Q126:R126)</f>
        <v>5000</v>
      </c>
      <c r="T126" s="81"/>
      <c r="U126" s="81">
        <f>SUM(S126:T126)</f>
        <v>5000</v>
      </c>
      <c r="V126" s="81"/>
      <c r="W126" s="81">
        <f>SUM(U126:V126)</f>
        <v>5000</v>
      </c>
      <c r="X126" s="81"/>
      <c r="Y126" s="81">
        <f>SUM(W126:X126)</f>
        <v>5000</v>
      </c>
      <c r="Z126" s="81"/>
      <c r="AA126" s="81">
        <f>SUM(Y126:Z126)</f>
        <v>5000</v>
      </c>
    </row>
    <row r="127" spans="1:27" s="24" customFormat="1" ht="21" customHeight="1">
      <c r="A127" s="86"/>
      <c r="B127" s="82"/>
      <c r="C127" s="86">
        <v>3020</v>
      </c>
      <c r="D127" s="38" t="s">
        <v>188</v>
      </c>
      <c r="E127" s="81">
        <v>10000</v>
      </c>
      <c r="F127" s="81"/>
      <c r="G127" s="81">
        <f>SUM(E127:F127)</f>
        <v>10000</v>
      </c>
      <c r="H127" s="81"/>
      <c r="I127" s="81">
        <f>SUM(G127:H127)</f>
        <v>10000</v>
      </c>
      <c r="J127" s="81"/>
      <c r="K127" s="81">
        <f>SUM(I127:J127)</f>
        <v>10000</v>
      </c>
      <c r="L127" s="81"/>
      <c r="M127" s="81">
        <f>SUM(K127:L127)</f>
        <v>10000</v>
      </c>
      <c r="N127" s="81"/>
      <c r="O127" s="81">
        <f>SUM(M127:N127)</f>
        <v>10000</v>
      </c>
      <c r="P127" s="81"/>
      <c r="Q127" s="81">
        <f>SUM(O127:P127)</f>
        <v>10000</v>
      </c>
      <c r="R127" s="81"/>
      <c r="S127" s="81">
        <f>SUM(Q127:R127)</f>
        <v>10000</v>
      </c>
      <c r="T127" s="81"/>
      <c r="U127" s="81">
        <f>SUM(S127:T127)</f>
        <v>10000</v>
      </c>
      <c r="V127" s="81"/>
      <c r="W127" s="81">
        <f>SUM(U127:V127)</f>
        <v>10000</v>
      </c>
      <c r="X127" s="81"/>
      <c r="Y127" s="81">
        <f>SUM(W127:X127)</f>
        <v>10000</v>
      </c>
      <c r="Z127" s="81"/>
      <c r="AA127" s="81">
        <f>SUM(Y127:Z127)</f>
        <v>10000</v>
      </c>
    </row>
    <row r="128" spans="1:30" s="24" customFormat="1" ht="21" customHeight="1">
      <c r="A128" s="86"/>
      <c r="B128" s="82"/>
      <c r="C128" s="86">
        <v>4110</v>
      </c>
      <c r="D128" s="38" t="s">
        <v>86</v>
      </c>
      <c r="E128" s="81">
        <v>1300</v>
      </c>
      <c r="F128" s="81"/>
      <c r="G128" s="81">
        <f aca="true" t="shared" si="75" ref="G128:G137">SUM(E128:F128)</f>
        <v>1300</v>
      </c>
      <c r="H128" s="81"/>
      <c r="I128" s="81">
        <f aca="true" t="shared" si="76" ref="I128:I137">SUM(G128:H128)</f>
        <v>1300</v>
      </c>
      <c r="J128" s="81"/>
      <c r="K128" s="81">
        <f aca="true" t="shared" si="77" ref="K128:K137">SUM(I128:J128)</f>
        <v>1300</v>
      </c>
      <c r="L128" s="81"/>
      <c r="M128" s="81">
        <f aca="true" t="shared" si="78" ref="M128:M137">SUM(K128:L128)</f>
        <v>1300</v>
      </c>
      <c r="N128" s="81"/>
      <c r="O128" s="81">
        <f aca="true" t="shared" si="79" ref="O128:O137">SUM(M128:N128)</f>
        <v>1300</v>
      </c>
      <c r="P128" s="81"/>
      <c r="Q128" s="81">
        <f aca="true" t="shared" si="80" ref="Q128:Q137">SUM(O128:P128)</f>
        <v>1300</v>
      </c>
      <c r="R128" s="81"/>
      <c r="S128" s="81">
        <f aca="true" t="shared" si="81" ref="S128:S137">SUM(Q128:R128)</f>
        <v>1300</v>
      </c>
      <c r="T128" s="81"/>
      <c r="U128" s="81">
        <f aca="true" t="shared" si="82" ref="U128:U137">SUM(S128:T128)</f>
        <v>1300</v>
      </c>
      <c r="V128" s="81"/>
      <c r="W128" s="81">
        <f aca="true" t="shared" si="83" ref="W128:W137">SUM(U128:V128)</f>
        <v>1300</v>
      </c>
      <c r="X128" s="81"/>
      <c r="Y128" s="81">
        <f aca="true" t="shared" si="84" ref="Y128:Y137">SUM(W128:X128)</f>
        <v>1300</v>
      </c>
      <c r="Z128" s="81"/>
      <c r="AA128" s="81">
        <f aca="true" t="shared" si="85" ref="AA128:AA137">SUM(Y128:Z128)</f>
        <v>1300</v>
      </c>
      <c r="AB128" s="119"/>
      <c r="AC128" s="119"/>
      <c r="AD128" s="119"/>
    </row>
    <row r="129" spans="1:30" s="24" customFormat="1" ht="21" customHeight="1">
      <c r="A129" s="86"/>
      <c r="B129" s="82"/>
      <c r="C129" s="86">
        <v>4120</v>
      </c>
      <c r="D129" s="38" t="s">
        <v>87</v>
      </c>
      <c r="E129" s="81">
        <v>200</v>
      </c>
      <c r="F129" s="81"/>
      <c r="G129" s="81">
        <f t="shared" si="75"/>
        <v>200</v>
      </c>
      <c r="H129" s="81"/>
      <c r="I129" s="81">
        <f t="shared" si="76"/>
        <v>200</v>
      </c>
      <c r="J129" s="81"/>
      <c r="K129" s="81">
        <f t="shared" si="77"/>
        <v>200</v>
      </c>
      <c r="L129" s="81"/>
      <c r="M129" s="81">
        <f t="shared" si="78"/>
        <v>200</v>
      </c>
      <c r="N129" s="81"/>
      <c r="O129" s="81">
        <f t="shared" si="79"/>
        <v>200</v>
      </c>
      <c r="P129" s="81"/>
      <c r="Q129" s="81">
        <f t="shared" si="80"/>
        <v>200</v>
      </c>
      <c r="R129" s="81"/>
      <c r="S129" s="81">
        <f t="shared" si="81"/>
        <v>200</v>
      </c>
      <c r="T129" s="81"/>
      <c r="U129" s="81">
        <f t="shared" si="82"/>
        <v>200</v>
      </c>
      <c r="V129" s="81"/>
      <c r="W129" s="81">
        <f t="shared" si="83"/>
        <v>200</v>
      </c>
      <c r="X129" s="81"/>
      <c r="Y129" s="81">
        <f t="shared" si="84"/>
        <v>200</v>
      </c>
      <c r="Z129" s="81"/>
      <c r="AA129" s="81">
        <f t="shared" si="85"/>
        <v>200</v>
      </c>
      <c r="AB129" s="119"/>
      <c r="AC129" s="119"/>
      <c r="AD129" s="119"/>
    </row>
    <row r="130" spans="1:30" s="24" customFormat="1" ht="21" customHeight="1">
      <c r="A130" s="86"/>
      <c r="B130" s="82"/>
      <c r="C130" s="86">
        <v>4170</v>
      </c>
      <c r="D130" s="38" t="s">
        <v>190</v>
      </c>
      <c r="E130" s="81">
        <v>15000</v>
      </c>
      <c r="F130" s="81"/>
      <c r="G130" s="81">
        <f t="shared" si="75"/>
        <v>15000</v>
      </c>
      <c r="H130" s="81"/>
      <c r="I130" s="81">
        <f t="shared" si="76"/>
        <v>15000</v>
      </c>
      <c r="J130" s="81"/>
      <c r="K130" s="81">
        <f t="shared" si="77"/>
        <v>15000</v>
      </c>
      <c r="L130" s="81"/>
      <c r="M130" s="81">
        <f t="shared" si="78"/>
        <v>15000</v>
      </c>
      <c r="N130" s="81"/>
      <c r="O130" s="81">
        <f t="shared" si="79"/>
        <v>15000</v>
      </c>
      <c r="P130" s="81"/>
      <c r="Q130" s="81">
        <f t="shared" si="80"/>
        <v>15000</v>
      </c>
      <c r="R130" s="81"/>
      <c r="S130" s="81">
        <f t="shared" si="81"/>
        <v>15000</v>
      </c>
      <c r="T130" s="81"/>
      <c r="U130" s="81">
        <f t="shared" si="82"/>
        <v>15000</v>
      </c>
      <c r="V130" s="81"/>
      <c r="W130" s="81">
        <f t="shared" si="83"/>
        <v>15000</v>
      </c>
      <c r="X130" s="81"/>
      <c r="Y130" s="81">
        <f t="shared" si="84"/>
        <v>15000</v>
      </c>
      <c r="Z130" s="81">
        <v>150</v>
      </c>
      <c r="AA130" s="81">
        <f t="shared" si="85"/>
        <v>15150</v>
      </c>
      <c r="AB130" s="119"/>
      <c r="AC130" s="119"/>
      <c r="AD130" s="119"/>
    </row>
    <row r="131" spans="1:27" s="24" customFormat="1" ht="21" customHeight="1">
      <c r="A131" s="86"/>
      <c r="B131" s="82"/>
      <c r="C131" s="86">
        <v>4210</v>
      </c>
      <c r="D131" s="38" t="s">
        <v>92</v>
      </c>
      <c r="E131" s="81">
        <v>64500</v>
      </c>
      <c r="F131" s="81">
        <v>-20000</v>
      </c>
      <c r="G131" s="81">
        <f t="shared" si="75"/>
        <v>44500</v>
      </c>
      <c r="H131" s="81"/>
      <c r="I131" s="81">
        <f t="shared" si="76"/>
        <v>44500</v>
      </c>
      <c r="J131" s="81"/>
      <c r="K131" s="81">
        <f t="shared" si="77"/>
        <v>44500</v>
      </c>
      <c r="L131" s="81"/>
      <c r="M131" s="81">
        <f t="shared" si="78"/>
        <v>44500</v>
      </c>
      <c r="N131" s="81"/>
      <c r="O131" s="81">
        <f t="shared" si="79"/>
        <v>44500</v>
      </c>
      <c r="P131" s="81"/>
      <c r="Q131" s="81">
        <f t="shared" si="80"/>
        <v>44500</v>
      </c>
      <c r="R131" s="81"/>
      <c r="S131" s="81">
        <f t="shared" si="81"/>
        <v>44500</v>
      </c>
      <c r="T131" s="81"/>
      <c r="U131" s="81">
        <f t="shared" si="82"/>
        <v>44500</v>
      </c>
      <c r="V131" s="81"/>
      <c r="W131" s="81">
        <f t="shared" si="83"/>
        <v>44500</v>
      </c>
      <c r="X131" s="81"/>
      <c r="Y131" s="81">
        <f t="shared" si="84"/>
        <v>44500</v>
      </c>
      <c r="Z131" s="81">
        <v>1750</v>
      </c>
      <c r="AA131" s="81">
        <f t="shared" si="85"/>
        <v>46250</v>
      </c>
    </row>
    <row r="132" spans="1:27" s="24" customFormat="1" ht="21" customHeight="1">
      <c r="A132" s="86"/>
      <c r="B132" s="82"/>
      <c r="C132" s="67">
        <v>4300</v>
      </c>
      <c r="D132" s="38" t="s">
        <v>79</v>
      </c>
      <c r="E132" s="81">
        <v>130200</v>
      </c>
      <c r="F132" s="81">
        <f>-23000-5000</f>
        <v>-28000</v>
      </c>
      <c r="G132" s="81">
        <f t="shared" si="75"/>
        <v>102200</v>
      </c>
      <c r="H132" s="81"/>
      <c r="I132" s="81">
        <f t="shared" si="76"/>
        <v>102200</v>
      </c>
      <c r="J132" s="81"/>
      <c r="K132" s="81">
        <f t="shared" si="77"/>
        <v>102200</v>
      </c>
      <c r="L132" s="81"/>
      <c r="M132" s="81">
        <f t="shared" si="78"/>
        <v>102200</v>
      </c>
      <c r="N132" s="81"/>
      <c r="O132" s="81">
        <f t="shared" si="79"/>
        <v>102200</v>
      </c>
      <c r="P132" s="81"/>
      <c r="Q132" s="81">
        <f t="shared" si="80"/>
        <v>102200</v>
      </c>
      <c r="R132" s="81"/>
      <c r="S132" s="81">
        <f t="shared" si="81"/>
        <v>102200</v>
      </c>
      <c r="T132" s="81"/>
      <c r="U132" s="81">
        <f t="shared" si="82"/>
        <v>102200</v>
      </c>
      <c r="V132" s="81"/>
      <c r="W132" s="81">
        <f t="shared" si="83"/>
        <v>102200</v>
      </c>
      <c r="X132" s="81"/>
      <c r="Y132" s="81">
        <f t="shared" si="84"/>
        <v>102200</v>
      </c>
      <c r="Z132" s="81">
        <v>7250</v>
      </c>
      <c r="AA132" s="81">
        <f t="shared" si="85"/>
        <v>109450</v>
      </c>
    </row>
    <row r="133" spans="1:27" s="24" customFormat="1" ht="21" customHeight="1">
      <c r="A133" s="86"/>
      <c r="B133" s="82"/>
      <c r="C133" s="67">
        <v>4410</v>
      </c>
      <c r="D133" s="38" t="s">
        <v>90</v>
      </c>
      <c r="E133" s="81">
        <v>4000</v>
      </c>
      <c r="F133" s="81"/>
      <c r="G133" s="81">
        <f t="shared" si="75"/>
        <v>4000</v>
      </c>
      <c r="H133" s="81"/>
      <c r="I133" s="81">
        <f t="shared" si="76"/>
        <v>4000</v>
      </c>
      <c r="J133" s="81"/>
      <c r="K133" s="81">
        <f t="shared" si="77"/>
        <v>4000</v>
      </c>
      <c r="L133" s="81"/>
      <c r="M133" s="81">
        <f t="shared" si="78"/>
        <v>4000</v>
      </c>
      <c r="N133" s="81"/>
      <c r="O133" s="81">
        <f t="shared" si="79"/>
        <v>4000</v>
      </c>
      <c r="P133" s="81"/>
      <c r="Q133" s="81">
        <f t="shared" si="80"/>
        <v>4000</v>
      </c>
      <c r="R133" s="81"/>
      <c r="S133" s="81">
        <f t="shared" si="81"/>
        <v>4000</v>
      </c>
      <c r="T133" s="81"/>
      <c r="U133" s="81">
        <f t="shared" si="82"/>
        <v>4000</v>
      </c>
      <c r="V133" s="81"/>
      <c r="W133" s="81">
        <f t="shared" si="83"/>
        <v>4000</v>
      </c>
      <c r="X133" s="81"/>
      <c r="Y133" s="81">
        <f t="shared" si="84"/>
        <v>4000</v>
      </c>
      <c r="Z133" s="81"/>
      <c r="AA133" s="81">
        <f t="shared" si="85"/>
        <v>4000</v>
      </c>
    </row>
    <row r="134" spans="1:27" s="24" customFormat="1" ht="21" customHeight="1">
      <c r="A134" s="86"/>
      <c r="B134" s="82"/>
      <c r="C134" s="86">
        <v>4420</v>
      </c>
      <c r="D134" s="38" t="s">
        <v>93</v>
      </c>
      <c r="E134" s="81">
        <v>10000</v>
      </c>
      <c r="F134" s="81"/>
      <c r="G134" s="81">
        <f t="shared" si="75"/>
        <v>10000</v>
      </c>
      <c r="H134" s="81"/>
      <c r="I134" s="81">
        <f t="shared" si="76"/>
        <v>10000</v>
      </c>
      <c r="J134" s="81"/>
      <c r="K134" s="81">
        <f t="shared" si="77"/>
        <v>10000</v>
      </c>
      <c r="L134" s="81"/>
      <c r="M134" s="81">
        <f t="shared" si="78"/>
        <v>10000</v>
      </c>
      <c r="N134" s="81"/>
      <c r="O134" s="81">
        <f t="shared" si="79"/>
        <v>10000</v>
      </c>
      <c r="P134" s="81"/>
      <c r="Q134" s="81">
        <f t="shared" si="80"/>
        <v>10000</v>
      </c>
      <c r="R134" s="81"/>
      <c r="S134" s="81">
        <f t="shared" si="81"/>
        <v>10000</v>
      </c>
      <c r="T134" s="81"/>
      <c r="U134" s="81">
        <f t="shared" si="82"/>
        <v>10000</v>
      </c>
      <c r="V134" s="81"/>
      <c r="W134" s="81">
        <f t="shared" si="83"/>
        <v>10000</v>
      </c>
      <c r="X134" s="81"/>
      <c r="Y134" s="81">
        <f t="shared" si="84"/>
        <v>10000</v>
      </c>
      <c r="Z134" s="81">
        <v>6800</v>
      </c>
      <c r="AA134" s="81">
        <f t="shared" si="85"/>
        <v>16800</v>
      </c>
    </row>
    <row r="135" spans="1:27" s="24" customFormat="1" ht="21" customHeight="1">
      <c r="A135" s="86"/>
      <c r="B135" s="82"/>
      <c r="C135" s="67">
        <v>4430</v>
      </c>
      <c r="D135" s="38" t="s">
        <v>94</v>
      </c>
      <c r="E135" s="81">
        <v>2000</v>
      </c>
      <c r="F135" s="81"/>
      <c r="G135" s="81">
        <f t="shared" si="75"/>
        <v>2000</v>
      </c>
      <c r="H135" s="81"/>
      <c r="I135" s="81">
        <f t="shared" si="76"/>
        <v>2000</v>
      </c>
      <c r="J135" s="81"/>
      <c r="K135" s="81">
        <f t="shared" si="77"/>
        <v>2000</v>
      </c>
      <c r="L135" s="81"/>
      <c r="M135" s="81">
        <f t="shared" si="78"/>
        <v>2000</v>
      </c>
      <c r="N135" s="81"/>
      <c r="O135" s="81">
        <f t="shared" si="79"/>
        <v>2000</v>
      </c>
      <c r="P135" s="81"/>
      <c r="Q135" s="81">
        <f t="shared" si="80"/>
        <v>2000</v>
      </c>
      <c r="R135" s="81"/>
      <c r="S135" s="81">
        <f t="shared" si="81"/>
        <v>2000</v>
      </c>
      <c r="T135" s="81"/>
      <c r="U135" s="81">
        <f t="shared" si="82"/>
        <v>2000</v>
      </c>
      <c r="V135" s="81"/>
      <c r="W135" s="81">
        <f t="shared" si="83"/>
        <v>2000</v>
      </c>
      <c r="X135" s="81"/>
      <c r="Y135" s="81">
        <f t="shared" si="84"/>
        <v>2000</v>
      </c>
      <c r="Z135" s="81">
        <v>500</v>
      </c>
      <c r="AA135" s="81">
        <f t="shared" si="85"/>
        <v>2500</v>
      </c>
    </row>
    <row r="136" spans="1:27" s="24" customFormat="1" ht="28.5" customHeight="1">
      <c r="A136" s="86"/>
      <c r="B136" s="82"/>
      <c r="C136" s="67">
        <v>4740</v>
      </c>
      <c r="D136" s="38" t="s">
        <v>267</v>
      </c>
      <c r="E136" s="81">
        <v>300</v>
      </c>
      <c r="F136" s="81"/>
      <c r="G136" s="81">
        <f t="shared" si="75"/>
        <v>300</v>
      </c>
      <c r="H136" s="81"/>
      <c r="I136" s="81">
        <f t="shared" si="76"/>
        <v>300</v>
      </c>
      <c r="J136" s="81"/>
      <c r="K136" s="81">
        <f t="shared" si="77"/>
        <v>300</v>
      </c>
      <c r="L136" s="81"/>
      <c r="M136" s="81">
        <f t="shared" si="78"/>
        <v>300</v>
      </c>
      <c r="N136" s="81"/>
      <c r="O136" s="81">
        <f t="shared" si="79"/>
        <v>300</v>
      </c>
      <c r="P136" s="81"/>
      <c r="Q136" s="81">
        <f t="shared" si="80"/>
        <v>300</v>
      </c>
      <c r="R136" s="81"/>
      <c r="S136" s="81">
        <f t="shared" si="81"/>
        <v>300</v>
      </c>
      <c r="T136" s="81"/>
      <c r="U136" s="81">
        <f t="shared" si="82"/>
        <v>300</v>
      </c>
      <c r="V136" s="81"/>
      <c r="W136" s="81">
        <f t="shared" si="83"/>
        <v>300</v>
      </c>
      <c r="X136" s="81"/>
      <c r="Y136" s="81">
        <f t="shared" si="84"/>
        <v>300</v>
      </c>
      <c r="Z136" s="81"/>
      <c r="AA136" s="81">
        <f t="shared" si="85"/>
        <v>300</v>
      </c>
    </row>
    <row r="137" spans="1:27" s="24" customFormat="1" ht="24">
      <c r="A137" s="86"/>
      <c r="B137" s="82"/>
      <c r="C137" s="67">
        <v>4750</v>
      </c>
      <c r="D137" s="38" t="s">
        <v>223</v>
      </c>
      <c r="E137" s="81">
        <v>500</v>
      </c>
      <c r="F137" s="81"/>
      <c r="G137" s="81">
        <f t="shared" si="75"/>
        <v>500</v>
      </c>
      <c r="H137" s="81"/>
      <c r="I137" s="81">
        <f t="shared" si="76"/>
        <v>500</v>
      </c>
      <c r="J137" s="81"/>
      <c r="K137" s="81">
        <f t="shared" si="77"/>
        <v>500</v>
      </c>
      <c r="L137" s="81"/>
      <c r="M137" s="81">
        <f t="shared" si="78"/>
        <v>500</v>
      </c>
      <c r="N137" s="81"/>
      <c r="O137" s="81">
        <f t="shared" si="79"/>
        <v>500</v>
      </c>
      <c r="P137" s="81"/>
      <c r="Q137" s="81">
        <f t="shared" si="80"/>
        <v>500</v>
      </c>
      <c r="R137" s="81"/>
      <c r="S137" s="81">
        <f t="shared" si="81"/>
        <v>500</v>
      </c>
      <c r="T137" s="81"/>
      <c r="U137" s="81">
        <f t="shared" si="82"/>
        <v>500</v>
      </c>
      <c r="V137" s="81"/>
      <c r="W137" s="81">
        <f t="shared" si="83"/>
        <v>500</v>
      </c>
      <c r="X137" s="81"/>
      <c r="Y137" s="81">
        <f t="shared" si="84"/>
        <v>500</v>
      </c>
      <c r="Z137" s="81"/>
      <c r="AA137" s="81">
        <f t="shared" si="85"/>
        <v>500</v>
      </c>
    </row>
    <row r="138" spans="1:27" s="24" customFormat="1" ht="21" customHeight="1">
      <c r="A138" s="86"/>
      <c r="B138" s="82">
        <v>75095</v>
      </c>
      <c r="C138" s="67"/>
      <c r="D138" s="38" t="s">
        <v>6</v>
      </c>
      <c r="E138" s="81">
        <f aca="true" t="shared" si="86" ref="E138:K138">SUM(E139:E142)</f>
        <v>114765</v>
      </c>
      <c r="F138" s="81">
        <f t="shared" si="86"/>
        <v>0</v>
      </c>
      <c r="G138" s="81">
        <f t="shared" si="86"/>
        <v>114765</v>
      </c>
      <c r="H138" s="81">
        <f t="shared" si="86"/>
        <v>0</v>
      </c>
      <c r="I138" s="81">
        <f t="shared" si="86"/>
        <v>114765</v>
      </c>
      <c r="J138" s="81">
        <f t="shared" si="86"/>
        <v>0</v>
      </c>
      <c r="K138" s="81">
        <f t="shared" si="86"/>
        <v>114765</v>
      </c>
      <c r="L138" s="81">
        <f>SUM(L139:L142)</f>
        <v>-1400</v>
      </c>
      <c r="M138" s="81">
        <f>SUM(M139:M142)</f>
        <v>113365</v>
      </c>
      <c r="N138" s="81">
        <f>SUM(N139:N142)</f>
        <v>0</v>
      </c>
      <c r="O138" s="81">
        <f aca="true" t="shared" si="87" ref="O138:U138">SUM(O139:O143)</f>
        <v>113365</v>
      </c>
      <c r="P138" s="81">
        <f t="shared" si="87"/>
        <v>0</v>
      </c>
      <c r="Q138" s="81">
        <f t="shared" si="87"/>
        <v>113365</v>
      </c>
      <c r="R138" s="81">
        <f t="shared" si="87"/>
        <v>0</v>
      </c>
      <c r="S138" s="81">
        <f t="shared" si="87"/>
        <v>113365</v>
      </c>
      <c r="T138" s="81">
        <f t="shared" si="87"/>
        <v>0</v>
      </c>
      <c r="U138" s="81">
        <f t="shared" si="87"/>
        <v>113365</v>
      </c>
      <c r="V138" s="81">
        <f aca="true" t="shared" si="88" ref="V138:AA138">SUM(V139:V143)</f>
        <v>0</v>
      </c>
      <c r="W138" s="81">
        <f t="shared" si="88"/>
        <v>113365</v>
      </c>
      <c r="X138" s="81">
        <f t="shared" si="88"/>
        <v>0</v>
      </c>
      <c r="Y138" s="81">
        <f t="shared" si="88"/>
        <v>113365</v>
      </c>
      <c r="Z138" s="81">
        <f t="shared" si="88"/>
        <v>0</v>
      </c>
      <c r="AA138" s="81">
        <f t="shared" si="88"/>
        <v>113365</v>
      </c>
    </row>
    <row r="139" spans="1:27" s="24" customFormat="1" ht="21" customHeight="1">
      <c r="A139" s="86"/>
      <c r="B139" s="82"/>
      <c r="C139" s="67">
        <v>3030</v>
      </c>
      <c r="D139" s="38" t="s">
        <v>89</v>
      </c>
      <c r="E139" s="81">
        <v>60000</v>
      </c>
      <c r="F139" s="81"/>
      <c r="G139" s="81">
        <f>SUM(E139:F139)</f>
        <v>60000</v>
      </c>
      <c r="H139" s="81"/>
      <c r="I139" s="81">
        <f>SUM(G139:H139)</f>
        <v>60000</v>
      </c>
      <c r="J139" s="81"/>
      <c r="K139" s="81">
        <f>SUM(I139:J139)</f>
        <v>60000</v>
      </c>
      <c r="L139" s="81">
        <v>-300</v>
      </c>
      <c r="M139" s="81">
        <f>SUM(K139:L139)</f>
        <v>59700</v>
      </c>
      <c r="N139" s="81"/>
      <c r="O139" s="81">
        <f>SUM(M139:N139)</f>
        <v>59700</v>
      </c>
      <c r="P139" s="81">
        <v>4600</v>
      </c>
      <c r="Q139" s="81">
        <f>SUM(O139:P139)</f>
        <v>64300</v>
      </c>
      <c r="R139" s="81"/>
      <c r="S139" s="81">
        <f>SUM(Q139:R139)</f>
        <v>64300</v>
      </c>
      <c r="T139" s="81"/>
      <c r="U139" s="81">
        <f>SUM(S139:T139)</f>
        <v>64300</v>
      </c>
      <c r="V139" s="81"/>
      <c r="W139" s="81">
        <f>SUM(U139:V139)</f>
        <v>64300</v>
      </c>
      <c r="X139" s="81"/>
      <c r="Y139" s="81">
        <f>SUM(W139:X139)</f>
        <v>64300</v>
      </c>
      <c r="Z139" s="81"/>
      <c r="AA139" s="81">
        <f>SUM(Y139:Z139)</f>
        <v>64300</v>
      </c>
    </row>
    <row r="140" spans="1:27" s="24" customFormat="1" ht="21" customHeight="1">
      <c r="A140" s="86"/>
      <c r="B140" s="82"/>
      <c r="C140" s="67">
        <v>4210</v>
      </c>
      <c r="D140" s="38" t="s">
        <v>92</v>
      </c>
      <c r="E140" s="81">
        <f>6000+1665</f>
        <v>7665</v>
      </c>
      <c r="F140" s="81"/>
      <c r="G140" s="81">
        <f>SUM(E140:F140)</f>
        <v>7665</v>
      </c>
      <c r="H140" s="81"/>
      <c r="I140" s="81">
        <f>SUM(G140:H140)</f>
        <v>7665</v>
      </c>
      <c r="J140" s="81"/>
      <c r="K140" s="81">
        <f>SUM(I140:J140)</f>
        <v>7665</v>
      </c>
      <c r="L140" s="81"/>
      <c r="M140" s="81">
        <f>SUM(K140:L140)</f>
        <v>7665</v>
      </c>
      <c r="N140" s="81"/>
      <c r="O140" s="81">
        <f>SUM(M140:N140)</f>
        <v>7665</v>
      </c>
      <c r="P140" s="81"/>
      <c r="Q140" s="81">
        <f>SUM(O140:P140)</f>
        <v>7665</v>
      </c>
      <c r="R140" s="81"/>
      <c r="S140" s="81">
        <f>SUM(Q140:R140)</f>
        <v>7665</v>
      </c>
      <c r="T140" s="81"/>
      <c r="U140" s="81">
        <f>SUM(S140:T140)</f>
        <v>7665</v>
      </c>
      <c r="V140" s="81"/>
      <c r="W140" s="81">
        <f>SUM(U140:V140)</f>
        <v>7665</v>
      </c>
      <c r="X140" s="81"/>
      <c r="Y140" s="81">
        <f>SUM(W140:X140)</f>
        <v>7665</v>
      </c>
      <c r="Z140" s="81"/>
      <c r="AA140" s="81">
        <f>SUM(Y140:Z140)</f>
        <v>7665</v>
      </c>
    </row>
    <row r="141" spans="1:27" s="24" customFormat="1" ht="21" customHeight="1">
      <c r="A141" s="86"/>
      <c r="B141" s="82"/>
      <c r="C141" s="67">
        <v>4410</v>
      </c>
      <c r="D141" s="38" t="s">
        <v>90</v>
      </c>
      <c r="E141" s="81">
        <v>6000</v>
      </c>
      <c r="F141" s="81"/>
      <c r="G141" s="81">
        <f>SUM(E141:F141)</f>
        <v>6000</v>
      </c>
      <c r="H141" s="81"/>
      <c r="I141" s="81">
        <f>SUM(G141:H141)</f>
        <v>6000</v>
      </c>
      <c r="J141" s="81"/>
      <c r="K141" s="81">
        <f>SUM(I141:J141)</f>
        <v>6000</v>
      </c>
      <c r="L141" s="81">
        <v>-1100</v>
      </c>
      <c r="M141" s="81">
        <f>SUM(K141:L141)</f>
        <v>4900</v>
      </c>
      <c r="N141" s="81"/>
      <c r="O141" s="81">
        <f>SUM(M141:N141)</f>
        <v>4900</v>
      </c>
      <c r="P141" s="81">
        <v>-4900</v>
      </c>
      <c r="Q141" s="81">
        <f>SUM(O141:P141)</f>
        <v>0</v>
      </c>
      <c r="R141" s="81"/>
      <c r="S141" s="81">
        <f>SUM(Q141:R141)</f>
        <v>0</v>
      </c>
      <c r="T141" s="81"/>
      <c r="U141" s="81">
        <f>SUM(S141:T141)</f>
        <v>0</v>
      </c>
      <c r="V141" s="81"/>
      <c r="W141" s="81">
        <f>SUM(U141:V141)</f>
        <v>0</v>
      </c>
      <c r="X141" s="81"/>
      <c r="Y141" s="81">
        <f>SUM(W141:X141)</f>
        <v>0</v>
      </c>
      <c r="Z141" s="81"/>
      <c r="AA141" s="81">
        <f>SUM(Y141:Z141)</f>
        <v>0</v>
      </c>
    </row>
    <row r="142" spans="1:27" s="24" customFormat="1" ht="21" customHeight="1">
      <c r="A142" s="86"/>
      <c r="B142" s="82"/>
      <c r="C142" s="67">
        <v>4430</v>
      </c>
      <c r="D142" s="38" t="s">
        <v>94</v>
      </c>
      <c r="E142" s="81">
        <v>41100</v>
      </c>
      <c r="F142" s="81"/>
      <c r="G142" s="81">
        <f>SUM(E142:F142)</f>
        <v>41100</v>
      </c>
      <c r="H142" s="81"/>
      <c r="I142" s="81">
        <f>SUM(G142:H142)</f>
        <v>41100</v>
      </c>
      <c r="J142" s="81"/>
      <c r="K142" s="81">
        <f>SUM(I142:J142)</f>
        <v>41100</v>
      </c>
      <c r="L142" s="81"/>
      <c r="M142" s="81">
        <f>SUM(K142:L142)</f>
        <v>41100</v>
      </c>
      <c r="N142" s="81"/>
      <c r="O142" s="81">
        <f>SUM(M142:N142)</f>
        <v>41100</v>
      </c>
      <c r="P142" s="81"/>
      <c r="Q142" s="81">
        <f>SUM(O142:P142)</f>
        <v>41100</v>
      </c>
      <c r="R142" s="81"/>
      <c r="S142" s="81">
        <f>SUM(Q142:R142)</f>
        <v>41100</v>
      </c>
      <c r="T142" s="81"/>
      <c r="U142" s="81">
        <f>SUM(S142:T142)</f>
        <v>41100</v>
      </c>
      <c r="V142" s="81"/>
      <c r="W142" s="81">
        <f>SUM(U142:V142)</f>
        <v>41100</v>
      </c>
      <c r="X142" s="81"/>
      <c r="Y142" s="81">
        <f>SUM(W142:X142)</f>
        <v>41100</v>
      </c>
      <c r="Z142" s="81"/>
      <c r="AA142" s="81">
        <f>SUM(Y142:Z142)</f>
        <v>41100</v>
      </c>
    </row>
    <row r="143" spans="1:27" s="24" customFormat="1" ht="24">
      <c r="A143" s="86"/>
      <c r="B143" s="82"/>
      <c r="C143" s="67">
        <v>4610</v>
      </c>
      <c r="D143" s="38" t="s">
        <v>181</v>
      </c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>
        <v>0</v>
      </c>
      <c r="P143" s="81">
        <v>300</v>
      </c>
      <c r="Q143" s="81">
        <f>SUM(O143:P143)</f>
        <v>300</v>
      </c>
      <c r="R143" s="81"/>
      <c r="S143" s="81">
        <f>SUM(Q143:R143)</f>
        <v>300</v>
      </c>
      <c r="T143" s="81"/>
      <c r="U143" s="81">
        <f>SUM(S143:T143)</f>
        <v>300</v>
      </c>
      <c r="V143" s="81"/>
      <c r="W143" s="81">
        <f>SUM(U143:V143)</f>
        <v>300</v>
      </c>
      <c r="X143" s="81"/>
      <c r="Y143" s="81">
        <f>SUM(W143:X143)</f>
        <v>300</v>
      </c>
      <c r="Z143" s="81"/>
      <c r="AA143" s="81">
        <f>SUM(Y143:Z143)</f>
        <v>300</v>
      </c>
    </row>
    <row r="144" spans="1:27" s="6" customFormat="1" ht="36">
      <c r="A144" s="33">
        <v>751</v>
      </c>
      <c r="B144" s="34"/>
      <c r="C144" s="35"/>
      <c r="D144" s="36" t="s">
        <v>98</v>
      </c>
      <c r="E144" s="37">
        <f aca="true" t="shared" si="89" ref="E144:P144">SUM(E145)</f>
        <v>3952</v>
      </c>
      <c r="F144" s="37">
        <f t="shared" si="89"/>
        <v>0</v>
      </c>
      <c r="G144" s="37">
        <f t="shared" si="89"/>
        <v>3952</v>
      </c>
      <c r="H144" s="37">
        <f t="shared" si="89"/>
        <v>0</v>
      </c>
      <c r="I144" s="37">
        <f t="shared" si="89"/>
        <v>3952</v>
      </c>
      <c r="J144" s="37">
        <f t="shared" si="89"/>
        <v>0</v>
      </c>
      <c r="K144" s="37">
        <f t="shared" si="89"/>
        <v>3952</v>
      </c>
      <c r="L144" s="37">
        <f t="shared" si="89"/>
        <v>0</v>
      </c>
      <c r="M144" s="37">
        <f t="shared" si="89"/>
        <v>3952</v>
      </c>
      <c r="N144" s="37">
        <f t="shared" si="89"/>
        <v>0</v>
      </c>
      <c r="O144" s="37">
        <f t="shared" si="89"/>
        <v>3952</v>
      </c>
      <c r="P144" s="37">
        <f t="shared" si="89"/>
        <v>0</v>
      </c>
      <c r="Q144" s="37">
        <f aca="true" t="shared" si="90" ref="Q144:W144">SUM(Q145,Q149)</f>
        <v>3952</v>
      </c>
      <c r="R144" s="37">
        <f t="shared" si="90"/>
        <v>20663</v>
      </c>
      <c r="S144" s="37">
        <f t="shared" si="90"/>
        <v>24615</v>
      </c>
      <c r="T144" s="37">
        <f t="shared" si="90"/>
        <v>21375</v>
      </c>
      <c r="U144" s="37">
        <f t="shared" si="90"/>
        <v>45990</v>
      </c>
      <c r="V144" s="37">
        <f t="shared" si="90"/>
        <v>11000</v>
      </c>
      <c r="W144" s="37">
        <f t="shared" si="90"/>
        <v>56990</v>
      </c>
      <c r="X144" s="37">
        <f>SUM(X145,X149)</f>
        <v>21375</v>
      </c>
      <c r="Y144" s="37">
        <f>SUM(Y145,Y149)</f>
        <v>78365</v>
      </c>
      <c r="Z144" s="37">
        <f>SUM(Z145,Z149)</f>
        <v>0</v>
      </c>
      <c r="AA144" s="37">
        <f>SUM(AA145,AA149)</f>
        <v>78365</v>
      </c>
    </row>
    <row r="145" spans="1:27" s="24" customFormat="1" ht="28.5" customHeight="1">
      <c r="A145" s="86"/>
      <c r="B145" s="82">
        <v>75101</v>
      </c>
      <c r="C145" s="86"/>
      <c r="D145" s="38" t="s">
        <v>21</v>
      </c>
      <c r="E145" s="81">
        <f aca="true" t="shared" si="91" ref="E145:W145">SUM(E146:E148)</f>
        <v>3952</v>
      </c>
      <c r="F145" s="81">
        <f t="shared" si="91"/>
        <v>0</v>
      </c>
      <c r="G145" s="81">
        <f t="shared" si="91"/>
        <v>3952</v>
      </c>
      <c r="H145" s="81">
        <f t="shared" si="91"/>
        <v>0</v>
      </c>
      <c r="I145" s="81">
        <f t="shared" si="91"/>
        <v>3952</v>
      </c>
      <c r="J145" s="81">
        <f t="shared" si="91"/>
        <v>0</v>
      </c>
      <c r="K145" s="81">
        <f t="shared" si="91"/>
        <v>3952</v>
      </c>
      <c r="L145" s="81">
        <f t="shared" si="91"/>
        <v>0</v>
      </c>
      <c r="M145" s="81">
        <f t="shared" si="91"/>
        <v>3952</v>
      </c>
      <c r="N145" s="81">
        <f t="shared" si="91"/>
        <v>0</v>
      </c>
      <c r="O145" s="81">
        <f t="shared" si="91"/>
        <v>3952</v>
      </c>
      <c r="P145" s="81">
        <f t="shared" si="91"/>
        <v>0</v>
      </c>
      <c r="Q145" s="81">
        <f t="shared" si="91"/>
        <v>3952</v>
      </c>
      <c r="R145" s="81">
        <f t="shared" si="91"/>
        <v>0</v>
      </c>
      <c r="S145" s="81">
        <f t="shared" si="91"/>
        <v>3952</v>
      </c>
      <c r="T145" s="81">
        <f t="shared" si="91"/>
        <v>0</v>
      </c>
      <c r="U145" s="81">
        <f t="shared" si="91"/>
        <v>3952</v>
      </c>
      <c r="V145" s="81">
        <f t="shared" si="91"/>
        <v>0</v>
      </c>
      <c r="W145" s="81">
        <f t="shared" si="91"/>
        <v>3952</v>
      </c>
      <c r="X145" s="81">
        <f>SUM(X146:X148)</f>
        <v>0</v>
      </c>
      <c r="Y145" s="81">
        <f>SUM(Y146:Y148)</f>
        <v>3952</v>
      </c>
      <c r="Z145" s="81">
        <f>SUM(Z146:Z148)</f>
        <v>0</v>
      </c>
      <c r="AA145" s="81">
        <f>SUM(AA146:AA148)</f>
        <v>3952</v>
      </c>
    </row>
    <row r="146" spans="1:30" s="24" customFormat="1" ht="21.75" customHeight="1">
      <c r="A146" s="86"/>
      <c r="B146" s="82"/>
      <c r="C146" s="86">
        <v>4010</v>
      </c>
      <c r="D146" s="38" t="s">
        <v>84</v>
      </c>
      <c r="E146" s="81">
        <v>3360</v>
      </c>
      <c r="F146" s="81"/>
      <c r="G146" s="81">
        <f>SUM(E146:F146)</f>
        <v>3360</v>
      </c>
      <c r="H146" s="81"/>
      <c r="I146" s="81">
        <f>SUM(G146:H146)</f>
        <v>3360</v>
      </c>
      <c r="J146" s="81"/>
      <c r="K146" s="81">
        <f>SUM(I146:J146)</f>
        <v>3360</v>
      </c>
      <c r="L146" s="81"/>
      <c r="M146" s="81">
        <f>SUM(K146:L146)</f>
        <v>3360</v>
      </c>
      <c r="N146" s="81"/>
      <c r="O146" s="81">
        <f>SUM(M146:N146)</f>
        <v>3360</v>
      </c>
      <c r="P146" s="81"/>
      <c r="Q146" s="81">
        <f>SUM(O146:P146)</f>
        <v>3360</v>
      </c>
      <c r="R146" s="81"/>
      <c r="S146" s="81">
        <f>SUM(Q146:R146)</f>
        <v>3360</v>
      </c>
      <c r="T146" s="81"/>
      <c r="U146" s="81">
        <f>SUM(S146:T146)</f>
        <v>3360</v>
      </c>
      <c r="V146" s="81"/>
      <c r="W146" s="81">
        <f>SUM(U146:V146)</f>
        <v>3360</v>
      </c>
      <c r="X146" s="81"/>
      <c r="Y146" s="81">
        <f>SUM(W146:X146)</f>
        <v>3360</v>
      </c>
      <c r="Z146" s="81"/>
      <c r="AA146" s="81">
        <f>SUM(Y146:Z146)</f>
        <v>3360</v>
      </c>
      <c r="AB146" s="119"/>
      <c r="AC146" s="119"/>
      <c r="AD146" s="119"/>
    </row>
    <row r="147" spans="1:30" s="24" customFormat="1" ht="18.75" customHeight="1">
      <c r="A147" s="86"/>
      <c r="B147" s="82"/>
      <c r="C147" s="86">
        <v>4110</v>
      </c>
      <c r="D147" s="38" t="s">
        <v>86</v>
      </c>
      <c r="E147" s="81">
        <v>510</v>
      </c>
      <c r="F147" s="81"/>
      <c r="G147" s="81">
        <f>SUM(E147:F147)</f>
        <v>510</v>
      </c>
      <c r="H147" s="81"/>
      <c r="I147" s="81">
        <f>SUM(G147:H147)</f>
        <v>510</v>
      </c>
      <c r="J147" s="81"/>
      <c r="K147" s="81">
        <f>SUM(I147:J147)</f>
        <v>510</v>
      </c>
      <c r="L147" s="81"/>
      <c r="M147" s="81">
        <f>SUM(K147:L147)</f>
        <v>510</v>
      </c>
      <c r="N147" s="81"/>
      <c r="O147" s="81">
        <f>SUM(M147:N147)</f>
        <v>510</v>
      </c>
      <c r="P147" s="81"/>
      <c r="Q147" s="81">
        <f>SUM(O147:P147)</f>
        <v>510</v>
      </c>
      <c r="R147" s="81"/>
      <c r="S147" s="81">
        <f>SUM(Q147:R147)</f>
        <v>510</v>
      </c>
      <c r="T147" s="81"/>
      <c r="U147" s="81">
        <f>SUM(S147:T147)</f>
        <v>510</v>
      </c>
      <c r="V147" s="81"/>
      <c r="W147" s="81">
        <f>SUM(U147:V147)</f>
        <v>510</v>
      </c>
      <c r="X147" s="81"/>
      <c r="Y147" s="81">
        <f>SUM(W147:X147)</f>
        <v>510</v>
      </c>
      <c r="Z147" s="81"/>
      <c r="AA147" s="81">
        <f>SUM(Y147:Z147)</f>
        <v>510</v>
      </c>
      <c r="AB147" s="119"/>
      <c r="AC147" s="119"/>
      <c r="AD147" s="119"/>
    </row>
    <row r="148" spans="1:30" s="24" customFormat="1" ht="19.5" customHeight="1">
      <c r="A148" s="86"/>
      <c r="B148" s="82"/>
      <c r="C148" s="86">
        <v>4120</v>
      </c>
      <c r="D148" s="38" t="s">
        <v>87</v>
      </c>
      <c r="E148" s="81">
        <v>82</v>
      </c>
      <c r="F148" s="81"/>
      <c r="G148" s="81">
        <f>SUM(E148:F148)</f>
        <v>82</v>
      </c>
      <c r="H148" s="81"/>
      <c r="I148" s="81">
        <f>SUM(G148:H148)</f>
        <v>82</v>
      </c>
      <c r="J148" s="81"/>
      <c r="K148" s="81">
        <f>SUM(I148:J148)</f>
        <v>82</v>
      </c>
      <c r="L148" s="81"/>
      <c r="M148" s="81">
        <f>SUM(K148:L148)</f>
        <v>82</v>
      </c>
      <c r="N148" s="81"/>
      <c r="O148" s="81">
        <f>SUM(M148:N148)</f>
        <v>82</v>
      </c>
      <c r="P148" s="81"/>
      <c r="Q148" s="81">
        <f>SUM(O148:P148)</f>
        <v>82</v>
      </c>
      <c r="R148" s="81"/>
      <c r="S148" s="81">
        <f>SUM(Q148:R148)</f>
        <v>82</v>
      </c>
      <c r="T148" s="81"/>
      <c r="U148" s="81">
        <f>SUM(S148:T148)</f>
        <v>82</v>
      </c>
      <c r="V148" s="81"/>
      <c r="W148" s="81">
        <f>SUM(U148:V148)</f>
        <v>82</v>
      </c>
      <c r="X148" s="81"/>
      <c r="Y148" s="81">
        <f>SUM(W148:X148)</f>
        <v>82</v>
      </c>
      <c r="Z148" s="81"/>
      <c r="AA148" s="81">
        <f>SUM(Y148:Z148)</f>
        <v>82</v>
      </c>
      <c r="AB148" s="119"/>
      <c r="AC148" s="119"/>
      <c r="AD148" s="119"/>
    </row>
    <row r="149" spans="1:27" s="24" customFormat="1" ht="24">
      <c r="A149" s="86"/>
      <c r="B149" s="82">
        <v>75107</v>
      </c>
      <c r="C149" s="86"/>
      <c r="D149" s="38" t="s">
        <v>484</v>
      </c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>
        <f>SUM(Q151:Q160)</f>
        <v>0</v>
      </c>
      <c r="R149" s="81">
        <f>SUM(R151:R160)</f>
        <v>20663</v>
      </c>
      <c r="S149" s="81">
        <f>SUM(S150:S160)</f>
        <v>20663</v>
      </c>
      <c r="T149" s="81">
        <f>SUM(T150:T160)</f>
        <v>21375</v>
      </c>
      <c r="U149" s="81">
        <f aca="true" t="shared" si="92" ref="U149:AA149">SUM(U150:U161)</f>
        <v>42038</v>
      </c>
      <c r="V149" s="81">
        <f t="shared" si="92"/>
        <v>11000</v>
      </c>
      <c r="W149" s="81">
        <f t="shared" si="92"/>
        <v>53038</v>
      </c>
      <c r="X149" s="81">
        <f t="shared" si="92"/>
        <v>21375</v>
      </c>
      <c r="Y149" s="81">
        <f t="shared" si="92"/>
        <v>74413</v>
      </c>
      <c r="Z149" s="81">
        <f t="shared" si="92"/>
        <v>0</v>
      </c>
      <c r="AA149" s="81">
        <f t="shared" si="92"/>
        <v>74413</v>
      </c>
    </row>
    <row r="150" spans="1:27" s="24" customFormat="1" ht="21" customHeight="1">
      <c r="A150" s="86"/>
      <c r="B150" s="82"/>
      <c r="C150" s="86">
        <v>3030</v>
      </c>
      <c r="D150" s="38" t="s">
        <v>89</v>
      </c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>
        <v>0</v>
      </c>
      <c r="T150" s="81">
        <v>21375</v>
      </c>
      <c r="U150" s="81">
        <f>SUM(S150:T150)</f>
        <v>21375</v>
      </c>
      <c r="V150" s="81"/>
      <c r="W150" s="81">
        <f>SUM(U150:V150)</f>
        <v>21375</v>
      </c>
      <c r="X150" s="81">
        <v>21375</v>
      </c>
      <c r="Y150" s="81">
        <f>SUM(W150:X150)</f>
        <v>42750</v>
      </c>
      <c r="Z150" s="81"/>
      <c r="AA150" s="81">
        <f>SUM(Y150:Z150)</f>
        <v>42750</v>
      </c>
    </row>
    <row r="151" spans="1:30" s="24" customFormat="1" ht="19.5" customHeight="1">
      <c r="A151" s="86"/>
      <c r="B151" s="82"/>
      <c r="C151" s="86">
        <v>4110</v>
      </c>
      <c r="D151" s="38" t="s">
        <v>86</v>
      </c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>
        <v>0</v>
      </c>
      <c r="R151" s="81">
        <v>570</v>
      </c>
      <c r="S151" s="81">
        <f>SUM(Q151:R151)</f>
        <v>570</v>
      </c>
      <c r="T151" s="81"/>
      <c r="U151" s="81">
        <f>SUM(S151:T151)</f>
        <v>570</v>
      </c>
      <c r="V151" s="81">
        <v>493</v>
      </c>
      <c r="W151" s="81">
        <f>SUM(U151:V151)</f>
        <v>1063</v>
      </c>
      <c r="X151" s="81"/>
      <c r="Y151" s="81">
        <f>SUM(W151:X151)</f>
        <v>1063</v>
      </c>
      <c r="Z151" s="81">
        <v>118</v>
      </c>
      <c r="AA151" s="81">
        <f>SUM(Y151:Z151)</f>
        <v>1181</v>
      </c>
      <c r="AB151" s="119"/>
      <c r="AC151" s="119"/>
      <c r="AD151" s="119"/>
    </row>
    <row r="152" spans="1:30" s="24" customFormat="1" ht="19.5" customHeight="1">
      <c r="A152" s="86"/>
      <c r="B152" s="82"/>
      <c r="C152" s="86">
        <v>4120</v>
      </c>
      <c r="D152" s="38" t="s">
        <v>218</v>
      </c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>
        <v>0</v>
      </c>
      <c r="R152" s="81">
        <v>100</v>
      </c>
      <c r="S152" s="81">
        <f aca="true" t="shared" si="93" ref="S152:S160">SUM(Q152:R152)</f>
        <v>100</v>
      </c>
      <c r="T152" s="81"/>
      <c r="U152" s="81">
        <f aca="true" t="shared" si="94" ref="U152:U160">SUM(S152:T152)</f>
        <v>100</v>
      </c>
      <c r="V152" s="81">
        <v>71</v>
      </c>
      <c r="W152" s="81">
        <f aca="true" t="shared" si="95" ref="W152:W161">SUM(U152:V152)</f>
        <v>171</v>
      </c>
      <c r="X152" s="81"/>
      <c r="Y152" s="81">
        <f aca="true" t="shared" si="96" ref="Y152:Y161">SUM(W152:X152)</f>
        <v>171</v>
      </c>
      <c r="Z152" s="81">
        <v>3</v>
      </c>
      <c r="AA152" s="81">
        <f aca="true" t="shared" si="97" ref="AA152:AA161">SUM(Y152:Z152)</f>
        <v>174</v>
      </c>
      <c r="AB152" s="119"/>
      <c r="AC152" s="119"/>
      <c r="AD152" s="119"/>
    </row>
    <row r="153" spans="1:30" s="24" customFormat="1" ht="19.5" customHeight="1">
      <c r="A153" s="86"/>
      <c r="B153" s="82"/>
      <c r="C153" s="86">
        <v>4170</v>
      </c>
      <c r="D153" s="38" t="s">
        <v>190</v>
      </c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>
        <v>0</v>
      </c>
      <c r="R153" s="81">
        <v>7480</v>
      </c>
      <c r="S153" s="81">
        <f t="shared" si="93"/>
        <v>7480</v>
      </c>
      <c r="T153" s="81"/>
      <c r="U153" s="81">
        <f t="shared" si="94"/>
        <v>7480</v>
      </c>
      <c r="V153" s="81">
        <v>4475</v>
      </c>
      <c r="W153" s="81">
        <f t="shared" si="95"/>
        <v>11955</v>
      </c>
      <c r="X153" s="81"/>
      <c r="Y153" s="81">
        <f t="shared" si="96"/>
        <v>11955</v>
      </c>
      <c r="Z153" s="81">
        <v>921</v>
      </c>
      <c r="AA153" s="81">
        <f t="shared" si="97"/>
        <v>12876</v>
      </c>
      <c r="AB153" s="119"/>
      <c r="AC153" s="119"/>
      <c r="AD153" s="119"/>
    </row>
    <row r="154" spans="1:27" s="24" customFormat="1" ht="19.5" customHeight="1">
      <c r="A154" s="86"/>
      <c r="B154" s="82"/>
      <c r="C154" s="86">
        <v>4210</v>
      </c>
      <c r="D154" s="38" t="s">
        <v>92</v>
      </c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>
        <v>0</v>
      </c>
      <c r="R154" s="81">
        <v>8141</v>
      </c>
      <c r="S154" s="81">
        <f t="shared" si="93"/>
        <v>8141</v>
      </c>
      <c r="T154" s="81">
        <v>-200</v>
      </c>
      <c r="U154" s="81">
        <f t="shared" si="94"/>
        <v>7941</v>
      </c>
      <c r="V154" s="81">
        <v>4130</v>
      </c>
      <c r="W154" s="81">
        <f t="shared" si="95"/>
        <v>12071</v>
      </c>
      <c r="X154" s="81">
        <v>-521</v>
      </c>
      <c r="Y154" s="81">
        <f t="shared" si="96"/>
        <v>11550</v>
      </c>
      <c r="Z154" s="81">
        <v>-102</v>
      </c>
      <c r="AA154" s="81">
        <f t="shared" si="97"/>
        <v>11448</v>
      </c>
    </row>
    <row r="155" spans="1:27" s="24" customFormat="1" ht="19.5" customHeight="1">
      <c r="A155" s="86"/>
      <c r="B155" s="82"/>
      <c r="C155" s="86">
        <v>4270</v>
      </c>
      <c r="D155" s="38" t="s">
        <v>78</v>
      </c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>
        <v>0</v>
      </c>
      <c r="R155" s="81">
        <v>1000</v>
      </c>
      <c r="S155" s="81">
        <f t="shared" si="93"/>
        <v>1000</v>
      </c>
      <c r="T155" s="81">
        <v>-200</v>
      </c>
      <c r="U155" s="81">
        <f t="shared" si="94"/>
        <v>800</v>
      </c>
      <c r="V155" s="81"/>
      <c r="W155" s="81">
        <f t="shared" si="95"/>
        <v>800</v>
      </c>
      <c r="X155" s="81">
        <v>-245</v>
      </c>
      <c r="Y155" s="81">
        <f t="shared" si="96"/>
        <v>555</v>
      </c>
      <c r="Z155" s="81"/>
      <c r="AA155" s="81">
        <f t="shared" si="97"/>
        <v>555</v>
      </c>
    </row>
    <row r="156" spans="1:27" s="24" customFormat="1" ht="19.5" customHeight="1">
      <c r="A156" s="86"/>
      <c r="B156" s="82"/>
      <c r="C156" s="86">
        <v>4300</v>
      </c>
      <c r="D156" s="38" t="s">
        <v>79</v>
      </c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>
        <v>0</v>
      </c>
      <c r="R156" s="81">
        <v>400</v>
      </c>
      <c r="S156" s="81">
        <f t="shared" si="93"/>
        <v>400</v>
      </c>
      <c r="T156" s="81">
        <v>200</v>
      </c>
      <c r="U156" s="81">
        <f t="shared" si="94"/>
        <v>600</v>
      </c>
      <c r="V156" s="81">
        <v>24</v>
      </c>
      <c r="W156" s="81">
        <f t="shared" si="95"/>
        <v>624</v>
      </c>
      <c r="X156" s="81">
        <v>-126</v>
      </c>
      <c r="Y156" s="81">
        <f t="shared" si="96"/>
        <v>498</v>
      </c>
      <c r="Z156" s="81"/>
      <c r="AA156" s="81">
        <f t="shared" si="97"/>
        <v>498</v>
      </c>
    </row>
    <row r="157" spans="1:27" s="24" customFormat="1" ht="19.5" customHeight="1">
      <c r="A157" s="86"/>
      <c r="B157" s="82"/>
      <c r="C157" s="86">
        <v>4410</v>
      </c>
      <c r="D157" s="38" t="s">
        <v>90</v>
      </c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>
        <v>0</v>
      </c>
      <c r="R157" s="81">
        <v>1300</v>
      </c>
      <c r="S157" s="81">
        <f t="shared" si="93"/>
        <v>1300</v>
      </c>
      <c r="T157" s="81"/>
      <c r="U157" s="81">
        <f t="shared" si="94"/>
        <v>1300</v>
      </c>
      <c r="V157" s="81">
        <v>1100</v>
      </c>
      <c r="W157" s="81">
        <f t="shared" si="95"/>
        <v>2400</v>
      </c>
      <c r="X157" s="81">
        <v>1386</v>
      </c>
      <c r="Y157" s="81">
        <f t="shared" si="96"/>
        <v>3786</v>
      </c>
      <c r="Z157" s="81">
        <v>-940</v>
      </c>
      <c r="AA157" s="81">
        <f t="shared" si="97"/>
        <v>2846</v>
      </c>
    </row>
    <row r="158" spans="1:27" s="24" customFormat="1" ht="24">
      <c r="A158" s="86"/>
      <c r="B158" s="82"/>
      <c r="C158" s="86">
        <v>4700</v>
      </c>
      <c r="D158" s="38" t="s">
        <v>249</v>
      </c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>
        <v>0</v>
      </c>
      <c r="R158" s="81">
        <v>372</v>
      </c>
      <c r="S158" s="81">
        <f t="shared" si="93"/>
        <v>372</v>
      </c>
      <c r="T158" s="81"/>
      <c r="U158" s="81">
        <f t="shared" si="94"/>
        <v>372</v>
      </c>
      <c r="V158" s="81"/>
      <c r="W158" s="81">
        <f t="shared" si="95"/>
        <v>372</v>
      </c>
      <c r="X158" s="81"/>
      <c r="Y158" s="81">
        <f t="shared" si="96"/>
        <v>372</v>
      </c>
      <c r="Z158" s="81"/>
      <c r="AA158" s="81">
        <f t="shared" si="97"/>
        <v>372</v>
      </c>
    </row>
    <row r="159" spans="1:27" s="24" customFormat="1" ht="24">
      <c r="A159" s="86"/>
      <c r="B159" s="82"/>
      <c r="C159" s="86">
        <v>4740</v>
      </c>
      <c r="D159" s="38" t="s">
        <v>267</v>
      </c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>
        <v>0</v>
      </c>
      <c r="R159" s="81">
        <v>600</v>
      </c>
      <c r="S159" s="81">
        <f t="shared" si="93"/>
        <v>600</v>
      </c>
      <c r="T159" s="81"/>
      <c r="U159" s="81">
        <f t="shared" si="94"/>
        <v>600</v>
      </c>
      <c r="V159" s="81">
        <v>200</v>
      </c>
      <c r="W159" s="81">
        <f t="shared" si="95"/>
        <v>800</v>
      </c>
      <c r="X159" s="81">
        <v>-371</v>
      </c>
      <c r="Y159" s="81">
        <f t="shared" si="96"/>
        <v>429</v>
      </c>
      <c r="Z159" s="81"/>
      <c r="AA159" s="81">
        <f t="shared" si="97"/>
        <v>429</v>
      </c>
    </row>
    <row r="160" spans="1:27" s="24" customFormat="1" ht="24">
      <c r="A160" s="86"/>
      <c r="B160" s="82"/>
      <c r="C160" s="86">
        <v>4750</v>
      </c>
      <c r="D160" s="38" t="s">
        <v>223</v>
      </c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>
        <v>0</v>
      </c>
      <c r="R160" s="81">
        <v>700</v>
      </c>
      <c r="S160" s="81">
        <f t="shared" si="93"/>
        <v>700</v>
      </c>
      <c r="T160" s="81">
        <v>200</v>
      </c>
      <c r="U160" s="81">
        <f t="shared" si="94"/>
        <v>900</v>
      </c>
      <c r="V160" s="81">
        <v>500</v>
      </c>
      <c r="W160" s="81">
        <f t="shared" si="95"/>
        <v>1400</v>
      </c>
      <c r="X160" s="81">
        <v>-123</v>
      </c>
      <c r="Y160" s="81">
        <f t="shared" si="96"/>
        <v>1277</v>
      </c>
      <c r="Z160" s="81"/>
      <c r="AA160" s="81">
        <f t="shared" si="97"/>
        <v>1277</v>
      </c>
    </row>
    <row r="161" spans="1:27" s="24" customFormat="1" ht="28.5" customHeight="1">
      <c r="A161" s="86"/>
      <c r="B161" s="82"/>
      <c r="C161" s="86">
        <v>4780</v>
      </c>
      <c r="D161" s="38" t="s">
        <v>476</v>
      </c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>
        <v>0</v>
      </c>
      <c r="V161" s="81">
        <v>7</v>
      </c>
      <c r="W161" s="81">
        <f t="shared" si="95"/>
        <v>7</v>
      </c>
      <c r="X161" s="81"/>
      <c r="Y161" s="81">
        <f t="shared" si="96"/>
        <v>7</v>
      </c>
      <c r="Z161" s="81"/>
      <c r="AA161" s="81">
        <f t="shared" si="97"/>
        <v>7</v>
      </c>
    </row>
    <row r="162" spans="1:27" s="6" customFormat="1" ht="24.75" customHeight="1">
      <c r="A162" s="33" t="s">
        <v>22</v>
      </c>
      <c r="B162" s="34"/>
      <c r="C162" s="35"/>
      <c r="D162" s="36" t="s">
        <v>23</v>
      </c>
      <c r="E162" s="37">
        <f aca="true" t="shared" si="98" ref="E162:J162">SUM(E165,E180,E200,)</f>
        <v>481515</v>
      </c>
      <c r="F162" s="37">
        <f t="shared" si="98"/>
        <v>290000</v>
      </c>
      <c r="G162" s="37">
        <f t="shared" si="98"/>
        <v>771515</v>
      </c>
      <c r="H162" s="37">
        <f t="shared" si="98"/>
        <v>0</v>
      </c>
      <c r="I162" s="37">
        <f t="shared" si="98"/>
        <v>771515</v>
      </c>
      <c r="J162" s="37">
        <f t="shared" si="98"/>
        <v>0</v>
      </c>
      <c r="K162" s="37">
        <f aca="true" t="shared" si="99" ref="K162:W162">SUM(K165,K180,K200,K197)</f>
        <v>771515</v>
      </c>
      <c r="L162" s="37">
        <f t="shared" si="99"/>
        <v>5289</v>
      </c>
      <c r="M162" s="37">
        <f t="shared" si="99"/>
        <v>776804</v>
      </c>
      <c r="N162" s="37">
        <f t="shared" si="99"/>
        <v>0</v>
      </c>
      <c r="O162" s="37">
        <f t="shared" si="99"/>
        <v>776804</v>
      </c>
      <c r="P162" s="37">
        <f t="shared" si="99"/>
        <v>0</v>
      </c>
      <c r="Q162" s="37">
        <f t="shared" si="99"/>
        <v>776804</v>
      </c>
      <c r="R162" s="37">
        <f t="shared" si="99"/>
        <v>-70000</v>
      </c>
      <c r="S162" s="37">
        <f t="shared" si="99"/>
        <v>706804</v>
      </c>
      <c r="T162" s="37">
        <f t="shared" si="99"/>
        <v>0</v>
      </c>
      <c r="U162" s="37">
        <f t="shared" si="99"/>
        <v>706804</v>
      </c>
      <c r="V162" s="37">
        <f t="shared" si="99"/>
        <v>0</v>
      </c>
      <c r="W162" s="37">
        <f t="shared" si="99"/>
        <v>706804</v>
      </c>
      <c r="X162" s="37">
        <f>SUM(X165,X180,X200,X197)</f>
        <v>0</v>
      </c>
      <c r="Y162" s="37">
        <f>SUM(Y165,Y180,Y200,Y197,Y163)</f>
        <v>706804</v>
      </c>
      <c r="Z162" s="37">
        <f>SUM(Z165,Z180,Z200,Z197,Z163)</f>
        <v>8000</v>
      </c>
      <c r="AA162" s="37">
        <f>SUM(AA165,AA180,AA200,AA197,AA163)</f>
        <v>714804</v>
      </c>
    </row>
    <row r="163" spans="1:27" s="133" customFormat="1" ht="24.75" customHeight="1">
      <c r="A163" s="162"/>
      <c r="B163" s="300">
        <v>75405</v>
      </c>
      <c r="C163" s="301"/>
      <c r="D163" s="165" t="s">
        <v>525</v>
      </c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0"/>
      <c r="P163" s="230"/>
      <c r="Q163" s="230"/>
      <c r="R163" s="230"/>
      <c r="S163" s="230"/>
      <c r="T163" s="230"/>
      <c r="U163" s="230"/>
      <c r="V163" s="230"/>
      <c r="W163" s="230"/>
      <c r="X163" s="230"/>
      <c r="Y163" s="230">
        <f>SUM(Y164)</f>
        <v>0</v>
      </c>
      <c r="Z163" s="230">
        <f>SUM(Z164)</f>
        <v>8000</v>
      </c>
      <c r="AA163" s="230">
        <f>SUM(AA164)</f>
        <v>8000</v>
      </c>
    </row>
    <row r="164" spans="1:27" s="133" customFormat="1" ht="24.75" customHeight="1">
      <c r="A164" s="162"/>
      <c r="B164" s="300"/>
      <c r="C164" s="301">
        <v>6060</v>
      </c>
      <c r="D164" s="38" t="s">
        <v>96</v>
      </c>
      <c r="E164" s="230"/>
      <c r="F164" s="230"/>
      <c r="G164" s="230"/>
      <c r="H164" s="230"/>
      <c r="I164" s="230"/>
      <c r="J164" s="230"/>
      <c r="K164" s="230"/>
      <c r="L164" s="230"/>
      <c r="M164" s="230"/>
      <c r="N164" s="230"/>
      <c r="O164" s="230"/>
      <c r="P164" s="230"/>
      <c r="Q164" s="230"/>
      <c r="R164" s="230"/>
      <c r="S164" s="230"/>
      <c r="T164" s="230"/>
      <c r="U164" s="230"/>
      <c r="V164" s="230"/>
      <c r="W164" s="230"/>
      <c r="X164" s="230"/>
      <c r="Y164" s="230">
        <v>0</v>
      </c>
      <c r="Z164" s="230">
        <v>8000</v>
      </c>
      <c r="AA164" s="230">
        <f>SUM(Y164:Z164)</f>
        <v>8000</v>
      </c>
    </row>
    <row r="165" spans="1:27" s="24" customFormat="1" ht="21.75" customHeight="1">
      <c r="A165" s="86"/>
      <c r="B165" s="82" t="s">
        <v>99</v>
      </c>
      <c r="C165" s="86"/>
      <c r="D165" s="38" t="s">
        <v>100</v>
      </c>
      <c r="E165" s="81">
        <f aca="true" t="shared" si="100" ref="E165:W165">SUM(E166:E179)</f>
        <v>197515</v>
      </c>
      <c r="F165" s="81">
        <f t="shared" si="100"/>
        <v>220000</v>
      </c>
      <c r="G165" s="81">
        <f t="shared" si="100"/>
        <v>417515</v>
      </c>
      <c r="H165" s="81">
        <f t="shared" si="100"/>
        <v>0</v>
      </c>
      <c r="I165" s="81">
        <f t="shared" si="100"/>
        <v>417515</v>
      </c>
      <c r="J165" s="81">
        <f t="shared" si="100"/>
        <v>0</v>
      </c>
      <c r="K165" s="81">
        <f t="shared" si="100"/>
        <v>417515</v>
      </c>
      <c r="L165" s="81">
        <f t="shared" si="100"/>
        <v>0</v>
      </c>
      <c r="M165" s="81">
        <f t="shared" si="100"/>
        <v>417515</v>
      </c>
      <c r="N165" s="81">
        <f t="shared" si="100"/>
        <v>0</v>
      </c>
      <c r="O165" s="81">
        <f t="shared" si="100"/>
        <v>417515</v>
      </c>
      <c r="P165" s="81">
        <f t="shared" si="100"/>
        <v>0</v>
      </c>
      <c r="Q165" s="81">
        <f t="shared" si="100"/>
        <v>417515</v>
      </c>
      <c r="R165" s="81">
        <f t="shared" si="100"/>
        <v>0</v>
      </c>
      <c r="S165" s="81">
        <f t="shared" si="100"/>
        <v>417515</v>
      </c>
      <c r="T165" s="81">
        <f t="shared" si="100"/>
        <v>0</v>
      </c>
      <c r="U165" s="81">
        <f t="shared" si="100"/>
        <v>417515</v>
      </c>
      <c r="V165" s="81">
        <f t="shared" si="100"/>
        <v>0</v>
      </c>
      <c r="W165" s="81">
        <f t="shared" si="100"/>
        <v>417515</v>
      </c>
      <c r="X165" s="81">
        <f>SUM(X166:X179)</f>
        <v>0</v>
      </c>
      <c r="Y165" s="81">
        <f>SUM(Y166:Y179)</f>
        <v>417515</v>
      </c>
      <c r="Z165" s="81">
        <f>SUM(Z166:Z179)</f>
        <v>0</v>
      </c>
      <c r="AA165" s="81">
        <f>SUM(AA166:AA179)</f>
        <v>417515</v>
      </c>
    </row>
    <row r="166" spans="1:27" s="24" customFormat="1" ht="21" customHeight="1">
      <c r="A166" s="86"/>
      <c r="B166" s="82"/>
      <c r="C166" s="86">
        <v>3020</v>
      </c>
      <c r="D166" s="38" t="s">
        <v>188</v>
      </c>
      <c r="E166" s="81">
        <f>1200+1000+13600</f>
        <v>15800</v>
      </c>
      <c r="F166" s="81"/>
      <c r="G166" s="81">
        <f>SUM(E166:F166)</f>
        <v>15800</v>
      </c>
      <c r="H166" s="81"/>
      <c r="I166" s="81">
        <f>SUM(G166:H166)</f>
        <v>15800</v>
      </c>
      <c r="J166" s="81"/>
      <c r="K166" s="81">
        <f>SUM(I166:J166)</f>
        <v>15800</v>
      </c>
      <c r="L166" s="81"/>
      <c r="M166" s="81">
        <f>SUM(K166:L166)</f>
        <v>15800</v>
      </c>
      <c r="N166" s="81"/>
      <c r="O166" s="81">
        <f>SUM(M166:N166)</f>
        <v>15800</v>
      </c>
      <c r="P166" s="81"/>
      <c r="Q166" s="81">
        <f>SUM(O166:P166)</f>
        <v>15800</v>
      </c>
      <c r="R166" s="81"/>
      <c r="S166" s="81">
        <f>SUM(Q166:R166)</f>
        <v>15800</v>
      </c>
      <c r="T166" s="81"/>
      <c r="U166" s="81">
        <f>SUM(S166:T166)</f>
        <v>15800</v>
      </c>
      <c r="V166" s="81"/>
      <c r="W166" s="81">
        <f>SUM(U166:V166)</f>
        <v>15800</v>
      </c>
      <c r="X166" s="81">
        <v>-5000</v>
      </c>
      <c r="Y166" s="81">
        <f>SUM(W166:X166)</f>
        <v>10800</v>
      </c>
      <c r="Z166" s="81"/>
      <c r="AA166" s="81">
        <f>SUM(Y166:Z166)</f>
        <v>10800</v>
      </c>
    </row>
    <row r="167" spans="1:27" s="24" customFormat="1" ht="21" customHeight="1">
      <c r="A167" s="86"/>
      <c r="B167" s="82"/>
      <c r="C167" s="86">
        <v>3030</v>
      </c>
      <c r="D167" s="38" t="s">
        <v>89</v>
      </c>
      <c r="E167" s="81">
        <v>14180</v>
      </c>
      <c r="F167" s="81"/>
      <c r="G167" s="81">
        <f aca="true" t="shared" si="101" ref="G167:G179">SUM(E167:F167)</f>
        <v>14180</v>
      </c>
      <c r="H167" s="81"/>
      <c r="I167" s="81">
        <f aca="true" t="shared" si="102" ref="I167:I179">SUM(G167:H167)</f>
        <v>14180</v>
      </c>
      <c r="J167" s="81"/>
      <c r="K167" s="81">
        <f aca="true" t="shared" si="103" ref="K167:K179">SUM(I167:J167)</f>
        <v>14180</v>
      </c>
      <c r="L167" s="81"/>
      <c r="M167" s="81">
        <f aca="true" t="shared" si="104" ref="M167:M179">SUM(K167:L167)</f>
        <v>14180</v>
      </c>
      <c r="N167" s="81"/>
      <c r="O167" s="81">
        <f aca="true" t="shared" si="105" ref="O167:O179">SUM(M167:N167)</f>
        <v>14180</v>
      </c>
      <c r="P167" s="81"/>
      <c r="Q167" s="81">
        <f aca="true" t="shared" si="106" ref="Q167:Q179">SUM(O167:P167)</f>
        <v>14180</v>
      </c>
      <c r="R167" s="81"/>
      <c r="S167" s="81">
        <f aca="true" t="shared" si="107" ref="S167:S179">SUM(Q167:R167)</f>
        <v>14180</v>
      </c>
      <c r="T167" s="81"/>
      <c r="U167" s="81">
        <f aca="true" t="shared" si="108" ref="U167:U179">SUM(S167:T167)</f>
        <v>14180</v>
      </c>
      <c r="V167" s="81"/>
      <c r="W167" s="81">
        <f aca="true" t="shared" si="109" ref="W167:W179">SUM(U167:V167)</f>
        <v>14180</v>
      </c>
      <c r="X167" s="81">
        <v>5000</v>
      </c>
      <c r="Y167" s="81">
        <f aca="true" t="shared" si="110" ref="Y167:Y179">SUM(W167:X167)</f>
        <v>19180</v>
      </c>
      <c r="Z167" s="81"/>
      <c r="AA167" s="81">
        <f aca="true" t="shared" si="111" ref="AA167:AA179">SUM(Y167:Z167)</f>
        <v>19180</v>
      </c>
    </row>
    <row r="168" spans="1:30" s="24" customFormat="1" ht="21" customHeight="1">
      <c r="A168" s="86"/>
      <c r="B168" s="82"/>
      <c r="C168" s="86">
        <v>4110</v>
      </c>
      <c r="D168" s="38" t="s">
        <v>86</v>
      </c>
      <c r="E168" s="81">
        <v>5500</v>
      </c>
      <c r="F168" s="81"/>
      <c r="G168" s="81">
        <f t="shared" si="101"/>
        <v>5500</v>
      </c>
      <c r="H168" s="81"/>
      <c r="I168" s="81">
        <f t="shared" si="102"/>
        <v>5500</v>
      </c>
      <c r="J168" s="81"/>
      <c r="K168" s="81">
        <f t="shared" si="103"/>
        <v>5500</v>
      </c>
      <c r="L168" s="81">
        <v>-3000</v>
      </c>
      <c r="M168" s="81">
        <f t="shared" si="104"/>
        <v>2500</v>
      </c>
      <c r="N168" s="81"/>
      <c r="O168" s="81">
        <f t="shared" si="105"/>
        <v>2500</v>
      </c>
      <c r="P168" s="81"/>
      <c r="Q168" s="81">
        <f t="shared" si="106"/>
        <v>2500</v>
      </c>
      <c r="R168" s="81">
        <v>-600</v>
      </c>
      <c r="S168" s="81">
        <f t="shared" si="107"/>
        <v>1900</v>
      </c>
      <c r="T168" s="81"/>
      <c r="U168" s="81">
        <f t="shared" si="108"/>
        <v>1900</v>
      </c>
      <c r="V168" s="81"/>
      <c r="W168" s="81">
        <f t="shared" si="109"/>
        <v>1900</v>
      </c>
      <c r="X168" s="81"/>
      <c r="Y168" s="81">
        <f t="shared" si="110"/>
        <v>1900</v>
      </c>
      <c r="Z168" s="81"/>
      <c r="AA168" s="81">
        <f t="shared" si="111"/>
        <v>1900</v>
      </c>
      <c r="AB168" s="119"/>
      <c r="AC168" s="119"/>
      <c r="AD168" s="119"/>
    </row>
    <row r="169" spans="1:30" s="24" customFormat="1" ht="21" customHeight="1">
      <c r="A169" s="86"/>
      <c r="B169" s="82"/>
      <c r="C169" s="86">
        <v>4120</v>
      </c>
      <c r="D169" s="38" t="s">
        <v>218</v>
      </c>
      <c r="E169" s="81">
        <v>880</v>
      </c>
      <c r="F169" s="81"/>
      <c r="G169" s="81">
        <f t="shared" si="101"/>
        <v>880</v>
      </c>
      <c r="H169" s="81"/>
      <c r="I169" s="81">
        <f t="shared" si="102"/>
        <v>880</v>
      </c>
      <c r="J169" s="81"/>
      <c r="K169" s="81">
        <f t="shared" si="103"/>
        <v>880</v>
      </c>
      <c r="L169" s="81">
        <v>-200</v>
      </c>
      <c r="M169" s="81">
        <f t="shared" si="104"/>
        <v>680</v>
      </c>
      <c r="N169" s="81"/>
      <c r="O169" s="81">
        <f t="shared" si="105"/>
        <v>680</v>
      </c>
      <c r="P169" s="81"/>
      <c r="Q169" s="81">
        <f t="shared" si="106"/>
        <v>680</v>
      </c>
      <c r="R169" s="81">
        <v>-200</v>
      </c>
      <c r="S169" s="81">
        <f t="shared" si="107"/>
        <v>480</v>
      </c>
      <c r="T169" s="81"/>
      <c r="U169" s="81">
        <f t="shared" si="108"/>
        <v>480</v>
      </c>
      <c r="V169" s="81"/>
      <c r="W169" s="81">
        <f t="shared" si="109"/>
        <v>480</v>
      </c>
      <c r="X169" s="81"/>
      <c r="Y169" s="81">
        <f t="shared" si="110"/>
        <v>480</v>
      </c>
      <c r="Z169" s="81"/>
      <c r="AA169" s="81">
        <f t="shared" si="111"/>
        <v>480</v>
      </c>
      <c r="AB169" s="119"/>
      <c r="AC169" s="119"/>
      <c r="AD169" s="119"/>
    </row>
    <row r="170" spans="1:30" s="24" customFormat="1" ht="21" customHeight="1">
      <c r="A170" s="86"/>
      <c r="B170" s="82"/>
      <c r="C170" s="67">
        <v>4170</v>
      </c>
      <c r="D170" s="38" t="s">
        <v>190</v>
      </c>
      <c r="E170" s="81">
        <v>35640</v>
      </c>
      <c r="F170" s="81"/>
      <c r="G170" s="81">
        <f t="shared" si="101"/>
        <v>35640</v>
      </c>
      <c r="H170" s="81"/>
      <c r="I170" s="81">
        <f t="shared" si="102"/>
        <v>35640</v>
      </c>
      <c r="J170" s="81"/>
      <c r="K170" s="81">
        <f t="shared" si="103"/>
        <v>35640</v>
      </c>
      <c r="L170" s="81">
        <v>-4000</v>
      </c>
      <c r="M170" s="81">
        <f t="shared" si="104"/>
        <v>31640</v>
      </c>
      <c r="N170" s="81"/>
      <c r="O170" s="81">
        <f t="shared" si="105"/>
        <v>31640</v>
      </c>
      <c r="P170" s="81"/>
      <c r="Q170" s="81">
        <f t="shared" si="106"/>
        <v>31640</v>
      </c>
      <c r="R170" s="81">
        <v>-1320</v>
      </c>
      <c r="S170" s="81">
        <f t="shared" si="107"/>
        <v>30320</v>
      </c>
      <c r="T170" s="81"/>
      <c r="U170" s="81">
        <f t="shared" si="108"/>
        <v>30320</v>
      </c>
      <c r="V170" s="81"/>
      <c r="W170" s="81">
        <f t="shared" si="109"/>
        <v>30320</v>
      </c>
      <c r="X170" s="81"/>
      <c r="Y170" s="81">
        <f t="shared" si="110"/>
        <v>30320</v>
      </c>
      <c r="Z170" s="81"/>
      <c r="AA170" s="81">
        <f t="shared" si="111"/>
        <v>30320</v>
      </c>
      <c r="AB170" s="119"/>
      <c r="AC170" s="119"/>
      <c r="AD170" s="119"/>
    </row>
    <row r="171" spans="1:27" s="24" customFormat="1" ht="21" customHeight="1">
      <c r="A171" s="86"/>
      <c r="B171" s="82"/>
      <c r="C171" s="67">
        <v>4210</v>
      </c>
      <c r="D171" s="38" t="s">
        <v>92</v>
      </c>
      <c r="E171" s="81">
        <f>32800+3400+1915</f>
        <v>38115</v>
      </c>
      <c r="F171" s="81"/>
      <c r="G171" s="81">
        <f t="shared" si="101"/>
        <v>38115</v>
      </c>
      <c r="H171" s="81"/>
      <c r="I171" s="81">
        <f t="shared" si="102"/>
        <v>38115</v>
      </c>
      <c r="J171" s="81"/>
      <c r="K171" s="81">
        <f t="shared" si="103"/>
        <v>38115</v>
      </c>
      <c r="L171" s="81">
        <v>3000</v>
      </c>
      <c r="M171" s="81">
        <f t="shared" si="104"/>
        <v>41115</v>
      </c>
      <c r="N171" s="81"/>
      <c r="O171" s="81">
        <f t="shared" si="105"/>
        <v>41115</v>
      </c>
      <c r="P171" s="81"/>
      <c r="Q171" s="81">
        <f t="shared" si="106"/>
        <v>41115</v>
      </c>
      <c r="R171" s="81">
        <v>2755</v>
      </c>
      <c r="S171" s="81">
        <f t="shared" si="107"/>
        <v>43870</v>
      </c>
      <c r="T171" s="81"/>
      <c r="U171" s="81">
        <f t="shared" si="108"/>
        <v>43870</v>
      </c>
      <c r="V171" s="81"/>
      <c r="W171" s="81">
        <f t="shared" si="109"/>
        <v>43870</v>
      </c>
      <c r="X171" s="81"/>
      <c r="Y171" s="81">
        <f t="shared" si="110"/>
        <v>43870</v>
      </c>
      <c r="Z171" s="81"/>
      <c r="AA171" s="81">
        <f t="shared" si="111"/>
        <v>43870</v>
      </c>
    </row>
    <row r="172" spans="1:27" s="24" customFormat="1" ht="21" customHeight="1">
      <c r="A172" s="86"/>
      <c r="B172" s="82"/>
      <c r="C172" s="67">
        <v>4260</v>
      </c>
      <c r="D172" s="38" t="s">
        <v>95</v>
      </c>
      <c r="E172" s="81">
        <v>15300</v>
      </c>
      <c r="F172" s="81"/>
      <c r="G172" s="81">
        <f t="shared" si="101"/>
        <v>15300</v>
      </c>
      <c r="H172" s="81"/>
      <c r="I172" s="81">
        <f t="shared" si="102"/>
        <v>15300</v>
      </c>
      <c r="J172" s="81"/>
      <c r="K172" s="81">
        <f t="shared" si="103"/>
        <v>15300</v>
      </c>
      <c r="L172" s="81"/>
      <c r="M172" s="81">
        <f t="shared" si="104"/>
        <v>15300</v>
      </c>
      <c r="N172" s="81"/>
      <c r="O172" s="81">
        <f t="shared" si="105"/>
        <v>15300</v>
      </c>
      <c r="P172" s="81"/>
      <c r="Q172" s="81">
        <f t="shared" si="106"/>
        <v>15300</v>
      </c>
      <c r="R172" s="81"/>
      <c r="S172" s="81">
        <f t="shared" si="107"/>
        <v>15300</v>
      </c>
      <c r="T172" s="81"/>
      <c r="U172" s="81">
        <f t="shared" si="108"/>
        <v>15300</v>
      </c>
      <c r="V172" s="81"/>
      <c r="W172" s="81">
        <f t="shared" si="109"/>
        <v>15300</v>
      </c>
      <c r="X172" s="81"/>
      <c r="Y172" s="81">
        <f t="shared" si="110"/>
        <v>15300</v>
      </c>
      <c r="Z172" s="81"/>
      <c r="AA172" s="81">
        <f t="shared" si="111"/>
        <v>15300</v>
      </c>
    </row>
    <row r="173" spans="1:27" s="24" customFormat="1" ht="21" customHeight="1">
      <c r="A173" s="86"/>
      <c r="B173" s="82"/>
      <c r="C173" s="67">
        <v>4270</v>
      </c>
      <c r="D173" s="38" t="s">
        <v>78</v>
      </c>
      <c r="E173" s="81">
        <v>13500</v>
      </c>
      <c r="F173" s="81"/>
      <c r="G173" s="81">
        <f t="shared" si="101"/>
        <v>13500</v>
      </c>
      <c r="H173" s="81"/>
      <c r="I173" s="81">
        <f t="shared" si="102"/>
        <v>13500</v>
      </c>
      <c r="J173" s="81"/>
      <c r="K173" s="81">
        <f t="shared" si="103"/>
        <v>13500</v>
      </c>
      <c r="L173" s="81"/>
      <c r="M173" s="81">
        <f t="shared" si="104"/>
        <v>13500</v>
      </c>
      <c r="N173" s="81"/>
      <c r="O173" s="81">
        <f t="shared" si="105"/>
        <v>13500</v>
      </c>
      <c r="P173" s="81"/>
      <c r="Q173" s="81">
        <f t="shared" si="106"/>
        <v>13500</v>
      </c>
      <c r="R173" s="81"/>
      <c r="S173" s="81">
        <f t="shared" si="107"/>
        <v>13500</v>
      </c>
      <c r="T173" s="81"/>
      <c r="U173" s="81">
        <f t="shared" si="108"/>
        <v>13500</v>
      </c>
      <c r="V173" s="81"/>
      <c r="W173" s="81">
        <f t="shared" si="109"/>
        <v>13500</v>
      </c>
      <c r="X173" s="81"/>
      <c r="Y173" s="81">
        <f t="shared" si="110"/>
        <v>13500</v>
      </c>
      <c r="Z173" s="81"/>
      <c r="AA173" s="81">
        <f t="shared" si="111"/>
        <v>13500</v>
      </c>
    </row>
    <row r="174" spans="1:27" s="24" customFormat="1" ht="21" customHeight="1">
      <c r="A174" s="86"/>
      <c r="B174" s="82"/>
      <c r="C174" s="67">
        <v>4280</v>
      </c>
      <c r="D174" s="38" t="s">
        <v>217</v>
      </c>
      <c r="E174" s="81">
        <v>6000</v>
      </c>
      <c r="F174" s="81"/>
      <c r="G174" s="81">
        <f t="shared" si="101"/>
        <v>6000</v>
      </c>
      <c r="H174" s="81"/>
      <c r="I174" s="81">
        <f t="shared" si="102"/>
        <v>6000</v>
      </c>
      <c r="J174" s="81"/>
      <c r="K174" s="81">
        <f t="shared" si="103"/>
        <v>6000</v>
      </c>
      <c r="L174" s="81"/>
      <c r="M174" s="81">
        <f t="shared" si="104"/>
        <v>6000</v>
      </c>
      <c r="N174" s="81"/>
      <c r="O174" s="81">
        <f t="shared" si="105"/>
        <v>6000</v>
      </c>
      <c r="P174" s="81"/>
      <c r="Q174" s="81">
        <f t="shared" si="106"/>
        <v>6000</v>
      </c>
      <c r="R174" s="81">
        <v>2120</v>
      </c>
      <c r="S174" s="81">
        <f t="shared" si="107"/>
        <v>8120</v>
      </c>
      <c r="T174" s="81"/>
      <c r="U174" s="81">
        <f t="shared" si="108"/>
        <v>8120</v>
      </c>
      <c r="V174" s="81"/>
      <c r="W174" s="81">
        <f t="shared" si="109"/>
        <v>8120</v>
      </c>
      <c r="X174" s="81"/>
      <c r="Y174" s="81">
        <f t="shared" si="110"/>
        <v>8120</v>
      </c>
      <c r="Z174" s="81"/>
      <c r="AA174" s="81">
        <f t="shared" si="111"/>
        <v>8120</v>
      </c>
    </row>
    <row r="175" spans="1:27" s="24" customFormat="1" ht="21" customHeight="1">
      <c r="A175" s="86"/>
      <c r="B175" s="82"/>
      <c r="C175" s="67">
        <v>4300</v>
      </c>
      <c r="D175" s="38" t="s">
        <v>79</v>
      </c>
      <c r="E175" s="81">
        <v>10594</v>
      </c>
      <c r="F175" s="81"/>
      <c r="G175" s="81">
        <f t="shared" si="101"/>
        <v>10594</v>
      </c>
      <c r="H175" s="81"/>
      <c r="I175" s="81">
        <f t="shared" si="102"/>
        <v>10594</v>
      </c>
      <c r="J175" s="81"/>
      <c r="K175" s="81">
        <f t="shared" si="103"/>
        <v>10594</v>
      </c>
      <c r="L175" s="81">
        <v>4200</v>
      </c>
      <c r="M175" s="81">
        <f t="shared" si="104"/>
        <v>14794</v>
      </c>
      <c r="N175" s="81"/>
      <c r="O175" s="81">
        <f t="shared" si="105"/>
        <v>14794</v>
      </c>
      <c r="P175" s="81"/>
      <c r="Q175" s="81">
        <f t="shared" si="106"/>
        <v>14794</v>
      </c>
      <c r="R175" s="81">
        <v>-144</v>
      </c>
      <c r="S175" s="81">
        <f t="shared" si="107"/>
        <v>14650</v>
      </c>
      <c r="T175" s="81"/>
      <c r="U175" s="81">
        <f t="shared" si="108"/>
        <v>14650</v>
      </c>
      <c r="V175" s="81"/>
      <c r="W175" s="81">
        <f t="shared" si="109"/>
        <v>14650</v>
      </c>
      <c r="X175" s="81"/>
      <c r="Y175" s="81">
        <f t="shared" si="110"/>
        <v>14650</v>
      </c>
      <c r="Z175" s="81"/>
      <c r="AA175" s="81">
        <f t="shared" si="111"/>
        <v>14650</v>
      </c>
    </row>
    <row r="176" spans="1:27" s="24" customFormat="1" ht="21" customHeight="1">
      <c r="A176" s="86"/>
      <c r="B176" s="82"/>
      <c r="C176" s="67">
        <v>4410</v>
      </c>
      <c r="D176" s="38" t="s">
        <v>90</v>
      </c>
      <c r="E176" s="81">
        <v>4000</v>
      </c>
      <c r="F176" s="81"/>
      <c r="G176" s="81">
        <f t="shared" si="101"/>
        <v>4000</v>
      </c>
      <c r="H176" s="81"/>
      <c r="I176" s="81">
        <f t="shared" si="102"/>
        <v>4000</v>
      </c>
      <c r="J176" s="81"/>
      <c r="K176" s="81">
        <f t="shared" si="103"/>
        <v>4000</v>
      </c>
      <c r="L176" s="81"/>
      <c r="M176" s="81">
        <f t="shared" si="104"/>
        <v>4000</v>
      </c>
      <c r="N176" s="81"/>
      <c r="O176" s="81">
        <f t="shared" si="105"/>
        <v>4000</v>
      </c>
      <c r="P176" s="81"/>
      <c r="Q176" s="81">
        <f t="shared" si="106"/>
        <v>4000</v>
      </c>
      <c r="R176" s="81"/>
      <c r="S176" s="81">
        <f t="shared" si="107"/>
        <v>4000</v>
      </c>
      <c r="T176" s="81"/>
      <c r="U176" s="81">
        <f t="shared" si="108"/>
        <v>4000</v>
      </c>
      <c r="V176" s="81"/>
      <c r="W176" s="81">
        <f t="shared" si="109"/>
        <v>4000</v>
      </c>
      <c r="X176" s="81"/>
      <c r="Y176" s="81">
        <f t="shared" si="110"/>
        <v>4000</v>
      </c>
      <c r="Z176" s="81"/>
      <c r="AA176" s="81">
        <f t="shared" si="111"/>
        <v>4000</v>
      </c>
    </row>
    <row r="177" spans="1:27" s="24" customFormat="1" ht="21" customHeight="1">
      <c r="A177" s="86"/>
      <c r="B177" s="82"/>
      <c r="C177" s="67">
        <v>4430</v>
      </c>
      <c r="D177" s="38" t="s">
        <v>94</v>
      </c>
      <c r="E177" s="81">
        <v>13006</v>
      </c>
      <c r="F177" s="81"/>
      <c r="G177" s="81">
        <f t="shared" si="101"/>
        <v>13006</v>
      </c>
      <c r="H177" s="81"/>
      <c r="I177" s="81">
        <f t="shared" si="102"/>
        <v>13006</v>
      </c>
      <c r="J177" s="81"/>
      <c r="K177" s="81">
        <f t="shared" si="103"/>
        <v>13006</v>
      </c>
      <c r="L177" s="81"/>
      <c r="M177" s="81">
        <f t="shared" si="104"/>
        <v>13006</v>
      </c>
      <c r="N177" s="81"/>
      <c r="O177" s="81">
        <f t="shared" si="105"/>
        <v>13006</v>
      </c>
      <c r="P177" s="81"/>
      <c r="Q177" s="81">
        <f t="shared" si="106"/>
        <v>13006</v>
      </c>
      <c r="R177" s="81">
        <v>144</v>
      </c>
      <c r="S177" s="81">
        <f t="shared" si="107"/>
        <v>13150</v>
      </c>
      <c r="T177" s="81"/>
      <c r="U177" s="81">
        <f t="shared" si="108"/>
        <v>13150</v>
      </c>
      <c r="V177" s="81"/>
      <c r="W177" s="81">
        <f t="shared" si="109"/>
        <v>13150</v>
      </c>
      <c r="X177" s="81"/>
      <c r="Y177" s="81">
        <f t="shared" si="110"/>
        <v>13150</v>
      </c>
      <c r="Z177" s="81"/>
      <c r="AA177" s="81">
        <f t="shared" si="111"/>
        <v>13150</v>
      </c>
    </row>
    <row r="178" spans="1:27" s="24" customFormat="1" ht="24">
      <c r="A178" s="86"/>
      <c r="B178" s="82"/>
      <c r="C178" s="67">
        <v>6050</v>
      </c>
      <c r="D178" s="13" t="s">
        <v>73</v>
      </c>
      <c r="E178" s="81">
        <v>0</v>
      </c>
      <c r="F178" s="81">
        <f>200000+20000</f>
        <v>220000</v>
      </c>
      <c r="G178" s="81">
        <f t="shared" si="101"/>
        <v>220000</v>
      </c>
      <c r="H178" s="81"/>
      <c r="I178" s="81">
        <f t="shared" si="102"/>
        <v>220000</v>
      </c>
      <c r="J178" s="81"/>
      <c r="K178" s="81">
        <f t="shared" si="103"/>
        <v>220000</v>
      </c>
      <c r="L178" s="81"/>
      <c r="M178" s="81">
        <f t="shared" si="104"/>
        <v>220000</v>
      </c>
      <c r="N178" s="81"/>
      <c r="O178" s="81">
        <f t="shared" si="105"/>
        <v>220000</v>
      </c>
      <c r="P178" s="81"/>
      <c r="Q178" s="81">
        <f t="shared" si="106"/>
        <v>220000</v>
      </c>
      <c r="R178" s="81"/>
      <c r="S178" s="81">
        <f t="shared" si="107"/>
        <v>220000</v>
      </c>
      <c r="T178" s="81"/>
      <c r="U178" s="81">
        <f t="shared" si="108"/>
        <v>220000</v>
      </c>
      <c r="V178" s="81"/>
      <c r="W178" s="81">
        <f t="shared" si="109"/>
        <v>220000</v>
      </c>
      <c r="X178" s="81"/>
      <c r="Y178" s="81">
        <f t="shared" si="110"/>
        <v>220000</v>
      </c>
      <c r="Z178" s="81"/>
      <c r="AA178" s="81">
        <f t="shared" si="111"/>
        <v>220000</v>
      </c>
    </row>
    <row r="179" spans="1:27" s="24" customFormat="1" ht="24">
      <c r="A179" s="86"/>
      <c r="B179" s="82"/>
      <c r="C179" s="67">
        <v>6060</v>
      </c>
      <c r="D179" s="38" t="s">
        <v>96</v>
      </c>
      <c r="E179" s="81">
        <v>25000</v>
      </c>
      <c r="F179" s="81"/>
      <c r="G179" s="81">
        <f t="shared" si="101"/>
        <v>25000</v>
      </c>
      <c r="H179" s="81"/>
      <c r="I179" s="81">
        <f t="shared" si="102"/>
        <v>25000</v>
      </c>
      <c r="J179" s="81"/>
      <c r="K179" s="81">
        <f t="shared" si="103"/>
        <v>25000</v>
      </c>
      <c r="L179" s="81"/>
      <c r="M179" s="81">
        <f t="shared" si="104"/>
        <v>25000</v>
      </c>
      <c r="N179" s="81"/>
      <c r="O179" s="81">
        <f t="shared" si="105"/>
        <v>25000</v>
      </c>
      <c r="P179" s="81"/>
      <c r="Q179" s="81">
        <f t="shared" si="106"/>
        <v>25000</v>
      </c>
      <c r="R179" s="81">
        <v>-2755</v>
      </c>
      <c r="S179" s="81">
        <f t="shared" si="107"/>
        <v>22245</v>
      </c>
      <c r="T179" s="81"/>
      <c r="U179" s="81">
        <f t="shared" si="108"/>
        <v>22245</v>
      </c>
      <c r="V179" s="81"/>
      <c r="W179" s="81">
        <f t="shared" si="109"/>
        <v>22245</v>
      </c>
      <c r="X179" s="81"/>
      <c r="Y179" s="81">
        <f t="shared" si="110"/>
        <v>22245</v>
      </c>
      <c r="Z179" s="81"/>
      <c r="AA179" s="81">
        <f t="shared" si="111"/>
        <v>22245</v>
      </c>
    </row>
    <row r="180" spans="1:27" s="24" customFormat="1" ht="21" customHeight="1">
      <c r="A180" s="86"/>
      <c r="B180" s="82">
        <v>75416</v>
      </c>
      <c r="C180" s="86"/>
      <c r="D180" s="38" t="s">
        <v>25</v>
      </c>
      <c r="E180" s="81">
        <f aca="true" t="shared" si="112" ref="E180:W180">SUM(E181:E196)</f>
        <v>275000</v>
      </c>
      <c r="F180" s="81">
        <f t="shared" si="112"/>
        <v>0</v>
      </c>
      <c r="G180" s="81">
        <f t="shared" si="112"/>
        <v>275000</v>
      </c>
      <c r="H180" s="81">
        <f t="shared" si="112"/>
        <v>0</v>
      </c>
      <c r="I180" s="81">
        <f t="shared" si="112"/>
        <v>275000</v>
      </c>
      <c r="J180" s="81">
        <f t="shared" si="112"/>
        <v>0</v>
      </c>
      <c r="K180" s="81">
        <f t="shared" si="112"/>
        <v>275000</v>
      </c>
      <c r="L180" s="81">
        <f t="shared" si="112"/>
        <v>-711</v>
      </c>
      <c r="M180" s="81">
        <f t="shared" si="112"/>
        <v>274289</v>
      </c>
      <c r="N180" s="81">
        <f t="shared" si="112"/>
        <v>0</v>
      </c>
      <c r="O180" s="81">
        <f t="shared" si="112"/>
        <v>274289</v>
      </c>
      <c r="P180" s="81">
        <f t="shared" si="112"/>
        <v>0</v>
      </c>
      <c r="Q180" s="81">
        <f t="shared" si="112"/>
        <v>274289</v>
      </c>
      <c r="R180" s="81">
        <f t="shared" si="112"/>
        <v>0</v>
      </c>
      <c r="S180" s="81">
        <f t="shared" si="112"/>
        <v>274289</v>
      </c>
      <c r="T180" s="81">
        <f t="shared" si="112"/>
        <v>0</v>
      </c>
      <c r="U180" s="81">
        <f t="shared" si="112"/>
        <v>274289</v>
      </c>
      <c r="V180" s="81">
        <f t="shared" si="112"/>
        <v>0</v>
      </c>
      <c r="W180" s="81">
        <f t="shared" si="112"/>
        <v>274289</v>
      </c>
      <c r="X180" s="81">
        <f>SUM(X181:X196)</f>
        <v>0</v>
      </c>
      <c r="Y180" s="81">
        <f>SUM(Y181:Y196)</f>
        <v>274289</v>
      </c>
      <c r="Z180" s="81">
        <f>SUM(Z181:Z196)</f>
        <v>0</v>
      </c>
      <c r="AA180" s="81">
        <f>SUM(AA181:AA196)</f>
        <v>274289</v>
      </c>
    </row>
    <row r="181" spans="1:27" s="24" customFormat="1" ht="24">
      <c r="A181" s="86"/>
      <c r="B181" s="82"/>
      <c r="C181" s="67">
        <v>3020</v>
      </c>
      <c r="D181" s="38" t="s">
        <v>188</v>
      </c>
      <c r="E181" s="81">
        <v>7100</v>
      </c>
      <c r="F181" s="81"/>
      <c r="G181" s="81">
        <f>SUM(E181:F181)</f>
        <v>7100</v>
      </c>
      <c r="H181" s="81"/>
      <c r="I181" s="81">
        <f>SUM(G181:H181)</f>
        <v>7100</v>
      </c>
      <c r="J181" s="81"/>
      <c r="K181" s="81">
        <f>SUM(I181:J181)</f>
        <v>7100</v>
      </c>
      <c r="L181" s="81"/>
      <c r="M181" s="81">
        <f>SUM(K181:L181)</f>
        <v>7100</v>
      </c>
      <c r="N181" s="81"/>
      <c r="O181" s="81">
        <f>SUM(M181:N181)</f>
        <v>7100</v>
      </c>
      <c r="P181" s="81"/>
      <c r="Q181" s="81">
        <f>SUM(O181:P181)</f>
        <v>7100</v>
      </c>
      <c r="R181" s="81"/>
      <c r="S181" s="81">
        <f>SUM(Q181:R181)</f>
        <v>7100</v>
      </c>
      <c r="T181" s="81"/>
      <c r="U181" s="81">
        <f>SUM(S181:T181)</f>
        <v>7100</v>
      </c>
      <c r="V181" s="81"/>
      <c r="W181" s="81">
        <f>SUM(U181:V181)</f>
        <v>7100</v>
      </c>
      <c r="X181" s="81"/>
      <c r="Y181" s="81">
        <f>SUM(W181:X181)</f>
        <v>7100</v>
      </c>
      <c r="Z181" s="81"/>
      <c r="AA181" s="81">
        <f>SUM(Y181:Z181)</f>
        <v>7100</v>
      </c>
    </row>
    <row r="182" spans="1:30" s="24" customFormat="1" ht="21" customHeight="1">
      <c r="A182" s="86"/>
      <c r="B182" s="82"/>
      <c r="C182" s="67">
        <v>4010</v>
      </c>
      <c r="D182" s="38" t="s">
        <v>84</v>
      </c>
      <c r="E182" s="81">
        <v>186240</v>
      </c>
      <c r="F182" s="81"/>
      <c r="G182" s="81">
        <f aca="true" t="shared" si="113" ref="G182:G196">SUM(E182:F182)</f>
        <v>186240</v>
      </c>
      <c r="H182" s="81"/>
      <c r="I182" s="81">
        <f aca="true" t="shared" si="114" ref="I182:I196">SUM(G182:H182)</f>
        <v>186240</v>
      </c>
      <c r="J182" s="81"/>
      <c r="K182" s="81">
        <f aca="true" t="shared" si="115" ref="K182:K196">SUM(I182:J182)</f>
        <v>186240</v>
      </c>
      <c r="L182" s="81"/>
      <c r="M182" s="81">
        <f aca="true" t="shared" si="116" ref="M182:M196">SUM(K182:L182)</f>
        <v>186240</v>
      </c>
      <c r="N182" s="81"/>
      <c r="O182" s="81">
        <f aca="true" t="shared" si="117" ref="O182:O196">SUM(M182:N182)</f>
        <v>186240</v>
      </c>
      <c r="P182" s="81">
        <v>-3691</v>
      </c>
      <c r="Q182" s="81">
        <f aca="true" t="shared" si="118" ref="Q182:Q196">SUM(O182:P182)</f>
        <v>182549</v>
      </c>
      <c r="R182" s="81">
        <v>610</v>
      </c>
      <c r="S182" s="81">
        <f aca="true" t="shared" si="119" ref="S182:S196">SUM(Q182:R182)</f>
        <v>183159</v>
      </c>
      <c r="T182" s="81"/>
      <c r="U182" s="81">
        <f aca="true" t="shared" si="120" ref="U182:U196">SUM(S182:T182)</f>
        <v>183159</v>
      </c>
      <c r="V182" s="81"/>
      <c r="W182" s="81">
        <f aca="true" t="shared" si="121" ref="W182:W196">SUM(U182:V182)</f>
        <v>183159</v>
      </c>
      <c r="X182" s="81"/>
      <c r="Y182" s="81">
        <f aca="true" t="shared" si="122" ref="Y182:Y196">SUM(W182:X182)</f>
        <v>183159</v>
      </c>
      <c r="Z182" s="81"/>
      <c r="AA182" s="81">
        <f aca="true" t="shared" si="123" ref="AA182:AA196">SUM(Y182:Z182)</f>
        <v>183159</v>
      </c>
      <c r="AB182" s="119"/>
      <c r="AC182" s="119"/>
      <c r="AD182" s="119"/>
    </row>
    <row r="183" spans="1:30" s="24" customFormat="1" ht="21" customHeight="1">
      <c r="A183" s="86"/>
      <c r="B183" s="82"/>
      <c r="C183" s="67">
        <v>4040</v>
      </c>
      <c r="D183" s="38" t="s">
        <v>85</v>
      </c>
      <c r="E183" s="81">
        <v>13500</v>
      </c>
      <c r="F183" s="81"/>
      <c r="G183" s="81">
        <f t="shared" si="113"/>
        <v>13500</v>
      </c>
      <c r="H183" s="81"/>
      <c r="I183" s="81">
        <f t="shared" si="114"/>
        <v>13500</v>
      </c>
      <c r="J183" s="81"/>
      <c r="K183" s="81">
        <f t="shared" si="115"/>
        <v>13500</v>
      </c>
      <c r="L183" s="81">
        <v>-711</v>
      </c>
      <c r="M183" s="81">
        <f t="shared" si="116"/>
        <v>12789</v>
      </c>
      <c r="N183" s="81"/>
      <c r="O183" s="81">
        <f t="shared" si="117"/>
        <v>12789</v>
      </c>
      <c r="P183" s="81"/>
      <c r="Q183" s="81">
        <f t="shared" si="118"/>
        <v>12789</v>
      </c>
      <c r="R183" s="81"/>
      <c r="S183" s="81">
        <f t="shared" si="119"/>
        <v>12789</v>
      </c>
      <c r="T183" s="81"/>
      <c r="U183" s="81">
        <f t="shared" si="120"/>
        <v>12789</v>
      </c>
      <c r="V183" s="81"/>
      <c r="W183" s="81">
        <f t="shared" si="121"/>
        <v>12789</v>
      </c>
      <c r="X183" s="81"/>
      <c r="Y183" s="81">
        <f t="shared" si="122"/>
        <v>12789</v>
      </c>
      <c r="Z183" s="81"/>
      <c r="AA183" s="81">
        <f t="shared" si="123"/>
        <v>12789</v>
      </c>
      <c r="AB183" s="119"/>
      <c r="AC183" s="119"/>
      <c r="AD183" s="119"/>
    </row>
    <row r="184" spans="1:30" s="24" customFormat="1" ht="21" customHeight="1">
      <c r="A184" s="86"/>
      <c r="B184" s="82"/>
      <c r="C184" s="67">
        <v>4110</v>
      </c>
      <c r="D184" s="38" t="s">
        <v>86</v>
      </c>
      <c r="E184" s="81">
        <v>29000</v>
      </c>
      <c r="F184" s="81"/>
      <c r="G184" s="81">
        <f t="shared" si="113"/>
        <v>29000</v>
      </c>
      <c r="H184" s="81"/>
      <c r="I184" s="81">
        <f t="shared" si="114"/>
        <v>29000</v>
      </c>
      <c r="J184" s="81"/>
      <c r="K184" s="81">
        <f t="shared" si="115"/>
        <v>29000</v>
      </c>
      <c r="L184" s="81"/>
      <c r="M184" s="81">
        <f t="shared" si="116"/>
        <v>29000</v>
      </c>
      <c r="N184" s="81"/>
      <c r="O184" s="81">
        <f t="shared" si="117"/>
        <v>29000</v>
      </c>
      <c r="P184" s="81">
        <v>3575</v>
      </c>
      <c r="Q184" s="81">
        <f t="shared" si="118"/>
        <v>32575</v>
      </c>
      <c r="R184" s="81"/>
      <c r="S184" s="81">
        <f t="shared" si="119"/>
        <v>32575</v>
      </c>
      <c r="T184" s="81"/>
      <c r="U184" s="81">
        <f t="shared" si="120"/>
        <v>32575</v>
      </c>
      <c r="V184" s="81"/>
      <c r="W184" s="81">
        <f t="shared" si="121"/>
        <v>32575</v>
      </c>
      <c r="X184" s="81"/>
      <c r="Y184" s="81">
        <f t="shared" si="122"/>
        <v>32575</v>
      </c>
      <c r="Z184" s="81"/>
      <c r="AA184" s="81">
        <f t="shared" si="123"/>
        <v>32575</v>
      </c>
      <c r="AB184" s="119"/>
      <c r="AC184" s="119"/>
      <c r="AD184" s="119"/>
    </row>
    <row r="185" spans="1:30" s="24" customFormat="1" ht="21" customHeight="1">
      <c r="A185" s="86"/>
      <c r="B185" s="82"/>
      <c r="C185" s="67">
        <v>4120</v>
      </c>
      <c r="D185" s="38" t="s">
        <v>87</v>
      </c>
      <c r="E185" s="81">
        <v>4800</v>
      </c>
      <c r="F185" s="81"/>
      <c r="G185" s="81">
        <f t="shared" si="113"/>
        <v>4800</v>
      </c>
      <c r="H185" s="81"/>
      <c r="I185" s="81">
        <f t="shared" si="114"/>
        <v>4800</v>
      </c>
      <c r="J185" s="81"/>
      <c r="K185" s="81">
        <f t="shared" si="115"/>
        <v>4800</v>
      </c>
      <c r="L185" s="81"/>
      <c r="M185" s="81">
        <f t="shared" si="116"/>
        <v>4800</v>
      </c>
      <c r="N185" s="81"/>
      <c r="O185" s="81">
        <f t="shared" si="117"/>
        <v>4800</v>
      </c>
      <c r="P185" s="81">
        <v>116</v>
      </c>
      <c r="Q185" s="81">
        <f t="shared" si="118"/>
        <v>4916</v>
      </c>
      <c r="R185" s="81"/>
      <c r="S185" s="81">
        <f t="shared" si="119"/>
        <v>4916</v>
      </c>
      <c r="T185" s="81"/>
      <c r="U185" s="81">
        <f t="shared" si="120"/>
        <v>4916</v>
      </c>
      <c r="V185" s="81"/>
      <c r="W185" s="81">
        <f t="shared" si="121"/>
        <v>4916</v>
      </c>
      <c r="X185" s="81"/>
      <c r="Y185" s="81">
        <f t="shared" si="122"/>
        <v>4916</v>
      </c>
      <c r="Z185" s="81"/>
      <c r="AA185" s="81">
        <f t="shared" si="123"/>
        <v>4916</v>
      </c>
      <c r="AB185" s="119"/>
      <c r="AC185" s="119"/>
      <c r="AD185" s="119"/>
    </row>
    <row r="186" spans="1:27" s="24" customFormat="1" ht="21" customHeight="1">
      <c r="A186" s="86"/>
      <c r="B186" s="82"/>
      <c r="C186" s="67">
        <v>4210</v>
      </c>
      <c r="D186" s="38" t="s">
        <v>92</v>
      </c>
      <c r="E186" s="81">
        <v>10850</v>
      </c>
      <c r="F186" s="81"/>
      <c r="G186" s="81">
        <f t="shared" si="113"/>
        <v>10850</v>
      </c>
      <c r="H186" s="81"/>
      <c r="I186" s="81">
        <f t="shared" si="114"/>
        <v>10850</v>
      </c>
      <c r="J186" s="81">
        <v>-112</v>
      </c>
      <c r="K186" s="81">
        <f t="shared" si="115"/>
        <v>10738</v>
      </c>
      <c r="L186" s="81"/>
      <c r="M186" s="81">
        <f t="shared" si="116"/>
        <v>10738</v>
      </c>
      <c r="N186" s="81"/>
      <c r="O186" s="81">
        <f t="shared" si="117"/>
        <v>10738</v>
      </c>
      <c r="P186" s="81"/>
      <c r="Q186" s="81">
        <f t="shared" si="118"/>
        <v>10738</v>
      </c>
      <c r="R186" s="81"/>
      <c r="S186" s="81">
        <f t="shared" si="119"/>
        <v>10738</v>
      </c>
      <c r="T186" s="81"/>
      <c r="U186" s="81">
        <f t="shared" si="120"/>
        <v>10738</v>
      </c>
      <c r="V186" s="81"/>
      <c r="W186" s="81">
        <f t="shared" si="121"/>
        <v>10738</v>
      </c>
      <c r="X186" s="81"/>
      <c r="Y186" s="81">
        <f t="shared" si="122"/>
        <v>10738</v>
      </c>
      <c r="Z186" s="81"/>
      <c r="AA186" s="81">
        <f t="shared" si="123"/>
        <v>10738</v>
      </c>
    </row>
    <row r="187" spans="1:27" s="24" customFormat="1" ht="21" customHeight="1">
      <c r="A187" s="86"/>
      <c r="B187" s="82"/>
      <c r="C187" s="67">
        <v>4270</v>
      </c>
      <c r="D187" s="38" t="s">
        <v>78</v>
      </c>
      <c r="E187" s="81">
        <v>1000</v>
      </c>
      <c r="F187" s="81"/>
      <c r="G187" s="81">
        <f t="shared" si="113"/>
        <v>1000</v>
      </c>
      <c r="H187" s="81"/>
      <c r="I187" s="81">
        <f t="shared" si="114"/>
        <v>1000</v>
      </c>
      <c r="J187" s="81">
        <v>200</v>
      </c>
      <c r="K187" s="81">
        <f t="shared" si="115"/>
        <v>1200</v>
      </c>
      <c r="L187" s="81"/>
      <c r="M187" s="81">
        <f t="shared" si="116"/>
        <v>1200</v>
      </c>
      <c r="N187" s="81"/>
      <c r="O187" s="81">
        <f t="shared" si="117"/>
        <v>1200</v>
      </c>
      <c r="P187" s="81"/>
      <c r="Q187" s="81">
        <f t="shared" si="118"/>
        <v>1200</v>
      </c>
      <c r="R187" s="81"/>
      <c r="S187" s="81">
        <f t="shared" si="119"/>
        <v>1200</v>
      </c>
      <c r="T187" s="81"/>
      <c r="U187" s="81">
        <f t="shared" si="120"/>
        <v>1200</v>
      </c>
      <c r="V187" s="81"/>
      <c r="W187" s="81">
        <f t="shared" si="121"/>
        <v>1200</v>
      </c>
      <c r="X187" s="81"/>
      <c r="Y187" s="81">
        <f t="shared" si="122"/>
        <v>1200</v>
      </c>
      <c r="Z187" s="81"/>
      <c r="AA187" s="81">
        <f t="shared" si="123"/>
        <v>1200</v>
      </c>
    </row>
    <row r="188" spans="1:27" s="24" customFormat="1" ht="21" customHeight="1">
      <c r="A188" s="86"/>
      <c r="B188" s="82"/>
      <c r="C188" s="67">
        <v>4280</v>
      </c>
      <c r="D188" s="38" t="s">
        <v>217</v>
      </c>
      <c r="E188" s="81">
        <v>500</v>
      </c>
      <c r="F188" s="81"/>
      <c r="G188" s="81">
        <f t="shared" si="113"/>
        <v>500</v>
      </c>
      <c r="H188" s="81"/>
      <c r="I188" s="81">
        <f t="shared" si="114"/>
        <v>500</v>
      </c>
      <c r="J188" s="81"/>
      <c r="K188" s="81">
        <f t="shared" si="115"/>
        <v>500</v>
      </c>
      <c r="L188" s="81"/>
      <c r="M188" s="81">
        <f t="shared" si="116"/>
        <v>500</v>
      </c>
      <c r="N188" s="81"/>
      <c r="O188" s="81">
        <f t="shared" si="117"/>
        <v>500</v>
      </c>
      <c r="P188" s="81"/>
      <c r="Q188" s="81">
        <f t="shared" si="118"/>
        <v>500</v>
      </c>
      <c r="R188" s="81"/>
      <c r="S188" s="81">
        <f t="shared" si="119"/>
        <v>500</v>
      </c>
      <c r="T188" s="81"/>
      <c r="U188" s="81">
        <f t="shared" si="120"/>
        <v>500</v>
      </c>
      <c r="V188" s="81"/>
      <c r="W188" s="81">
        <f t="shared" si="121"/>
        <v>500</v>
      </c>
      <c r="X188" s="81"/>
      <c r="Y188" s="81">
        <f t="shared" si="122"/>
        <v>500</v>
      </c>
      <c r="Z188" s="81"/>
      <c r="AA188" s="81">
        <f t="shared" si="123"/>
        <v>500</v>
      </c>
    </row>
    <row r="189" spans="1:27" s="24" customFormat="1" ht="21" customHeight="1">
      <c r="A189" s="86"/>
      <c r="B189" s="82"/>
      <c r="C189" s="67">
        <v>4300</v>
      </c>
      <c r="D189" s="38" t="s">
        <v>79</v>
      </c>
      <c r="E189" s="81">
        <v>4700</v>
      </c>
      <c r="F189" s="81"/>
      <c r="G189" s="81">
        <f t="shared" si="113"/>
        <v>4700</v>
      </c>
      <c r="H189" s="81"/>
      <c r="I189" s="81">
        <f t="shared" si="114"/>
        <v>4700</v>
      </c>
      <c r="J189" s="81">
        <v>-200</v>
      </c>
      <c r="K189" s="81">
        <f t="shared" si="115"/>
        <v>4500</v>
      </c>
      <c r="L189" s="81"/>
      <c r="M189" s="81">
        <f t="shared" si="116"/>
        <v>4500</v>
      </c>
      <c r="N189" s="81"/>
      <c r="O189" s="81">
        <f t="shared" si="117"/>
        <v>4500</v>
      </c>
      <c r="P189" s="81"/>
      <c r="Q189" s="81">
        <f t="shared" si="118"/>
        <v>4500</v>
      </c>
      <c r="R189" s="81"/>
      <c r="S189" s="81">
        <f t="shared" si="119"/>
        <v>4500</v>
      </c>
      <c r="T189" s="81"/>
      <c r="U189" s="81">
        <f t="shared" si="120"/>
        <v>4500</v>
      </c>
      <c r="V189" s="81"/>
      <c r="W189" s="81">
        <f t="shared" si="121"/>
        <v>4500</v>
      </c>
      <c r="X189" s="81"/>
      <c r="Y189" s="81">
        <f t="shared" si="122"/>
        <v>4500</v>
      </c>
      <c r="Z189" s="81"/>
      <c r="AA189" s="81">
        <f t="shared" si="123"/>
        <v>4500</v>
      </c>
    </row>
    <row r="190" spans="1:27" s="24" customFormat="1" ht="36">
      <c r="A190" s="86"/>
      <c r="B190" s="82"/>
      <c r="C190" s="67">
        <v>4360</v>
      </c>
      <c r="D190" s="38" t="s">
        <v>433</v>
      </c>
      <c r="E190" s="81">
        <v>2200</v>
      </c>
      <c r="F190" s="81"/>
      <c r="G190" s="81">
        <f t="shared" si="113"/>
        <v>2200</v>
      </c>
      <c r="H190" s="81"/>
      <c r="I190" s="81">
        <f t="shared" si="114"/>
        <v>2200</v>
      </c>
      <c r="J190" s="81"/>
      <c r="K190" s="81">
        <f t="shared" si="115"/>
        <v>2200</v>
      </c>
      <c r="L190" s="81"/>
      <c r="M190" s="81">
        <f t="shared" si="116"/>
        <v>2200</v>
      </c>
      <c r="N190" s="81"/>
      <c r="O190" s="81">
        <f t="shared" si="117"/>
        <v>2200</v>
      </c>
      <c r="P190" s="81"/>
      <c r="Q190" s="81">
        <f t="shared" si="118"/>
        <v>2200</v>
      </c>
      <c r="R190" s="81"/>
      <c r="S190" s="81">
        <f t="shared" si="119"/>
        <v>2200</v>
      </c>
      <c r="T190" s="81"/>
      <c r="U190" s="81">
        <f t="shared" si="120"/>
        <v>2200</v>
      </c>
      <c r="V190" s="81"/>
      <c r="W190" s="81">
        <f t="shared" si="121"/>
        <v>2200</v>
      </c>
      <c r="X190" s="81"/>
      <c r="Y190" s="81">
        <f t="shared" si="122"/>
        <v>2200</v>
      </c>
      <c r="Z190" s="81"/>
      <c r="AA190" s="81">
        <f t="shared" si="123"/>
        <v>2200</v>
      </c>
    </row>
    <row r="191" spans="1:27" s="24" customFormat="1" ht="27.75" customHeight="1">
      <c r="A191" s="86"/>
      <c r="B191" s="82"/>
      <c r="C191" s="67">
        <v>4400</v>
      </c>
      <c r="D191" s="38" t="s">
        <v>241</v>
      </c>
      <c r="E191" s="81">
        <v>560</v>
      </c>
      <c r="F191" s="81"/>
      <c r="G191" s="81">
        <f t="shared" si="113"/>
        <v>560</v>
      </c>
      <c r="H191" s="81"/>
      <c r="I191" s="81">
        <f t="shared" si="114"/>
        <v>560</v>
      </c>
      <c r="J191" s="81">
        <v>112</v>
      </c>
      <c r="K191" s="81">
        <f t="shared" si="115"/>
        <v>672</v>
      </c>
      <c r="L191" s="81"/>
      <c r="M191" s="81">
        <f t="shared" si="116"/>
        <v>672</v>
      </c>
      <c r="N191" s="81"/>
      <c r="O191" s="81">
        <f t="shared" si="117"/>
        <v>672</v>
      </c>
      <c r="P191" s="81"/>
      <c r="Q191" s="81">
        <f t="shared" si="118"/>
        <v>672</v>
      </c>
      <c r="R191" s="81"/>
      <c r="S191" s="81">
        <f t="shared" si="119"/>
        <v>672</v>
      </c>
      <c r="T191" s="81"/>
      <c r="U191" s="81">
        <f t="shared" si="120"/>
        <v>672</v>
      </c>
      <c r="V191" s="81"/>
      <c r="W191" s="81">
        <f t="shared" si="121"/>
        <v>672</v>
      </c>
      <c r="X191" s="81"/>
      <c r="Y191" s="81">
        <f t="shared" si="122"/>
        <v>672</v>
      </c>
      <c r="Z191" s="81"/>
      <c r="AA191" s="81">
        <f t="shared" si="123"/>
        <v>672</v>
      </c>
    </row>
    <row r="192" spans="1:27" s="24" customFormat="1" ht="21" customHeight="1">
      <c r="A192" s="86"/>
      <c r="B192" s="82"/>
      <c r="C192" s="67">
        <v>4410</v>
      </c>
      <c r="D192" s="38" t="s">
        <v>90</v>
      </c>
      <c r="E192" s="81">
        <v>1000</v>
      </c>
      <c r="F192" s="81"/>
      <c r="G192" s="81">
        <f t="shared" si="113"/>
        <v>1000</v>
      </c>
      <c r="H192" s="81"/>
      <c r="I192" s="81">
        <f t="shared" si="114"/>
        <v>1000</v>
      </c>
      <c r="J192" s="81"/>
      <c r="K192" s="81">
        <f t="shared" si="115"/>
        <v>1000</v>
      </c>
      <c r="L192" s="81"/>
      <c r="M192" s="81">
        <f t="shared" si="116"/>
        <v>1000</v>
      </c>
      <c r="N192" s="81"/>
      <c r="O192" s="81">
        <f t="shared" si="117"/>
        <v>1000</v>
      </c>
      <c r="P192" s="81"/>
      <c r="Q192" s="81">
        <f t="shared" si="118"/>
        <v>1000</v>
      </c>
      <c r="R192" s="81"/>
      <c r="S192" s="81">
        <f t="shared" si="119"/>
        <v>1000</v>
      </c>
      <c r="T192" s="81"/>
      <c r="U192" s="81">
        <f t="shared" si="120"/>
        <v>1000</v>
      </c>
      <c r="V192" s="81"/>
      <c r="W192" s="81">
        <f t="shared" si="121"/>
        <v>1000</v>
      </c>
      <c r="X192" s="81"/>
      <c r="Y192" s="81">
        <f t="shared" si="122"/>
        <v>1000</v>
      </c>
      <c r="Z192" s="81"/>
      <c r="AA192" s="81">
        <f t="shared" si="123"/>
        <v>1000</v>
      </c>
    </row>
    <row r="193" spans="1:27" s="24" customFormat="1" ht="21" customHeight="1">
      <c r="A193" s="86"/>
      <c r="B193" s="82"/>
      <c r="C193" s="70">
        <v>4430</v>
      </c>
      <c r="D193" s="38" t="s">
        <v>94</v>
      </c>
      <c r="E193" s="81">
        <v>2500</v>
      </c>
      <c r="F193" s="81"/>
      <c r="G193" s="81">
        <f t="shared" si="113"/>
        <v>2500</v>
      </c>
      <c r="H193" s="81"/>
      <c r="I193" s="81">
        <f t="shared" si="114"/>
        <v>2500</v>
      </c>
      <c r="J193" s="81"/>
      <c r="K193" s="81">
        <f t="shared" si="115"/>
        <v>2500</v>
      </c>
      <c r="L193" s="81"/>
      <c r="M193" s="81">
        <f t="shared" si="116"/>
        <v>2500</v>
      </c>
      <c r="N193" s="81"/>
      <c r="O193" s="81">
        <f t="shared" si="117"/>
        <v>2500</v>
      </c>
      <c r="P193" s="81"/>
      <c r="Q193" s="81">
        <f t="shared" si="118"/>
        <v>2500</v>
      </c>
      <c r="R193" s="81"/>
      <c r="S193" s="81">
        <f t="shared" si="119"/>
        <v>2500</v>
      </c>
      <c r="T193" s="81"/>
      <c r="U193" s="81">
        <f t="shared" si="120"/>
        <v>2500</v>
      </c>
      <c r="V193" s="81"/>
      <c r="W193" s="81">
        <f t="shared" si="121"/>
        <v>2500</v>
      </c>
      <c r="X193" s="81"/>
      <c r="Y193" s="81">
        <f t="shared" si="122"/>
        <v>2500</v>
      </c>
      <c r="Z193" s="81"/>
      <c r="AA193" s="81">
        <f t="shared" si="123"/>
        <v>2500</v>
      </c>
    </row>
    <row r="194" spans="1:27" s="24" customFormat="1" ht="24">
      <c r="A194" s="86"/>
      <c r="B194" s="82"/>
      <c r="C194" s="70">
        <v>4440</v>
      </c>
      <c r="D194" s="38" t="s">
        <v>88</v>
      </c>
      <c r="E194" s="81">
        <v>5850</v>
      </c>
      <c r="F194" s="81"/>
      <c r="G194" s="81">
        <f t="shared" si="113"/>
        <v>5850</v>
      </c>
      <c r="H194" s="81"/>
      <c r="I194" s="81">
        <f t="shared" si="114"/>
        <v>5850</v>
      </c>
      <c r="J194" s="81"/>
      <c r="K194" s="81">
        <f t="shared" si="115"/>
        <v>5850</v>
      </c>
      <c r="L194" s="81"/>
      <c r="M194" s="81">
        <f t="shared" si="116"/>
        <v>5850</v>
      </c>
      <c r="N194" s="81"/>
      <c r="O194" s="81">
        <f t="shared" si="117"/>
        <v>5850</v>
      </c>
      <c r="P194" s="81"/>
      <c r="Q194" s="81">
        <f t="shared" si="118"/>
        <v>5850</v>
      </c>
      <c r="R194" s="81">
        <v>-610</v>
      </c>
      <c r="S194" s="81">
        <f t="shared" si="119"/>
        <v>5240</v>
      </c>
      <c r="T194" s="81"/>
      <c r="U194" s="81">
        <f t="shared" si="120"/>
        <v>5240</v>
      </c>
      <c r="V194" s="81"/>
      <c r="W194" s="81">
        <f t="shared" si="121"/>
        <v>5240</v>
      </c>
      <c r="X194" s="81"/>
      <c r="Y194" s="81">
        <f t="shared" si="122"/>
        <v>5240</v>
      </c>
      <c r="Z194" s="81"/>
      <c r="AA194" s="81">
        <f t="shared" si="123"/>
        <v>5240</v>
      </c>
    </row>
    <row r="195" spans="1:27" s="24" customFormat="1" ht="21" customHeight="1">
      <c r="A195" s="86"/>
      <c r="B195" s="82"/>
      <c r="C195" s="70">
        <v>4510</v>
      </c>
      <c r="D195" s="38" t="s">
        <v>145</v>
      </c>
      <c r="E195" s="81">
        <v>100</v>
      </c>
      <c r="F195" s="81"/>
      <c r="G195" s="81">
        <f t="shared" si="113"/>
        <v>100</v>
      </c>
      <c r="H195" s="81"/>
      <c r="I195" s="81">
        <f t="shared" si="114"/>
        <v>100</v>
      </c>
      <c r="J195" s="81"/>
      <c r="K195" s="81">
        <f t="shared" si="115"/>
        <v>100</v>
      </c>
      <c r="L195" s="81"/>
      <c r="M195" s="81">
        <f t="shared" si="116"/>
        <v>100</v>
      </c>
      <c r="N195" s="81"/>
      <c r="O195" s="81">
        <f t="shared" si="117"/>
        <v>100</v>
      </c>
      <c r="P195" s="81"/>
      <c r="Q195" s="81">
        <f t="shared" si="118"/>
        <v>100</v>
      </c>
      <c r="R195" s="81"/>
      <c r="S195" s="81">
        <f t="shared" si="119"/>
        <v>100</v>
      </c>
      <c r="T195" s="81"/>
      <c r="U195" s="81">
        <f t="shared" si="120"/>
        <v>100</v>
      </c>
      <c r="V195" s="81"/>
      <c r="W195" s="81">
        <f t="shared" si="121"/>
        <v>100</v>
      </c>
      <c r="X195" s="81"/>
      <c r="Y195" s="81">
        <f t="shared" si="122"/>
        <v>100</v>
      </c>
      <c r="Z195" s="81"/>
      <c r="AA195" s="81">
        <f t="shared" si="123"/>
        <v>100</v>
      </c>
    </row>
    <row r="196" spans="1:27" s="24" customFormat="1" ht="28.5" customHeight="1">
      <c r="A196" s="86"/>
      <c r="B196" s="82"/>
      <c r="C196" s="70">
        <v>4700</v>
      </c>
      <c r="D196" s="38" t="s">
        <v>249</v>
      </c>
      <c r="E196" s="81">
        <v>5100</v>
      </c>
      <c r="F196" s="81"/>
      <c r="G196" s="81">
        <f t="shared" si="113"/>
        <v>5100</v>
      </c>
      <c r="H196" s="81"/>
      <c r="I196" s="81">
        <f t="shared" si="114"/>
        <v>5100</v>
      </c>
      <c r="J196" s="81"/>
      <c r="K196" s="81">
        <f t="shared" si="115"/>
        <v>5100</v>
      </c>
      <c r="L196" s="81"/>
      <c r="M196" s="81">
        <f t="shared" si="116"/>
        <v>5100</v>
      </c>
      <c r="N196" s="81"/>
      <c r="O196" s="81">
        <f t="shared" si="117"/>
        <v>5100</v>
      </c>
      <c r="P196" s="81"/>
      <c r="Q196" s="81">
        <f t="shared" si="118"/>
        <v>5100</v>
      </c>
      <c r="R196" s="81"/>
      <c r="S196" s="81">
        <f t="shared" si="119"/>
        <v>5100</v>
      </c>
      <c r="T196" s="81"/>
      <c r="U196" s="81">
        <f t="shared" si="120"/>
        <v>5100</v>
      </c>
      <c r="V196" s="81"/>
      <c r="W196" s="81">
        <f t="shared" si="121"/>
        <v>5100</v>
      </c>
      <c r="X196" s="81"/>
      <c r="Y196" s="81">
        <f t="shared" si="122"/>
        <v>5100</v>
      </c>
      <c r="Z196" s="81"/>
      <c r="AA196" s="81">
        <f t="shared" si="123"/>
        <v>5100</v>
      </c>
    </row>
    <row r="197" spans="1:27" s="24" customFormat="1" ht="28.5" customHeight="1">
      <c r="A197" s="86"/>
      <c r="B197" s="82">
        <v>75421</v>
      </c>
      <c r="C197" s="70"/>
      <c r="D197" s="38" t="s">
        <v>380</v>
      </c>
      <c r="E197" s="81"/>
      <c r="F197" s="81"/>
      <c r="G197" s="81"/>
      <c r="H197" s="81"/>
      <c r="I197" s="81"/>
      <c r="J197" s="81"/>
      <c r="K197" s="81">
        <f aca="true" t="shared" si="124" ref="K197:W197">SUM(K198:K199)</f>
        <v>0</v>
      </c>
      <c r="L197" s="81">
        <f t="shared" si="124"/>
        <v>6000</v>
      </c>
      <c r="M197" s="81">
        <f t="shared" si="124"/>
        <v>6000</v>
      </c>
      <c r="N197" s="81">
        <f t="shared" si="124"/>
        <v>0</v>
      </c>
      <c r="O197" s="81">
        <f t="shared" si="124"/>
        <v>6000</v>
      </c>
      <c r="P197" s="81">
        <f t="shared" si="124"/>
        <v>0</v>
      </c>
      <c r="Q197" s="81">
        <f t="shared" si="124"/>
        <v>6000</v>
      </c>
      <c r="R197" s="81">
        <f t="shared" si="124"/>
        <v>0</v>
      </c>
      <c r="S197" s="81">
        <f t="shared" si="124"/>
        <v>6000</v>
      </c>
      <c r="T197" s="81">
        <f t="shared" si="124"/>
        <v>0</v>
      </c>
      <c r="U197" s="81">
        <f t="shared" si="124"/>
        <v>6000</v>
      </c>
      <c r="V197" s="81">
        <f t="shared" si="124"/>
        <v>0</v>
      </c>
      <c r="W197" s="81">
        <f t="shared" si="124"/>
        <v>6000</v>
      </c>
      <c r="X197" s="81">
        <f>SUM(X198:X199)</f>
        <v>0</v>
      </c>
      <c r="Y197" s="81">
        <f>SUM(Y198:Y199)</f>
        <v>6000</v>
      </c>
      <c r="Z197" s="81">
        <f>SUM(Z198:Z199)</f>
        <v>0</v>
      </c>
      <c r="AA197" s="81">
        <f>SUM(AA198:AA199)</f>
        <v>6000</v>
      </c>
    </row>
    <row r="198" spans="1:27" s="24" customFormat="1" ht="21" customHeight="1">
      <c r="A198" s="86"/>
      <c r="B198" s="82"/>
      <c r="C198" s="70">
        <v>4210</v>
      </c>
      <c r="D198" s="38" t="s">
        <v>92</v>
      </c>
      <c r="E198" s="81"/>
      <c r="F198" s="81"/>
      <c r="G198" s="81"/>
      <c r="H198" s="81"/>
      <c r="I198" s="81"/>
      <c r="J198" s="81"/>
      <c r="K198" s="81">
        <v>0</v>
      </c>
      <c r="L198" s="81">
        <v>2000</v>
      </c>
      <c r="M198" s="81">
        <f>SUM(K198:L198)</f>
        <v>2000</v>
      </c>
      <c r="N198" s="81"/>
      <c r="O198" s="81">
        <f>SUM(M198:N198)</f>
        <v>2000</v>
      </c>
      <c r="P198" s="81"/>
      <c r="Q198" s="81">
        <f>SUM(O198:P198)</f>
        <v>2000</v>
      </c>
      <c r="R198" s="81"/>
      <c r="S198" s="81">
        <f>SUM(Q198:R198)</f>
        <v>2000</v>
      </c>
      <c r="T198" s="81"/>
      <c r="U198" s="81">
        <f>SUM(S198:T198)</f>
        <v>2000</v>
      </c>
      <c r="V198" s="81"/>
      <c r="W198" s="81">
        <f>SUM(U198:V198)</f>
        <v>2000</v>
      </c>
      <c r="X198" s="81"/>
      <c r="Y198" s="81">
        <f>SUM(W198:X198)</f>
        <v>2000</v>
      </c>
      <c r="Z198" s="81"/>
      <c r="AA198" s="81">
        <f>SUM(Y198:Z198)</f>
        <v>2000</v>
      </c>
    </row>
    <row r="199" spans="1:27" s="24" customFormat="1" ht="18" customHeight="1">
      <c r="A199" s="86"/>
      <c r="B199" s="82"/>
      <c r="C199" s="70">
        <v>4300</v>
      </c>
      <c r="D199" s="38" t="s">
        <v>79</v>
      </c>
      <c r="E199" s="81"/>
      <c r="F199" s="81"/>
      <c r="G199" s="81"/>
      <c r="H199" s="81"/>
      <c r="I199" s="81"/>
      <c r="J199" s="81"/>
      <c r="K199" s="81">
        <v>0</v>
      </c>
      <c r="L199" s="81">
        <v>4000</v>
      </c>
      <c r="M199" s="81">
        <f>SUM(K199:L199)</f>
        <v>4000</v>
      </c>
      <c r="N199" s="81"/>
      <c r="O199" s="81">
        <f>SUM(M199:N199)</f>
        <v>4000</v>
      </c>
      <c r="P199" s="81"/>
      <c r="Q199" s="81">
        <f>SUM(O199:P199)</f>
        <v>4000</v>
      </c>
      <c r="R199" s="81"/>
      <c r="S199" s="81">
        <f>SUM(Q199:R199)</f>
        <v>4000</v>
      </c>
      <c r="T199" s="81"/>
      <c r="U199" s="81">
        <f>SUM(S199:T199)</f>
        <v>4000</v>
      </c>
      <c r="V199" s="81"/>
      <c r="W199" s="81">
        <f>SUM(U199:V199)</f>
        <v>4000</v>
      </c>
      <c r="X199" s="81"/>
      <c r="Y199" s="81">
        <f>SUM(W199:X199)</f>
        <v>4000</v>
      </c>
      <c r="Z199" s="81"/>
      <c r="AA199" s="81">
        <f>SUM(Y199:Z199)</f>
        <v>4000</v>
      </c>
    </row>
    <row r="200" spans="1:27" s="24" customFormat="1" ht="21" customHeight="1">
      <c r="A200" s="86"/>
      <c r="B200" s="82" t="s">
        <v>101</v>
      </c>
      <c r="C200" s="86"/>
      <c r="D200" s="38" t="s">
        <v>6</v>
      </c>
      <c r="E200" s="81">
        <f aca="true" t="shared" si="125" ref="E200:W200">SUM(E201:E204)</f>
        <v>9000</v>
      </c>
      <c r="F200" s="81">
        <f t="shared" si="125"/>
        <v>70000</v>
      </c>
      <c r="G200" s="81">
        <f t="shared" si="125"/>
        <v>79000</v>
      </c>
      <c r="H200" s="81">
        <f t="shared" si="125"/>
        <v>0</v>
      </c>
      <c r="I200" s="81">
        <f t="shared" si="125"/>
        <v>79000</v>
      </c>
      <c r="J200" s="81">
        <f t="shared" si="125"/>
        <v>0</v>
      </c>
      <c r="K200" s="81">
        <f t="shared" si="125"/>
        <v>79000</v>
      </c>
      <c r="L200" s="81">
        <f t="shared" si="125"/>
        <v>0</v>
      </c>
      <c r="M200" s="81">
        <f t="shared" si="125"/>
        <v>79000</v>
      </c>
      <c r="N200" s="81">
        <f t="shared" si="125"/>
        <v>0</v>
      </c>
      <c r="O200" s="81">
        <f t="shared" si="125"/>
        <v>79000</v>
      </c>
      <c r="P200" s="81">
        <f t="shared" si="125"/>
        <v>0</v>
      </c>
      <c r="Q200" s="81">
        <f t="shared" si="125"/>
        <v>79000</v>
      </c>
      <c r="R200" s="81">
        <f t="shared" si="125"/>
        <v>-70000</v>
      </c>
      <c r="S200" s="81">
        <f t="shared" si="125"/>
        <v>9000</v>
      </c>
      <c r="T200" s="81">
        <f t="shared" si="125"/>
        <v>0</v>
      </c>
      <c r="U200" s="81">
        <f t="shared" si="125"/>
        <v>9000</v>
      </c>
      <c r="V200" s="81">
        <f t="shared" si="125"/>
        <v>0</v>
      </c>
      <c r="W200" s="81">
        <f t="shared" si="125"/>
        <v>9000</v>
      </c>
      <c r="X200" s="81">
        <f>SUM(X201:X204)</f>
        <v>0</v>
      </c>
      <c r="Y200" s="81">
        <f>SUM(Y201:Y204)</f>
        <v>9000</v>
      </c>
      <c r="Z200" s="81">
        <f>SUM(Z201:Z204)</f>
        <v>0</v>
      </c>
      <c r="AA200" s="81">
        <f>SUM(AA201:AA204)</f>
        <v>9000</v>
      </c>
    </row>
    <row r="201" spans="1:27" s="24" customFormat="1" ht="21" customHeight="1">
      <c r="A201" s="86"/>
      <c r="B201" s="82"/>
      <c r="C201" s="86">
        <v>4210</v>
      </c>
      <c r="D201" s="38" t="s">
        <v>92</v>
      </c>
      <c r="E201" s="81">
        <v>3900</v>
      </c>
      <c r="F201" s="81"/>
      <c r="G201" s="81">
        <f>SUM(E201:F201)</f>
        <v>3900</v>
      </c>
      <c r="H201" s="81"/>
      <c r="I201" s="81">
        <f>SUM(G201:H201)</f>
        <v>3900</v>
      </c>
      <c r="J201" s="81"/>
      <c r="K201" s="81">
        <f>SUM(I201:J201)</f>
        <v>3900</v>
      </c>
      <c r="L201" s="81"/>
      <c r="M201" s="81">
        <f>SUM(K201:L201)</f>
        <v>3900</v>
      </c>
      <c r="N201" s="81"/>
      <c r="O201" s="81">
        <f>SUM(M201:N201)</f>
        <v>3900</v>
      </c>
      <c r="P201" s="81"/>
      <c r="Q201" s="81">
        <f>SUM(O201:P201)</f>
        <v>3900</v>
      </c>
      <c r="R201" s="81"/>
      <c r="S201" s="81">
        <f>SUM(Q201:R201)</f>
        <v>3900</v>
      </c>
      <c r="T201" s="81"/>
      <c r="U201" s="81">
        <f>SUM(S201:T201)</f>
        <v>3900</v>
      </c>
      <c r="V201" s="81"/>
      <c r="W201" s="81">
        <f>SUM(U201:V201)</f>
        <v>3900</v>
      </c>
      <c r="X201" s="81"/>
      <c r="Y201" s="81">
        <f>SUM(W201:X201)</f>
        <v>3900</v>
      </c>
      <c r="Z201" s="81"/>
      <c r="AA201" s="81">
        <f>SUM(Y201:Z201)</f>
        <v>3900</v>
      </c>
    </row>
    <row r="202" spans="1:27" s="24" customFormat="1" ht="21" customHeight="1">
      <c r="A202" s="86"/>
      <c r="B202" s="82"/>
      <c r="C202" s="70">
        <v>4430</v>
      </c>
      <c r="D202" s="38" t="s">
        <v>94</v>
      </c>
      <c r="E202" s="81">
        <v>5000</v>
      </c>
      <c r="F202" s="81"/>
      <c r="G202" s="81">
        <f>SUM(E202:F202)</f>
        <v>5000</v>
      </c>
      <c r="H202" s="81"/>
      <c r="I202" s="81">
        <f>SUM(G202:H202)</f>
        <v>5000</v>
      </c>
      <c r="J202" s="81"/>
      <c r="K202" s="81">
        <f>SUM(I202:J202)</f>
        <v>5000</v>
      </c>
      <c r="L202" s="81"/>
      <c r="M202" s="81">
        <f>SUM(K202:L202)</f>
        <v>5000</v>
      </c>
      <c r="N202" s="81"/>
      <c r="O202" s="81">
        <f>SUM(M202:N202)</f>
        <v>5000</v>
      </c>
      <c r="P202" s="81"/>
      <c r="Q202" s="81">
        <f>SUM(O202:P202)</f>
        <v>5000</v>
      </c>
      <c r="R202" s="81"/>
      <c r="S202" s="81">
        <f>SUM(Q202:R202)</f>
        <v>5000</v>
      </c>
      <c r="T202" s="81"/>
      <c r="U202" s="81">
        <f>SUM(S202:T202)</f>
        <v>5000</v>
      </c>
      <c r="V202" s="81"/>
      <c r="W202" s="81">
        <f>SUM(U202:V202)</f>
        <v>5000</v>
      </c>
      <c r="X202" s="81"/>
      <c r="Y202" s="81">
        <f>SUM(W202:X202)</f>
        <v>5000</v>
      </c>
      <c r="Z202" s="81"/>
      <c r="AA202" s="81">
        <f>SUM(Y202:Z202)</f>
        <v>5000</v>
      </c>
    </row>
    <row r="203" spans="1:27" s="24" customFormat="1" ht="24">
      <c r="A203" s="86"/>
      <c r="B203" s="82"/>
      <c r="C203" s="70">
        <v>4740</v>
      </c>
      <c r="D203" s="38" t="s">
        <v>222</v>
      </c>
      <c r="E203" s="81">
        <v>100</v>
      </c>
      <c r="F203" s="81"/>
      <c r="G203" s="81">
        <f>SUM(E203:F203)</f>
        <v>100</v>
      </c>
      <c r="H203" s="81"/>
      <c r="I203" s="81">
        <f>SUM(G203:H203)</f>
        <v>100</v>
      </c>
      <c r="J203" s="81"/>
      <c r="K203" s="81">
        <f>SUM(I203:J203)</f>
        <v>100</v>
      </c>
      <c r="L203" s="81"/>
      <c r="M203" s="81">
        <f>SUM(K203:L203)</f>
        <v>100</v>
      </c>
      <c r="N203" s="81"/>
      <c r="O203" s="81">
        <f>SUM(M203:N203)</f>
        <v>100</v>
      </c>
      <c r="P203" s="81"/>
      <c r="Q203" s="81">
        <f>SUM(O203:P203)</f>
        <v>100</v>
      </c>
      <c r="R203" s="81"/>
      <c r="S203" s="81">
        <f>SUM(Q203:R203)</f>
        <v>100</v>
      </c>
      <c r="T203" s="81"/>
      <c r="U203" s="81">
        <f>SUM(S203:T203)</f>
        <v>100</v>
      </c>
      <c r="V203" s="81"/>
      <c r="W203" s="81">
        <f>SUM(U203:V203)</f>
        <v>100</v>
      </c>
      <c r="X203" s="81"/>
      <c r="Y203" s="81">
        <f>SUM(W203:X203)</f>
        <v>100</v>
      </c>
      <c r="Z203" s="81"/>
      <c r="AA203" s="81">
        <f>SUM(Y203:Z203)</f>
        <v>100</v>
      </c>
    </row>
    <row r="204" spans="1:27" s="24" customFormat="1" ht="24">
      <c r="A204" s="86"/>
      <c r="B204" s="82"/>
      <c r="C204" s="70">
        <v>6050</v>
      </c>
      <c r="D204" s="13" t="s">
        <v>73</v>
      </c>
      <c r="E204" s="81">
        <v>0</v>
      </c>
      <c r="F204" s="81">
        <f>70000</f>
        <v>70000</v>
      </c>
      <c r="G204" s="81">
        <f>SUM(E204:F204)</f>
        <v>70000</v>
      </c>
      <c r="H204" s="81"/>
      <c r="I204" s="81">
        <f>SUM(G204:H204)</f>
        <v>70000</v>
      </c>
      <c r="J204" s="81"/>
      <c r="K204" s="81">
        <f>SUM(I204:J204)</f>
        <v>70000</v>
      </c>
      <c r="L204" s="81"/>
      <c r="M204" s="81">
        <f>SUM(K204:L204)</f>
        <v>70000</v>
      </c>
      <c r="N204" s="81"/>
      <c r="O204" s="81">
        <f>SUM(M204:N204)</f>
        <v>70000</v>
      </c>
      <c r="P204" s="81"/>
      <c r="Q204" s="81">
        <f>SUM(O204:P204)</f>
        <v>70000</v>
      </c>
      <c r="R204" s="81">
        <v>-70000</v>
      </c>
      <c r="S204" s="81">
        <f>SUM(Q204:R204)</f>
        <v>0</v>
      </c>
      <c r="T204" s="81"/>
      <c r="U204" s="81">
        <f>SUM(S204:T204)</f>
        <v>0</v>
      </c>
      <c r="V204" s="81"/>
      <c r="W204" s="81">
        <f>SUM(U204:V204)</f>
        <v>0</v>
      </c>
      <c r="X204" s="81"/>
      <c r="Y204" s="81">
        <f>SUM(W204:X204)</f>
        <v>0</v>
      </c>
      <c r="Z204" s="81"/>
      <c r="AA204" s="81">
        <f>SUM(Y204:Z204)</f>
        <v>0</v>
      </c>
    </row>
    <row r="205" spans="1:27" s="40" customFormat="1" ht="60">
      <c r="A205" s="35">
        <v>756</v>
      </c>
      <c r="B205" s="62"/>
      <c r="C205" s="61"/>
      <c r="D205" s="36" t="s">
        <v>152</v>
      </c>
      <c r="E205" s="37">
        <f aca="true" t="shared" si="126" ref="E205:AA205">SUM(E206)</f>
        <v>102000</v>
      </c>
      <c r="F205" s="37">
        <f t="shared" si="126"/>
        <v>0</v>
      </c>
      <c r="G205" s="37">
        <f t="shared" si="126"/>
        <v>102000</v>
      </c>
      <c r="H205" s="37">
        <f t="shared" si="126"/>
        <v>0</v>
      </c>
      <c r="I205" s="37">
        <f t="shared" si="126"/>
        <v>102000</v>
      </c>
      <c r="J205" s="37">
        <f t="shared" si="126"/>
        <v>0</v>
      </c>
      <c r="K205" s="37">
        <f t="shared" si="126"/>
        <v>102000</v>
      </c>
      <c r="L205" s="37">
        <f t="shared" si="126"/>
        <v>0</v>
      </c>
      <c r="M205" s="37">
        <f t="shared" si="126"/>
        <v>102000</v>
      </c>
      <c r="N205" s="37">
        <f t="shared" si="126"/>
        <v>0</v>
      </c>
      <c r="O205" s="37">
        <f t="shared" si="126"/>
        <v>102000</v>
      </c>
      <c r="P205" s="37">
        <f t="shared" si="126"/>
        <v>0</v>
      </c>
      <c r="Q205" s="37">
        <f t="shared" si="126"/>
        <v>102000</v>
      </c>
      <c r="R205" s="37">
        <f t="shared" si="126"/>
        <v>0</v>
      </c>
      <c r="S205" s="37">
        <f t="shared" si="126"/>
        <v>102000</v>
      </c>
      <c r="T205" s="37">
        <f t="shared" si="126"/>
        <v>0</v>
      </c>
      <c r="U205" s="37">
        <f t="shared" si="126"/>
        <v>102000</v>
      </c>
      <c r="V205" s="37">
        <f t="shared" si="126"/>
        <v>0</v>
      </c>
      <c r="W205" s="37">
        <f t="shared" si="126"/>
        <v>102000</v>
      </c>
      <c r="X205" s="37">
        <f t="shared" si="126"/>
        <v>0</v>
      </c>
      <c r="Y205" s="37">
        <f t="shared" si="126"/>
        <v>102000</v>
      </c>
      <c r="Z205" s="37">
        <f t="shared" si="126"/>
        <v>0</v>
      </c>
      <c r="AA205" s="37">
        <f t="shared" si="126"/>
        <v>102000</v>
      </c>
    </row>
    <row r="206" spans="1:27" s="24" customFormat="1" ht="31.5" customHeight="1">
      <c r="A206" s="86"/>
      <c r="B206" s="82">
        <v>75647</v>
      </c>
      <c r="C206" s="70"/>
      <c r="D206" s="38" t="s">
        <v>180</v>
      </c>
      <c r="E206" s="81">
        <f aca="true" t="shared" si="127" ref="E206:W206">SUM(E207:E214)</f>
        <v>102000</v>
      </c>
      <c r="F206" s="81">
        <f t="shared" si="127"/>
        <v>0</v>
      </c>
      <c r="G206" s="81">
        <f t="shared" si="127"/>
        <v>102000</v>
      </c>
      <c r="H206" s="81">
        <f t="shared" si="127"/>
        <v>0</v>
      </c>
      <c r="I206" s="81">
        <f t="shared" si="127"/>
        <v>102000</v>
      </c>
      <c r="J206" s="81">
        <f t="shared" si="127"/>
        <v>0</v>
      </c>
      <c r="K206" s="81">
        <f t="shared" si="127"/>
        <v>102000</v>
      </c>
      <c r="L206" s="81">
        <f t="shared" si="127"/>
        <v>0</v>
      </c>
      <c r="M206" s="81">
        <f t="shared" si="127"/>
        <v>102000</v>
      </c>
      <c r="N206" s="81">
        <f t="shared" si="127"/>
        <v>0</v>
      </c>
      <c r="O206" s="81">
        <f t="shared" si="127"/>
        <v>102000</v>
      </c>
      <c r="P206" s="81">
        <f t="shared" si="127"/>
        <v>0</v>
      </c>
      <c r="Q206" s="81">
        <f t="shared" si="127"/>
        <v>102000</v>
      </c>
      <c r="R206" s="81">
        <f t="shared" si="127"/>
        <v>0</v>
      </c>
      <c r="S206" s="81">
        <f t="shared" si="127"/>
        <v>102000</v>
      </c>
      <c r="T206" s="81">
        <f t="shared" si="127"/>
        <v>0</v>
      </c>
      <c r="U206" s="81">
        <f t="shared" si="127"/>
        <v>102000</v>
      </c>
      <c r="V206" s="81">
        <f t="shared" si="127"/>
        <v>0</v>
      </c>
      <c r="W206" s="81">
        <f t="shared" si="127"/>
        <v>102000</v>
      </c>
      <c r="X206" s="81">
        <f>SUM(X207:X214)</f>
        <v>0</v>
      </c>
      <c r="Y206" s="81">
        <f>SUM(Y207:Y214)</f>
        <v>102000</v>
      </c>
      <c r="Z206" s="81">
        <f>SUM(Z207:Z214)</f>
        <v>0</v>
      </c>
      <c r="AA206" s="81">
        <f>SUM(AA207:AA214)</f>
        <v>102000</v>
      </c>
    </row>
    <row r="207" spans="1:30" s="24" customFormat="1" ht="21" customHeight="1">
      <c r="A207" s="86"/>
      <c r="B207" s="82"/>
      <c r="C207" s="70">
        <v>4100</v>
      </c>
      <c r="D207" s="38" t="s">
        <v>97</v>
      </c>
      <c r="E207" s="81">
        <v>40000</v>
      </c>
      <c r="F207" s="81"/>
      <c r="G207" s="81">
        <f>SUM(E207:F207)</f>
        <v>40000</v>
      </c>
      <c r="H207" s="81"/>
      <c r="I207" s="81">
        <f>SUM(G207:H207)</f>
        <v>40000</v>
      </c>
      <c r="J207" s="81"/>
      <c r="K207" s="81">
        <f>SUM(I207:J207)</f>
        <v>40000</v>
      </c>
      <c r="L207" s="81"/>
      <c r="M207" s="81">
        <f>SUM(K207:L207)</f>
        <v>40000</v>
      </c>
      <c r="N207" s="81"/>
      <c r="O207" s="81">
        <f>SUM(M207:N207)</f>
        <v>40000</v>
      </c>
      <c r="P207" s="81"/>
      <c r="Q207" s="81">
        <f>SUM(O207:P207)</f>
        <v>40000</v>
      </c>
      <c r="R207" s="81"/>
      <c r="S207" s="81">
        <f>SUM(Q207:R207)</f>
        <v>40000</v>
      </c>
      <c r="T207" s="81"/>
      <c r="U207" s="81">
        <f>SUM(S207:T207)</f>
        <v>40000</v>
      </c>
      <c r="V207" s="81"/>
      <c r="W207" s="81">
        <f>SUM(U207:V207)</f>
        <v>40000</v>
      </c>
      <c r="X207" s="81"/>
      <c r="Y207" s="81">
        <f>SUM(W207:X207)</f>
        <v>40000</v>
      </c>
      <c r="Z207" s="81"/>
      <c r="AA207" s="81">
        <f>SUM(Y207:Z207)</f>
        <v>40000</v>
      </c>
      <c r="AB207" s="119"/>
      <c r="AC207" s="119"/>
      <c r="AD207" s="119"/>
    </row>
    <row r="208" spans="1:30" s="24" customFormat="1" ht="21" customHeight="1">
      <c r="A208" s="86"/>
      <c r="B208" s="82"/>
      <c r="C208" s="70">
        <v>4170</v>
      </c>
      <c r="D208" s="38" t="s">
        <v>190</v>
      </c>
      <c r="E208" s="81">
        <v>5000</v>
      </c>
      <c r="F208" s="81"/>
      <c r="G208" s="81">
        <f aca="true" t="shared" si="128" ref="G208:G214">SUM(E208:F208)</f>
        <v>5000</v>
      </c>
      <c r="H208" s="81"/>
      <c r="I208" s="81">
        <f aca="true" t="shared" si="129" ref="I208:I214">SUM(G208:H208)</f>
        <v>5000</v>
      </c>
      <c r="J208" s="81"/>
      <c r="K208" s="81">
        <f aca="true" t="shared" si="130" ref="K208:K214">SUM(I208:J208)</f>
        <v>5000</v>
      </c>
      <c r="L208" s="81"/>
      <c r="M208" s="81">
        <f aca="true" t="shared" si="131" ref="M208:M214">SUM(K208:L208)</f>
        <v>5000</v>
      </c>
      <c r="N208" s="81"/>
      <c r="O208" s="81">
        <f aca="true" t="shared" si="132" ref="O208:O214">SUM(M208:N208)</f>
        <v>5000</v>
      </c>
      <c r="P208" s="81"/>
      <c r="Q208" s="81">
        <f aca="true" t="shared" si="133" ref="Q208:Q214">SUM(O208:P208)</f>
        <v>5000</v>
      </c>
      <c r="R208" s="81"/>
      <c r="S208" s="81">
        <f aca="true" t="shared" si="134" ref="S208:S214">SUM(Q208:R208)</f>
        <v>5000</v>
      </c>
      <c r="T208" s="81"/>
      <c r="U208" s="81">
        <f aca="true" t="shared" si="135" ref="U208:U214">SUM(S208:T208)</f>
        <v>5000</v>
      </c>
      <c r="V208" s="81"/>
      <c r="W208" s="81">
        <f aca="true" t="shared" si="136" ref="W208:W214">SUM(U208:V208)</f>
        <v>5000</v>
      </c>
      <c r="X208" s="81"/>
      <c r="Y208" s="81">
        <f aca="true" t="shared" si="137" ref="Y208:Y214">SUM(W208:X208)</f>
        <v>5000</v>
      </c>
      <c r="Z208" s="81"/>
      <c r="AA208" s="81">
        <f aca="true" t="shared" si="138" ref="AA208:AA214">SUM(Y208:Z208)</f>
        <v>5000</v>
      </c>
      <c r="AB208" s="119"/>
      <c r="AC208" s="119"/>
      <c r="AD208" s="119"/>
    </row>
    <row r="209" spans="1:27" s="24" customFormat="1" ht="21" customHeight="1">
      <c r="A209" s="86"/>
      <c r="B209" s="82"/>
      <c r="C209" s="70">
        <v>4210</v>
      </c>
      <c r="D209" s="38" t="s">
        <v>72</v>
      </c>
      <c r="E209" s="81">
        <v>2000</v>
      </c>
      <c r="F209" s="81"/>
      <c r="G209" s="81">
        <f t="shared" si="128"/>
        <v>2000</v>
      </c>
      <c r="H209" s="81"/>
      <c r="I209" s="81">
        <f t="shared" si="129"/>
        <v>2000</v>
      </c>
      <c r="J209" s="81"/>
      <c r="K209" s="81">
        <f t="shared" si="130"/>
        <v>2000</v>
      </c>
      <c r="L209" s="81"/>
      <c r="M209" s="81">
        <f t="shared" si="131"/>
        <v>2000</v>
      </c>
      <c r="N209" s="81"/>
      <c r="O209" s="81">
        <f t="shared" si="132"/>
        <v>2000</v>
      </c>
      <c r="P209" s="81"/>
      <c r="Q209" s="81">
        <f t="shared" si="133"/>
        <v>2000</v>
      </c>
      <c r="R209" s="81"/>
      <c r="S209" s="81">
        <f t="shared" si="134"/>
        <v>2000</v>
      </c>
      <c r="T209" s="81"/>
      <c r="U209" s="81">
        <f t="shared" si="135"/>
        <v>2000</v>
      </c>
      <c r="V209" s="81"/>
      <c r="W209" s="81">
        <f t="shared" si="136"/>
        <v>2000</v>
      </c>
      <c r="X209" s="81"/>
      <c r="Y209" s="81">
        <f t="shared" si="137"/>
        <v>2000</v>
      </c>
      <c r="Z209" s="81"/>
      <c r="AA209" s="81">
        <f t="shared" si="138"/>
        <v>2000</v>
      </c>
    </row>
    <row r="210" spans="1:27" s="24" customFormat="1" ht="21" customHeight="1">
      <c r="A210" s="86"/>
      <c r="B210" s="82"/>
      <c r="C210" s="70">
        <v>4300</v>
      </c>
      <c r="D210" s="38" t="s">
        <v>79</v>
      </c>
      <c r="E210" s="81">
        <v>20000</v>
      </c>
      <c r="F210" s="81"/>
      <c r="G210" s="81">
        <f t="shared" si="128"/>
        <v>20000</v>
      </c>
      <c r="H210" s="81"/>
      <c r="I210" s="81">
        <f t="shared" si="129"/>
        <v>20000</v>
      </c>
      <c r="J210" s="81"/>
      <c r="K210" s="81">
        <f t="shared" si="130"/>
        <v>20000</v>
      </c>
      <c r="L210" s="81"/>
      <c r="M210" s="81">
        <f t="shared" si="131"/>
        <v>20000</v>
      </c>
      <c r="N210" s="81"/>
      <c r="O210" s="81">
        <f t="shared" si="132"/>
        <v>20000</v>
      </c>
      <c r="P210" s="81">
        <v>2000</v>
      </c>
      <c r="Q210" s="81">
        <f t="shared" si="133"/>
        <v>22000</v>
      </c>
      <c r="R210" s="81"/>
      <c r="S210" s="81">
        <f t="shared" si="134"/>
        <v>22000</v>
      </c>
      <c r="T210" s="81"/>
      <c r="U210" s="81">
        <f t="shared" si="135"/>
        <v>22000</v>
      </c>
      <c r="V210" s="81"/>
      <c r="W210" s="81">
        <f t="shared" si="136"/>
        <v>22000</v>
      </c>
      <c r="X210" s="81"/>
      <c r="Y210" s="81">
        <f t="shared" si="137"/>
        <v>22000</v>
      </c>
      <c r="Z210" s="81"/>
      <c r="AA210" s="81">
        <f t="shared" si="138"/>
        <v>22000</v>
      </c>
    </row>
    <row r="211" spans="1:27" s="24" customFormat="1" ht="21" customHeight="1">
      <c r="A211" s="86"/>
      <c r="B211" s="82"/>
      <c r="C211" s="70">
        <v>4430</v>
      </c>
      <c r="D211" s="38" t="s">
        <v>94</v>
      </c>
      <c r="E211" s="81">
        <v>2000</v>
      </c>
      <c r="F211" s="81"/>
      <c r="G211" s="81">
        <f t="shared" si="128"/>
        <v>2000</v>
      </c>
      <c r="H211" s="81"/>
      <c r="I211" s="81">
        <f t="shared" si="129"/>
        <v>2000</v>
      </c>
      <c r="J211" s="81"/>
      <c r="K211" s="81">
        <f t="shared" si="130"/>
        <v>2000</v>
      </c>
      <c r="L211" s="81"/>
      <c r="M211" s="81">
        <f t="shared" si="131"/>
        <v>2000</v>
      </c>
      <c r="N211" s="81"/>
      <c r="O211" s="81">
        <f t="shared" si="132"/>
        <v>2000</v>
      </c>
      <c r="P211" s="81"/>
      <c r="Q211" s="81">
        <f t="shared" si="133"/>
        <v>2000</v>
      </c>
      <c r="R211" s="81"/>
      <c r="S211" s="81">
        <f t="shared" si="134"/>
        <v>2000</v>
      </c>
      <c r="T211" s="81"/>
      <c r="U211" s="81">
        <f t="shared" si="135"/>
        <v>2000</v>
      </c>
      <c r="V211" s="81"/>
      <c r="W211" s="81">
        <f t="shared" si="136"/>
        <v>2000</v>
      </c>
      <c r="X211" s="81"/>
      <c r="Y211" s="81">
        <f t="shared" si="137"/>
        <v>2000</v>
      </c>
      <c r="Z211" s="81"/>
      <c r="AA211" s="81">
        <f t="shared" si="138"/>
        <v>2000</v>
      </c>
    </row>
    <row r="212" spans="1:27" s="24" customFormat="1" ht="27" customHeight="1">
      <c r="A212" s="86"/>
      <c r="B212" s="82"/>
      <c r="C212" s="70">
        <v>4610</v>
      </c>
      <c r="D212" s="38" t="s">
        <v>181</v>
      </c>
      <c r="E212" s="81">
        <v>29000</v>
      </c>
      <c r="F212" s="81"/>
      <c r="G212" s="81">
        <f t="shared" si="128"/>
        <v>29000</v>
      </c>
      <c r="H212" s="81"/>
      <c r="I212" s="81">
        <f t="shared" si="129"/>
        <v>29000</v>
      </c>
      <c r="J212" s="81"/>
      <c r="K212" s="81">
        <f t="shared" si="130"/>
        <v>29000</v>
      </c>
      <c r="L212" s="81"/>
      <c r="M212" s="81">
        <f t="shared" si="131"/>
        <v>29000</v>
      </c>
      <c r="N212" s="81"/>
      <c r="O212" s="81">
        <f t="shared" si="132"/>
        <v>29000</v>
      </c>
      <c r="P212" s="81">
        <v>-2000</v>
      </c>
      <c r="Q212" s="81">
        <f t="shared" si="133"/>
        <v>27000</v>
      </c>
      <c r="R212" s="81"/>
      <c r="S212" s="81">
        <f t="shared" si="134"/>
        <v>27000</v>
      </c>
      <c r="T212" s="81"/>
      <c r="U212" s="81">
        <f t="shared" si="135"/>
        <v>27000</v>
      </c>
      <c r="V212" s="81"/>
      <c r="W212" s="81">
        <f t="shared" si="136"/>
        <v>27000</v>
      </c>
      <c r="X212" s="81"/>
      <c r="Y212" s="81">
        <f t="shared" si="137"/>
        <v>27000</v>
      </c>
      <c r="Z212" s="81"/>
      <c r="AA212" s="81">
        <f t="shared" si="138"/>
        <v>27000</v>
      </c>
    </row>
    <row r="213" spans="1:27" s="24" customFormat="1" ht="24">
      <c r="A213" s="86"/>
      <c r="B213" s="82"/>
      <c r="C213" s="70">
        <v>4740</v>
      </c>
      <c r="D213" s="38" t="s">
        <v>267</v>
      </c>
      <c r="E213" s="81">
        <v>2000</v>
      </c>
      <c r="F213" s="81"/>
      <c r="G213" s="81">
        <f t="shared" si="128"/>
        <v>2000</v>
      </c>
      <c r="H213" s="81"/>
      <c r="I213" s="81">
        <f t="shared" si="129"/>
        <v>2000</v>
      </c>
      <c r="J213" s="81"/>
      <c r="K213" s="81">
        <f t="shared" si="130"/>
        <v>2000</v>
      </c>
      <c r="L213" s="81"/>
      <c r="M213" s="81">
        <f t="shared" si="131"/>
        <v>2000</v>
      </c>
      <c r="N213" s="81"/>
      <c r="O213" s="81">
        <f t="shared" si="132"/>
        <v>2000</v>
      </c>
      <c r="P213" s="81"/>
      <c r="Q213" s="81">
        <f t="shared" si="133"/>
        <v>2000</v>
      </c>
      <c r="R213" s="81"/>
      <c r="S213" s="81">
        <f t="shared" si="134"/>
        <v>2000</v>
      </c>
      <c r="T213" s="81"/>
      <c r="U213" s="81">
        <f t="shared" si="135"/>
        <v>2000</v>
      </c>
      <c r="V213" s="81"/>
      <c r="W213" s="81">
        <f t="shared" si="136"/>
        <v>2000</v>
      </c>
      <c r="X213" s="81"/>
      <c r="Y213" s="81">
        <f t="shared" si="137"/>
        <v>2000</v>
      </c>
      <c r="Z213" s="81"/>
      <c r="AA213" s="81">
        <f t="shared" si="138"/>
        <v>2000</v>
      </c>
    </row>
    <row r="214" spans="1:27" s="24" customFormat="1" ht="24.75" customHeight="1">
      <c r="A214" s="86"/>
      <c r="B214" s="82"/>
      <c r="C214" s="70">
        <v>4750</v>
      </c>
      <c r="D214" s="38" t="s">
        <v>223</v>
      </c>
      <c r="E214" s="81">
        <v>2000</v>
      </c>
      <c r="F214" s="81"/>
      <c r="G214" s="81">
        <f t="shared" si="128"/>
        <v>2000</v>
      </c>
      <c r="H214" s="81"/>
      <c r="I214" s="81">
        <f t="shared" si="129"/>
        <v>2000</v>
      </c>
      <c r="J214" s="81"/>
      <c r="K214" s="81">
        <f t="shared" si="130"/>
        <v>2000</v>
      </c>
      <c r="L214" s="81"/>
      <c r="M214" s="81">
        <f t="shared" si="131"/>
        <v>2000</v>
      </c>
      <c r="N214" s="81"/>
      <c r="O214" s="81">
        <f t="shared" si="132"/>
        <v>2000</v>
      </c>
      <c r="P214" s="81"/>
      <c r="Q214" s="81">
        <f t="shared" si="133"/>
        <v>2000</v>
      </c>
      <c r="R214" s="81"/>
      <c r="S214" s="81">
        <f t="shared" si="134"/>
        <v>2000</v>
      </c>
      <c r="T214" s="81"/>
      <c r="U214" s="81">
        <f t="shared" si="135"/>
        <v>2000</v>
      </c>
      <c r="V214" s="81"/>
      <c r="W214" s="81">
        <f t="shared" si="136"/>
        <v>2000</v>
      </c>
      <c r="X214" s="81"/>
      <c r="Y214" s="81">
        <f t="shared" si="137"/>
        <v>2000</v>
      </c>
      <c r="Z214" s="81"/>
      <c r="AA214" s="81">
        <f t="shared" si="138"/>
        <v>2000</v>
      </c>
    </row>
    <row r="215" spans="1:27" s="6" customFormat="1" ht="21.75" customHeight="1">
      <c r="A215" s="33" t="s">
        <v>102</v>
      </c>
      <c r="B215" s="34"/>
      <c r="C215" s="35"/>
      <c r="D215" s="36" t="s">
        <v>103</v>
      </c>
      <c r="E215" s="37">
        <f aca="true" t="shared" si="139" ref="E215:AA215">SUM(E216)</f>
        <v>900004</v>
      </c>
      <c r="F215" s="37">
        <f t="shared" si="139"/>
        <v>0</v>
      </c>
      <c r="G215" s="37">
        <f t="shared" si="139"/>
        <v>900004</v>
      </c>
      <c r="H215" s="37">
        <f t="shared" si="139"/>
        <v>0</v>
      </c>
      <c r="I215" s="37">
        <f t="shared" si="139"/>
        <v>900004</v>
      </c>
      <c r="J215" s="37">
        <f t="shared" si="139"/>
        <v>0</v>
      </c>
      <c r="K215" s="37">
        <f t="shared" si="139"/>
        <v>900004</v>
      </c>
      <c r="L215" s="37">
        <f t="shared" si="139"/>
        <v>0</v>
      </c>
      <c r="M215" s="37">
        <f t="shared" si="139"/>
        <v>900004</v>
      </c>
      <c r="N215" s="37">
        <f t="shared" si="139"/>
        <v>0</v>
      </c>
      <c r="O215" s="37">
        <f t="shared" si="139"/>
        <v>900004</v>
      </c>
      <c r="P215" s="37">
        <f t="shared" si="139"/>
        <v>0</v>
      </c>
      <c r="Q215" s="37">
        <f t="shared" si="139"/>
        <v>900004</v>
      </c>
      <c r="R215" s="37">
        <f t="shared" si="139"/>
        <v>0</v>
      </c>
      <c r="S215" s="37">
        <f t="shared" si="139"/>
        <v>900004</v>
      </c>
      <c r="T215" s="37">
        <f t="shared" si="139"/>
        <v>0</v>
      </c>
      <c r="U215" s="37">
        <f t="shared" si="139"/>
        <v>900004</v>
      </c>
      <c r="V215" s="37">
        <f t="shared" si="139"/>
        <v>0</v>
      </c>
      <c r="W215" s="37">
        <f t="shared" si="139"/>
        <v>900004</v>
      </c>
      <c r="X215" s="37">
        <f t="shared" si="139"/>
        <v>0</v>
      </c>
      <c r="Y215" s="37">
        <f t="shared" si="139"/>
        <v>900004</v>
      </c>
      <c r="Z215" s="37">
        <f t="shared" si="139"/>
        <v>0</v>
      </c>
      <c r="AA215" s="37">
        <f t="shared" si="139"/>
        <v>900004</v>
      </c>
    </row>
    <row r="216" spans="1:27" s="24" customFormat="1" ht="36">
      <c r="A216" s="67"/>
      <c r="B216" s="82" t="s">
        <v>104</v>
      </c>
      <c r="C216" s="86"/>
      <c r="D216" s="38" t="s">
        <v>105</v>
      </c>
      <c r="E216" s="81">
        <f aca="true" t="shared" si="140" ref="E216:AA216">SUM(E217:E217)</f>
        <v>900004</v>
      </c>
      <c r="F216" s="81">
        <f t="shared" si="140"/>
        <v>0</v>
      </c>
      <c r="G216" s="81">
        <f t="shared" si="140"/>
        <v>900004</v>
      </c>
      <c r="H216" s="81">
        <f t="shared" si="140"/>
        <v>0</v>
      </c>
      <c r="I216" s="81">
        <f t="shared" si="140"/>
        <v>900004</v>
      </c>
      <c r="J216" s="81">
        <f t="shared" si="140"/>
        <v>0</v>
      </c>
      <c r="K216" s="81">
        <f t="shared" si="140"/>
        <v>900004</v>
      </c>
      <c r="L216" s="81">
        <f t="shared" si="140"/>
        <v>0</v>
      </c>
      <c r="M216" s="81">
        <f t="shared" si="140"/>
        <v>900004</v>
      </c>
      <c r="N216" s="81">
        <f t="shared" si="140"/>
        <v>0</v>
      </c>
      <c r="O216" s="81">
        <f t="shared" si="140"/>
        <v>900004</v>
      </c>
      <c r="P216" s="81">
        <f t="shared" si="140"/>
        <v>0</v>
      </c>
      <c r="Q216" s="81">
        <f t="shared" si="140"/>
        <v>900004</v>
      </c>
      <c r="R216" s="81">
        <f t="shared" si="140"/>
        <v>0</v>
      </c>
      <c r="S216" s="81">
        <f t="shared" si="140"/>
        <v>900004</v>
      </c>
      <c r="T216" s="81">
        <f t="shared" si="140"/>
        <v>0</v>
      </c>
      <c r="U216" s="81">
        <f t="shared" si="140"/>
        <v>900004</v>
      </c>
      <c r="V216" s="81">
        <f t="shared" si="140"/>
        <v>0</v>
      </c>
      <c r="W216" s="81">
        <f t="shared" si="140"/>
        <v>900004</v>
      </c>
      <c r="X216" s="81">
        <f t="shared" si="140"/>
        <v>0</v>
      </c>
      <c r="Y216" s="81">
        <f t="shared" si="140"/>
        <v>900004</v>
      </c>
      <c r="Z216" s="81">
        <f t="shared" si="140"/>
        <v>0</v>
      </c>
      <c r="AA216" s="81">
        <f t="shared" si="140"/>
        <v>900004</v>
      </c>
    </row>
    <row r="217" spans="1:27" s="202" customFormat="1" ht="48">
      <c r="A217" s="200"/>
      <c r="B217" s="201"/>
      <c r="C217" s="86">
        <v>8110</v>
      </c>
      <c r="D217" s="38" t="s">
        <v>319</v>
      </c>
      <c r="E217" s="81">
        <v>900004</v>
      </c>
      <c r="F217" s="81"/>
      <c r="G217" s="81">
        <f>SUM(E217:F217)</f>
        <v>900004</v>
      </c>
      <c r="H217" s="81"/>
      <c r="I217" s="81">
        <f>SUM(G217:H217)</f>
        <v>900004</v>
      </c>
      <c r="J217" s="81"/>
      <c r="K217" s="81">
        <f>SUM(I217:J217)</f>
        <v>900004</v>
      </c>
      <c r="L217" s="81"/>
      <c r="M217" s="81">
        <f>SUM(K217:L217)</f>
        <v>900004</v>
      </c>
      <c r="N217" s="81"/>
      <c r="O217" s="81">
        <f>SUM(M217:N217)</f>
        <v>900004</v>
      </c>
      <c r="P217" s="81"/>
      <c r="Q217" s="81">
        <f>SUM(O217:P217)</f>
        <v>900004</v>
      </c>
      <c r="R217" s="81"/>
      <c r="S217" s="81">
        <f>SUM(Q217:R217)</f>
        <v>900004</v>
      </c>
      <c r="T217" s="81"/>
      <c r="U217" s="81">
        <f>SUM(S217:T217)</f>
        <v>900004</v>
      </c>
      <c r="V217" s="81"/>
      <c r="W217" s="81">
        <f>SUM(U217:V217)</f>
        <v>900004</v>
      </c>
      <c r="X217" s="81"/>
      <c r="Y217" s="81">
        <f>SUM(W217:X217)</f>
        <v>900004</v>
      </c>
      <c r="Z217" s="81"/>
      <c r="AA217" s="81">
        <f>SUM(Y217:Z217)</f>
        <v>900004</v>
      </c>
    </row>
    <row r="218" spans="1:27" s="6" customFormat="1" ht="21" customHeight="1">
      <c r="A218" s="33" t="s">
        <v>45</v>
      </c>
      <c r="B218" s="34"/>
      <c r="C218" s="35"/>
      <c r="D218" s="36" t="s">
        <v>46</v>
      </c>
      <c r="E218" s="37">
        <f aca="true" t="shared" si="141" ref="E218:P218">SUM(E221)</f>
        <v>1295930</v>
      </c>
      <c r="F218" s="37">
        <f t="shared" si="141"/>
        <v>318684</v>
      </c>
      <c r="G218" s="37">
        <f t="shared" si="141"/>
        <v>1614614</v>
      </c>
      <c r="H218" s="37">
        <f t="shared" si="141"/>
        <v>0</v>
      </c>
      <c r="I218" s="37">
        <f t="shared" si="141"/>
        <v>1614614</v>
      </c>
      <c r="J218" s="37">
        <f t="shared" si="141"/>
        <v>-47545</v>
      </c>
      <c r="K218" s="37">
        <f t="shared" si="141"/>
        <v>1567069</v>
      </c>
      <c r="L218" s="37">
        <f t="shared" si="141"/>
        <v>-933000</v>
      </c>
      <c r="M218" s="37">
        <f t="shared" si="141"/>
        <v>634069</v>
      </c>
      <c r="N218" s="37">
        <f t="shared" si="141"/>
        <v>0</v>
      </c>
      <c r="O218" s="37">
        <f t="shared" si="141"/>
        <v>634069</v>
      </c>
      <c r="P218" s="37">
        <f t="shared" si="141"/>
        <v>0</v>
      </c>
      <c r="Q218" s="37">
        <f aca="true" t="shared" si="142" ref="Q218:W218">SUM(Q221,Q219)</f>
        <v>634069</v>
      </c>
      <c r="R218" s="37">
        <f t="shared" si="142"/>
        <v>-47355</v>
      </c>
      <c r="S218" s="37">
        <f t="shared" si="142"/>
        <v>586714</v>
      </c>
      <c r="T218" s="37">
        <f t="shared" si="142"/>
        <v>0</v>
      </c>
      <c r="U218" s="37">
        <f t="shared" si="142"/>
        <v>586714</v>
      </c>
      <c r="V218" s="37">
        <f t="shared" si="142"/>
        <v>-40000</v>
      </c>
      <c r="W218" s="37">
        <f t="shared" si="142"/>
        <v>546714</v>
      </c>
      <c r="X218" s="37">
        <f>SUM(X221,X219)</f>
        <v>0</v>
      </c>
      <c r="Y218" s="37">
        <f>SUM(Y221,Y219)</f>
        <v>546714</v>
      </c>
      <c r="Z218" s="37">
        <f>SUM(Z221,Z219)</f>
        <v>0</v>
      </c>
      <c r="AA218" s="37">
        <f>SUM(AA221,AA219)</f>
        <v>546714</v>
      </c>
    </row>
    <row r="219" spans="1:27" s="133" customFormat="1" ht="25.5" customHeight="1">
      <c r="A219" s="162"/>
      <c r="B219" s="300">
        <v>75807</v>
      </c>
      <c r="C219" s="301"/>
      <c r="D219" s="165" t="s">
        <v>183</v>
      </c>
      <c r="E219" s="230"/>
      <c r="F219" s="230"/>
      <c r="G219" s="230"/>
      <c r="H219" s="230"/>
      <c r="I219" s="230"/>
      <c r="J219" s="230"/>
      <c r="K219" s="230"/>
      <c r="L219" s="230"/>
      <c r="M219" s="230"/>
      <c r="N219" s="230"/>
      <c r="O219" s="230"/>
      <c r="P219" s="230"/>
      <c r="Q219" s="230">
        <f aca="true" t="shared" si="143" ref="Q219:AA219">SUM(Q220)</f>
        <v>0</v>
      </c>
      <c r="R219" s="230">
        <f t="shared" si="143"/>
        <v>88</v>
      </c>
      <c r="S219" s="230">
        <f t="shared" si="143"/>
        <v>88</v>
      </c>
      <c r="T219" s="230">
        <f t="shared" si="143"/>
        <v>0</v>
      </c>
      <c r="U219" s="230">
        <f t="shared" si="143"/>
        <v>88</v>
      </c>
      <c r="V219" s="230">
        <f t="shared" si="143"/>
        <v>0</v>
      </c>
      <c r="W219" s="230">
        <f t="shared" si="143"/>
        <v>88</v>
      </c>
      <c r="X219" s="230">
        <f t="shared" si="143"/>
        <v>0</v>
      </c>
      <c r="Y219" s="230">
        <f t="shared" si="143"/>
        <v>88</v>
      </c>
      <c r="Z219" s="230">
        <f t="shared" si="143"/>
        <v>0</v>
      </c>
      <c r="AA219" s="230">
        <f t="shared" si="143"/>
        <v>88</v>
      </c>
    </row>
    <row r="220" spans="1:27" s="133" customFormat="1" ht="21" customHeight="1">
      <c r="A220" s="162"/>
      <c r="B220" s="300"/>
      <c r="C220" s="301">
        <v>4560</v>
      </c>
      <c r="D220" s="165" t="s">
        <v>11</v>
      </c>
      <c r="E220" s="230"/>
      <c r="F220" s="230"/>
      <c r="G220" s="230"/>
      <c r="H220" s="230"/>
      <c r="I220" s="230"/>
      <c r="J220" s="230"/>
      <c r="K220" s="230"/>
      <c r="L220" s="230"/>
      <c r="M220" s="230"/>
      <c r="N220" s="230"/>
      <c r="O220" s="230"/>
      <c r="P220" s="230"/>
      <c r="Q220" s="230">
        <v>0</v>
      </c>
      <c r="R220" s="230">
        <v>88</v>
      </c>
      <c r="S220" s="230">
        <f>SUM(Q220:R220)</f>
        <v>88</v>
      </c>
      <c r="T220" s="230"/>
      <c r="U220" s="230">
        <f>SUM(S220:T220)</f>
        <v>88</v>
      </c>
      <c r="V220" s="230"/>
      <c r="W220" s="230">
        <f>SUM(U220:V220)</f>
        <v>88</v>
      </c>
      <c r="X220" s="230"/>
      <c r="Y220" s="230">
        <f>SUM(W220:X220)</f>
        <v>88</v>
      </c>
      <c r="Z220" s="230"/>
      <c r="AA220" s="230">
        <f>SUM(Y220:Z220)</f>
        <v>88</v>
      </c>
    </row>
    <row r="221" spans="1:27" s="24" customFormat="1" ht="21" customHeight="1">
      <c r="A221" s="67"/>
      <c r="B221" s="82" t="s">
        <v>106</v>
      </c>
      <c r="C221" s="86"/>
      <c r="D221" s="38" t="s">
        <v>107</v>
      </c>
      <c r="E221" s="81">
        <f aca="true" t="shared" si="144" ref="E221:W221">SUM(E222:E223)</f>
        <v>1295930</v>
      </c>
      <c r="F221" s="81">
        <f t="shared" si="144"/>
        <v>318684</v>
      </c>
      <c r="G221" s="81">
        <f t="shared" si="144"/>
        <v>1614614</v>
      </c>
      <c r="H221" s="81">
        <f t="shared" si="144"/>
        <v>0</v>
      </c>
      <c r="I221" s="81">
        <f t="shared" si="144"/>
        <v>1614614</v>
      </c>
      <c r="J221" s="81">
        <f t="shared" si="144"/>
        <v>-47545</v>
      </c>
      <c r="K221" s="81">
        <f t="shared" si="144"/>
        <v>1567069</v>
      </c>
      <c r="L221" s="81">
        <f t="shared" si="144"/>
        <v>-933000</v>
      </c>
      <c r="M221" s="81">
        <f t="shared" si="144"/>
        <v>634069</v>
      </c>
      <c r="N221" s="81">
        <f t="shared" si="144"/>
        <v>0</v>
      </c>
      <c r="O221" s="81">
        <f t="shared" si="144"/>
        <v>634069</v>
      </c>
      <c r="P221" s="81">
        <f t="shared" si="144"/>
        <v>0</v>
      </c>
      <c r="Q221" s="81">
        <f t="shared" si="144"/>
        <v>634069</v>
      </c>
      <c r="R221" s="81">
        <f t="shared" si="144"/>
        <v>-47443</v>
      </c>
      <c r="S221" s="81">
        <f t="shared" si="144"/>
        <v>586626</v>
      </c>
      <c r="T221" s="81">
        <f t="shared" si="144"/>
        <v>0</v>
      </c>
      <c r="U221" s="81">
        <f t="shared" si="144"/>
        <v>586626</v>
      </c>
      <c r="V221" s="81">
        <f t="shared" si="144"/>
        <v>-40000</v>
      </c>
      <c r="W221" s="81">
        <f t="shared" si="144"/>
        <v>546626</v>
      </c>
      <c r="X221" s="81">
        <f>SUM(X222:X223)</f>
        <v>0</v>
      </c>
      <c r="Y221" s="81">
        <f>SUM(Y222:Y223)</f>
        <v>546626</v>
      </c>
      <c r="Z221" s="81">
        <f>SUM(Z222:Z223)</f>
        <v>0</v>
      </c>
      <c r="AA221" s="81">
        <f>SUM(AA222:AA223)</f>
        <v>546626</v>
      </c>
    </row>
    <row r="222" spans="1:27" s="24" customFormat="1" ht="21" customHeight="1">
      <c r="A222" s="67"/>
      <c r="B222" s="87"/>
      <c r="C222" s="86">
        <v>4810</v>
      </c>
      <c r="D222" s="38" t="s">
        <v>108</v>
      </c>
      <c r="E222" s="81">
        <f>154270+150000+40560+76000+40000+55000+13500+450000+20000+80600</f>
        <v>1079930</v>
      </c>
      <c r="F222" s="81">
        <f>25000+40000+248684+5000</f>
        <v>318684</v>
      </c>
      <c r="G222" s="81">
        <f>SUM(E222:F222)</f>
        <v>1398614</v>
      </c>
      <c r="H222" s="81"/>
      <c r="I222" s="81">
        <f>SUM(G222:H222)</f>
        <v>1398614</v>
      </c>
      <c r="J222" s="81">
        <v>-47545</v>
      </c>
      <c r="K222" s="81">
        <f>SUM(I222:J222)</f>
        <v>1351069</v>
      </c>
      <c r="L222" s="81">
        <f>-6000-20000-5000-400000-402000</f>
        <v>-833000</v>
      </c>
      <c r="M222" s="81">
        <f>SUM(K222:L222)</f>
        <v>518069</v>
      </c>
      <c r="N222" s="81"/>
      <c r="O222" s="81">
        <f>SUM(M222:N222)</f>
        <v>518069</v>
      </c>
      <c r="P222" s="81"/>
      <c r="Q222" s="81">
        <f>SUM(O222:P222)</f>
        <v>518069</v>
      </c>
      <c r="R222" s="81">
        <f>-20955-91488+65000</f>
        <v>-47443</v>
      </c>
      <c r="S222" s="81">
        <f>SUM(Q222:R222)</f>
        <v>470626</v>
      </c>
      <c r="T222" s="81"/>
      <c r="U222" s="81">
        <f>SUM(S222:T222)</f>
        <v>470626</v>
      </c>
      <c r="V222" s="81">
        <f>-12000-28000</f>
        <v>-40000</v>
      </c>
      <c r="W222" s="81">
        <f>SUM(U222:V222)</f>
        <v>430626</v>
      </c>
      <c r="X222" s="81"/>
      <c r="Y222" s="81">
        <f>SUM(W222:X222)</f>
        <v>430626</v>
      </c>
      <c r="Z222" s="81"/>
      <c r="AA222" s="81">
        <f>SUM(Y222:Z222)</f>
        <v>430626</v>
      </c>
    </row>
    <row r="223" spans="1:27" s="24" customFormat="1" ht="24" customHeight="1">
      <c r="A223" s="67"/>
      <c r="B223" s="87"/>
      <c r="C223" s="86">
        <v>6800</v>
      </c>
      <c r="D223" s="38" t="s">
        <v>252</v>
      </c>
      <c r="E223" s="81">
        <f>25000+75000+100000+16000</f>
        <v>216000</v>
      </c>
      <c r="F223" s="81"/>
      <c r="G223" s="81">
        <f>SUM(E223:F223)</f>
        <v>216000</v>
      </c>
      <c r="H223" s="81"/>
      <c r="I223" s="81">
        <f>SUM(G223:H223)</f>
        <v>216000</v>
      </c>
      <c r="J223" s="81"/>
      <c r="K223" s="81">
        <f>SUM(I223:J223)</f>
        <v>216000</v>
      </c>
      <c r="L223" s="81">
        <v>-100000</v>
      </c>
      <c r="M223" s="81">
        <f>SUM(K223:L223)</f>
        <v>116000</v>
      </c>
      <c r="N223" s="81"/>
      <c r="O223" s="81">
        <f>SUM(M223:N223)</f>
        <v>116000</v>
      </c>
      <c r="P223" s="81"/>
      <c r="Q223" s="81">
        <f>SUM(O223:P223)</f>
        <v>116000</v>
      </c>
      <c r="R223" s="81"/>
      <c r="S223" s="81">
        <f>SUM(Q223:R223)</f>
        <v>116000</v>
      </c>
      <c r="T223" s="81"/>
      <c r="U223" s="81">
        <f>SUM(S223:T223)</f>
        <v>116000</v>
      </c>
      <c r="V223" s="81"/>
      <c r="W223" s="81">
        <f>SUM(U223:V223)</f>
        <v>116000</v>
      </c>
      <c r="X223" s="81"/>
      <c r="Y223" s="81">
        <f>SUM(W223:X223)</f>
        <v>116000</v>
      </c>
      <c r="Z223" s="81"/>
      <c r="AA223" s="81">
        <f>SUM(Y223:Z223)</f>
        <v>116000</v>
      </c>
    </row>
    <row r="224" spans="1:27" s="7" customFormat="1" ht="20.25" customHeight="1">
      <c r="A224" s="33" t="s">
        <v>109</v>
      </c>
      <c r="B224" s="34"/>
      <c r="C224" s="35"/>
      <c r="D224" s="36" t="s">
        <v>110</v>
      </c>
      <c r="E224" s="37">
        <f aca="true" t="shared" si="145" ref="E224:W224">SUM(E225,E252,E270,E275,E300,E307,E312,E327)</f>
        <v>30107018</v>
      </c>
      <c r="F224" s="37">
        <f t="shared" si="145"/>
        <v>-861184</v>
      </c>
      <c r="G224" s="37">
        <f t="shared" si="145"/>
        <v>29245834</v>
      </c>
      <c r="H224" s="37">
        <f t="shared" si="145"/>
        <v>0</v>
      </c>
      <c r="I224" s="37">
        <f t="shared" si="145"/>
        <v>29245834</v>
      </c>
      <c r="J224" s="37">
        <f t="shared" si="145"/>
        <v>0</v>
      </c>
      <c r="K224" s="37">
        <f t="shared" si="145"/>
        <v>29245834</v>
      </c>
      <c r="L224" s="37">
        <f t="shared" si="145"/>
        <v>46574</v>
      </c>
      <c r="M224" s="37">
        <f t="shared" si="145"/>
        <v>29292408</v>
      </c>
      <c r="N224" s="37">
        <f t="shared" si="145"/>
        <v>19000</v>
      </c>
      <c r="O224" s="37">
        <f t="shared" si="145"/>
        <v>29311408</v>
      </c>
      <c r="P224" s="37">
        <f t="shared" si="145"/>
        <v>75816</v>
      </c>
      <c r="Q224" s="37">
        <f t="shared" si="145"/>
        <v>29387224</v>
      </c>
      <c r="R224" s="37">
        <f t="shared" si="145"/>
        <v>194302</v>
      </c>
      <c r="S224" s="37">
        <f t="shared" si="145"/>
        <v>29581526</v>
      </c>
      <c r="T224" s="37">
        <f t="shared" si="145"/>
        <v>0</v>
      </c>
      <c r="U224" s="37">
        <f t="shared" si="145"/>
        <v>29581526</v>
      </c>
      <c r="V224" s="37">
        <f t="shared" si="145"/>
        <v>0</v>
      </c>
      <c r="W224" s="37">
        <f t="shared" si="145"/>
        <v>29581526</v>
      </c>
      <c r="X224" s="37">
        <f>SUM(X225,X252,X270,X275,X300,X307,X312,X327)</f>
        <v>0</v>
      </c>
      <c r="Y224" s="37">
        <f>SUM(Y225,Y252,Y270,Y275,Y300,Y307,Y312,Y327)</f>
        <v>29581526</v>
      </c>
      <c r="Z224" s="37">
        <f>SUM(Z225,Z252,Z270,Z275,Z300,Z307,Z312,Z327)</f>
        <v>0</v>
      </c>
      <c r="AA224" s="37">
        <f>SUM(AA225,AA252,AA270,AA275,AA300,AA307,AA312,AA327)</f>
        <v>29581526</v>
      </c>
    </row>
    <row r="225" spans="1:27" s="24" customFormat="1" ht="22.5" customHeight="1">
      <c r="A225" s="67"/>
      <c r="B225" s="82" t="s">
        <v>111</v>
      </c>
      <c r="C225" s="86"/>
      <c r="D225" s="38" t="s">
        <v>51</v>
      </c>
      <c r="E225" s="81">
        <f aca="true" t="shared" si="146" ref="E225:W225">SUM(E226:E251)</f>
        <v>12980229</v>
      </c>
      <c r="F225" s="81">
        <f t="shared" si="146"/>
        <v>-110000</v>
      </c>
      <c r="G225" s="81">
        <f t="shared" si="146"/>
        <v>12870229</v>
      </c>
      <c r="H225" s="81">
        <f t="shared" si="146"/>
        <v>0</v>
      </c>
      <c r="I225" s="81">
        <f t="shared" si="146"/>
        <v>12870229</v>
      </c>
      <c r="J225" s="81">
        <f t="shared" si="146"/>
        <v>0</v>
      </c>
      <c r="K225" s="81">
        <f t="shared" si="146"/>
        <v>12870229</v>
      </c>
      <c r="L225" s="81">
        <f t="shared" si="146"/>
        <v>11710</v>
      </c>
      <c r="M225" s="81">
        <f t="shared" si="146"/>
        <v>12881939</v>
      </c>
      <c r="N225" s="81">
        <f t="shared" si="146"/>
        <v>19000</v>
      </c>
      <c r="O225" s="81">
        <f t="shared" si="146"/>
        <v>12900939</v>
      </c>
      <c r="P225" s="81">
        <f t="shared" si="146"/>
        <v>75816</v>
      </c>
      <c r="Q225" s="81">
        <f t="shared" si="146"/>
        <v>12976755</v>
      </c>
      <c r="R225" s="81">
        <f t="shared" si="146"/>
        <v>106081</v>
      </c>
      <c r="S225" s="81">
        <f t="shared" si="146"/>
        <v>13082836</v>
      </c>
      <c r="T225" s="81">
        <f t="shared" si="146"/>
        <v>0</v>
      </c>
      <c r="U225" s="81">
        <f t="shared" si="146"/>
        <v>13082836</v>
      </c>
      <c r="V225" s="81">
        <f t="shared" si="146"/>
        <v>0</v>
      </c>
      <c r="W225" s="81">
        <f t="shared" si="146"/>
        <v>13082836</v>
      </c>
      <c r="X225" s="81">
        <f>SUM(X226:X251)</f>
        <v>0</v>
      </c>
      <c r="Y225" s="81">
        <f>SUM(Y226:Y251)</f>
        <v>13082836</v>
      </c>
      <c r="Z225" s="81">
        <f>SUM(Z226:Z251)</f>
        <v>0</v>
      </c>
      <c r="AA225" s="81">
        <f>SUM(AA226:AA251)</f>
        <v>13082836</v>
      </c>
    </row>
    <row r="226" spans="1:27" s="24" customFormat="1" ht="56.25">
      <c r="A226" s="67"/>
      <c r="B226" s="82"/>
      <c r="C226" s="86">
        <v>2590</v>
      </c>
      <c r="D226" s="38" t="s">
        <v>317</v>
      </c>
      <c r="E226" s="81">
        <v>746055</v>
      </c>
      <c r="F226" s="81"/>
      <c r="G226" s="81">
        <f>SUM(E226:F226)</f>
        <v>746055</v>
      </c>
      <c r="H226" s="81"/>
      <c r="I226" s="81">
        <f>SUM(G226:H226)</f>
        <v>746055</v>
      </c>
      <c r="J226" s="81"/>
      <c r="K226" s="81">
        <f>SUM(I226:J226)</f>
        <v>746055</v>
      </c>
      <c r="L226" s="81"/>
      <c r="M226" s="81">
        <f>SUM(K226:L226)</f>
        <v>746055</v>
      </c>
      <c r="N226" s="81"/>
      <c r="O226" s="81">
        <f>SUM(M226:N226)</f>
        <v>746055</v>
      </c>
      <c r="P226" s="81"/>
      <c r="Q226" s="81">
        <f>SUM(O226:P226)</f>
        <v>746055</v>
      </c>
      <c r="R226" s="81"/>
      <c r="S226" s="81">
        <f>SUM(Q226:R226)</f>
        <v>746055</v>
      </c>
      <c r="T226" s="81"/>
      <c r="U226" s="81">
        <f>SUM(S226:T226)</f>
        <v>746055</v>
      </c>
      <c r="V226" s="81"/>
      <c r="W226" s="81">
        <f>SUM(U226:V226)</f>
        <v>746055</v>
      </c>
      <c r="X226" s="81"/>
      <c r="Y226" s="81">
        <f>SUM(W226:X226)</f>
        <v>746055</v>
      </c>
      <c r="Z226" s="81"/>
      <c r="AA226" s="81">
        <f>SUM(Y226:Z226)</f>
        <v>746055</v>
      </c>
    </row>
    <row r="227" spans="1:27" s="24" customFormat="1" ht="22.5">
      <c r="A227" s="67"/>
      <c r="B227" s="82"/>
      <c r="C227" s="67">
        <v>3020</v>
      </c>
      <c r="D227" s="38" t="s">
        <v>209</v>
      </c>
      <c r="E227" s="81">
        <v>220760</v>
      </c>
      <c r="F227" s="81"/>
      <c r="G227" s="81">
        <f>SUM(E227:F227)</f>
        <v>220760</v>
      </c>
      <c r="H227" s="81"/>
      <c r="I227" s="81">
        <f>SUM(G227:H227)</f>
        <v>220760</v>
      </c>
      <c r="J227" s="81"/>
      <c r="K227" s="81">
        <f>SUM(I227:J227)</f>
        <v>220760</v>
      </c>
      <c r="L227" s="81"/>
      <c r="M227" s="81">
        <f>SUM(K227:L227)</f>
        <v>220760</v>
      </c>
      <c r="N227" s="81"/>
      <c r="O227" s="81">
        <f>SUM(M227:N227)</f>
        <v>220760</v>
      </c>
      <c r="P227" s="81"/>
      <c r="Q227" s="81">
        <f>SUM(O227:P227)</f>
        <v>220760</v>
      </c>
      <c r="R227" s="81"/>
      <c r="S227" s="81">
        <f>SUM(Q227:R227)</f>
        <v>220760</v>
      </c>
      <c r="T227" s="81">
        <v>-8000</v>
      </c>
      <c r="U227" s="81">
        <f>SUM(S227:T227)</f>
        <v>212760</v>
      </c>
      <c r="V227" s="81"/>
      <c r="W227" s="81">
        <f>SUM(U227:V227)</f>
        <v>212760</v>
      </c>
      <c r="X227" s="81"/>
      <c r="Y227" s="81">
        <f>SUM(W227:X227)</f>
        <v>212760</v>
      </c>
      <c r="Z227" s="81"/>
      <c r="AA227" s="81">
        <f>SUM(Y227:Z227)</f>
        <v>212760</v>
      </c>
    </row>
    <row r="228" spans="1:30" s="24" customFormat="1" ht="21" customHeight="1">
      <c r="A228" s="67"/>
      <c r="B228" s="82"/>
      <c r="C228" s="67">
        <v>4010</v>
      </c>
      <c r="D228" s="38" t="s">
        <v>84</v>
      </c>
      <c r="E228" s="81">
        <v>7370338</v>
      </c>
      <c r="F228" s="81"/>
      <c r="G228" s="81">
        <f aca="true" t="shared" si="147" ref="G228:G251">SUM(E228:F228)</f>
        <v>7370338</v>
      </c>
      <c r="H228" s="81"/>
      <c r="I228" s="81">
        <f aca="true" t="shared" si="148" ref="I228:I251">SUM(G228:H228)</f>
        <v>7370338</v>
      </c>
      <c r="J228" s="81"/>
      <c r="K228" s="81">
        <f aca="true" t="shared" si="149" ref="K228:K251">SUM(I228:J228)</f>
        <v>7370338</v>
      </c>
      <c r="L228" s="81">
        <f>2440+17103</f>
        <v>19543</v>
      </c>
      <c r="M228" s="81">
        <f aca="true" t="shared" si="150" ref="M228:M251">SUM(K228:L228)</f>
        <v>7389881</v>
      </c>
      <c r="N228" s="81"/>
      <c r="O228" s="81">
        <f aca="true" t="shared" si="151" ref="O228:O251">SUM(M228:N228)</f>
        <v>7389881</v>
      </c>
      <c r="P228" s="81"/>
      <c r="Q228" s="81">
        <f aca="true" t="shared" si="152" ref="Q228:Q251">SUM(O228:P228)</f>
        <v>7389881</v>
      </c>
      <c r="R228" s="81"/>
      <c r="S228" s="81">
        <f aca="true" t="shared" si="153" ref="S228:S251">SUM(Q228:R228)</f>
        <v>7389881</v>
      </c>
      <c r="T228" s="81"/>
      <c r="U228" s="81">
        <f aca="true" t="shared" si="154" ref="U228:U251">SUM(S228:T228)</f>
        <v>7389881</v>
      </c>
      <c r="V228" s="81"/>
      <c r="W228" s="81">
        <f aca="true" t="shared" si="155" ref="W228:W251">SUM(U228:V228)</f>
        <v>7389881</v>
      </c>
      <c r="X228" s="81"/>
      <c r="Y228" s="81">
        <f aca="true" t="shared" si="156" ref="Y228:Y251">SUM(W228:X228)</f>
        <v>7389881</v>
      </c>
      <c r="Z228" s="81"/>
      <c r="AA228" s="81">
        <f aca="true" t="shared" si="157" ref="AA228:AA251">SUM(Y228:Z228)</f>
        <v>7389881</v>
      </c>
      <c r="AB228" s="119"/>
      <c r="AC228" s="119"/>
      <c r="AD228" s="119"/>
    </row>
    <row r="229" spans="1:30" s="24" customFormat="1" ht="21" customHeight="1">
      <c r="A229" s="67"/>
      <c r="B229" s="82"/>
      <c r="C229" s="67">
        <v>4040</v>
      </c>
      <c r="D229" s="38" t="s">
        <v>85</v>
      </c>
      <c r="E229" s="81">
        <v>586366</v>
      </c>
      <c r="F229" s="81"/>
      <c r="G229" s="81">
        <f t="shared" si="147"/>
        <v>586366</v>
      </c>
      <c r="H229" s="81"/>
      <c r="I229" s="81">
        <f t="shared" si="148"/>
        <v>586366</v>
      </c>
      <c r="J229" s="81"/>
      <c r="K229" s="81">
        <f t="shared" si="149"/>
        <v>586366</v>
      </c>
      <c r="L229" s="81">
        <v>-15057</v>
      </c>
      <c r="M229" s="81">
        <f t="shared" si="150"/>
        <v>571309</v>
      </c>
      <c r="N229" s="81"/>
      <c r="O229" s="81">
        <f t="shared" si="151"/>
        <v>571309</v>
      </c>
      <c r="P229" s="81"/>
      <c r="Q229" s="81">
        <f t="shared" si="152"/>
        <v>571309</v>
      </c>
      <c r="R229" s="81"/>
      <c r="S229" s="81">
        <f t="shared" si="153"/>
        <v>571309</v>
      </c>
      <c r="T229" s="81"/>
      <c r="U229" s="81">
        <f t="shared" si="154"/>
        <v>571309</v>
      </c>
      <c r="V229" s="81"/>
      <c r="W229" s="81">
        <f t="shared" si="155"/>
        <v>571309</v>
      </c>
      <c r="X229" s="81"/>
      <c r="Y229" s="81">
        <f t="shared" si="156"/>
        <v>571309</v>
      </c>
      <c r="Z229" s="81"/>
      <c r="AA229" s="81">
        <f t="shared" si="157"/>
        <v>571309</v>
      </c>
      <c r="AB229" s="119"/>
      <c r="AC229" s="119"/>
      <c r="AD229" s="119"/>
    </row>
    <row r="230" spans="1:30" s="24" customFormat="1" ht="21" customHeight="1">
      <c r="A230" s="67"/>
      <c r="B230" s="82"/>
      <c r="C230" s="67">
        <v>4110</v>
      </c>
      <c r="D230" s="38" t="s">
        <v>86</v>
      </c>
      <c r="E230" s="81">
        <v>1218585</v>
      </c>
      <c r="F230" s="81"/>
      <c r="G230" s="81">
        <f t="shared" si="147"/>
        <v>1218585</v>
      </c>
      <c r="H230" s="81"/>
      <c r="I230" s="81">
        <f t="shared" si="148"/>
        <v>1218585</v>
      </c>
      <c r="J230" s="81"/>
      <c r="K230" s="81">
        <f t="shared" si="149"/>
        <v>1218585</v>
      </c>
      <c r="L230" s="81">
        <v>401</v>
      </c>
      <c r="M230" s="81">
        <f t="shared" si="150"/>
        <v>1218986</v>
      </c>
      <c r="N230" s="81"/>
      <c r="O230" s="81">
        <f t="shared" si="151"/>
        <v>1218986</v>
      </c>
      <c r="P230" s="81"/>
      <c r="Q230" s="81">
        <f t="shared" si="152"/>
        <v>1218986</v>
      </c>
      <c r="R230" s="81"/>
      <c r="S230" s="81">
        <f t="shared" si="153"/>
        <v>1218986</v>
      </c>
      <c r="T230" s="81"/>
      <c r="U230" s="81">
        <f t="shared" si="154"/>
        <v>1218986</v>
      </c>
      <c r="V230" s="81"/>
      <c r="W230" s="81">
        <f t="shared" si="155"/>
        <v>1218986</v>
      </c>
      <c r="X230" s="81"/>
      <c r="Y230" s="81">
        <f t="shared" si="156"/>
        <v>1218986</v>
      </c>
      <c r="Z230" s="81"/>
      <c r="AA230" s="81">
        <f t="shared" si="157"/>
        <v>1218986</v>
      </c>
      <c r="AB230" s="119"/>
      <c r="AC230" s="119"/>
      <c r="AD230" s="119"/>
    </row>
    <row r="231" spans="1:30" s="24" customFormat="1" ht="21" customHeight="1">
      <c r="A231" s="67"/>
      <c r="B231" s="82"/>
      <c r="C231" s="67">
        <v>4120</v>
      </c>
      <c r="D231" s="38" t="s">
        <v>87</v>
      </c>
      <c r="E231" s="81">
        <v>200869</v>
      </c>
      <c r="F231" s="81"/>
      <c r="G231" s="81">
        <f t="shared" si="147"/>
        <v>200869</v>
      </c>
      <c r="H231" s="81"/>
      <c r="I231" s="81">
        <f t="shared" si="148"/>
        <v>200869</v>
      </c>
      <c r="J231" s="81"/>
      <c r="K231" s="81">
        <f t="shared" si="149"/>
        <v>200869</v>
      </c>
      <c r="L231" s="81">
        <v>63</v>
      </c>
      <c r="M231" s="81">
        <f t="shared" si="150"/>
        <v>200932</v>
      </c>
      <c r="N231" s="81"/>
      <c r="O231" s="81">
        <f t="shared" si="151"/>
        <v>200932</v>
      </c>
      <c r="P231" s="81"/>
      <c r="Q231" s="81">
        <f t="shared" si="152"/>
        <v>200932</v>
      </c>
      <c r="R231" s="81"/>
      <c r="S231" s="81">
        <f t="shared" si="153"/>
        <v>200932</v>
      </c>
      <c r="T231" s="81"/>
      <c r="U231" s="81">
        <f t="shared" si="154"/>
        <v>200932</v>
      </c>
      <c r="V231" s="81"/>
      <c r="W231" s="81">
        <f t="shared" si="155"/>
        <v>200932</v>
      </c>
      <c r="X231" s="81"/>
      <c r="Y231" s="81">
        <f t="shared" si="156"/>
        <v>200932</v>
      </c>
      <c r="Z231" s="81"/>
      <c r="AA231" s="81">
        <f t="shared" si="157"/>
        <v>200932</v>
      </c>
      <c r="AB231" s="119"/>
      <c r="AC231" s="119"/>
      <c r="AD231" s="119"/>
    </row>
    <row r="232" spans="1:30" s="24" customFormat="1" ht="21" customHeight="1">
      <c r="A232" s="67"/>
      <c r="B232" s="82"/>
      <c r="C232" s="67">
        <v>4170</v>
      </c>
      <c r="D232" s="38" t="s">
        <v>190</v>
      </c>
      <c r="E232" s="81">
        <v>22100</v>
      </c>
      <c r="F232" s="81"/>
      <c r="G232" s="81">
        <f t="shared" si="147"/>
        <v>22100</v>
      </c>
      <c r="H232" s="81"/>
      <c r="I232" s="81">
        <f t="shared" si="148"/>
        <v>22100</v>
      </c>
      <c r="J232" s="81"/>
      <c r="K232" s="81">
        <f t="shared" si="149"/>
        <v>22100</v>
      </c>
      <c r="L232" s="81">
        <v>3500</v>
      </c>
      <c r="M232" s="81">
        <f t="shared" si="150"/>
        <v>25600</v>
      </c>
      <c r="N232" s="81"/>
      <c r="O232" s="81">
        <f t="shared" si="151"/>
        <v>25600</v>
      </c>
      <c r="P232" s="81"/>
      <c r="Q232" s="81">
        <f t="shared" si="152"/>
        <v>25600</v>
      </c>
      <c r="R232" s="81"/>
      <c r="S232" s="81">
        <f t="shared" si="153"/>
        <v>25600</v>
      </c>
      <c r="T232" s="81"/>
      <c r="U232" s="81">
        <f t="shared" si="154"/>
        <v>25600</v>
      </c>
      <c r="V232" s="81"/>
      <c r="W232" s="81">
        <f t="shared" si="155"/>
        <v>25600</v>
      </c>
      <c r="X232" s="81"/>
      <c r="Y232" s="81">
        <f t="shared" si="156"/>
        <v>25600</v>
      </c>
      <c r="Z232" s="81"/>
      <c r="AA232" s="81">
        <f t="shared" si="157"/>
        <v>25600</v>
      </c>
      <c r="AB232" s="119"/>
      <c r="AC232" s="119"/>
      <c r="AD232" s="119"/>
    </row>
    <row r="233" spans="1:27" s="24" customFormat="1" ht="21" customHeight="1">
      <c r="A233" s="67"/>
      <c r="B233" s="82"/>
      <c r="C233" s="67">
        <v>4210</v>
      </c>
      <c r="D233" s="38" t="s">
        <v>92</v>
      </c>
      <c r="E233" s="81">
        <f>380104+1968</f>
        <v>382072</v>
      </c>
      <c r="F233" s="81"/>
      <c r="G233" s="81">
        <f t="shared" si="147"/>
        <v>382072</v>
      </c>
      <c r="H233" s="81"/>
      <c r="I233" s="81">
        <f t="shared" si="148"/>
        <v>382072</v>
      </c>
      <c r="J233" s="81"/>
      <c r="K233" s="81">
        <f t="shared" si="149"/>
        <v>382072</v>
      </c>
      <c r="L233" s="81">
        <f>300+500+500+1360</f>
        <v>2660</v>
      </c>
      <c r="M233" s="81">
        <f t="shared" si="150"/>
        <v>384732</v>
      </c>
      <c r="N233" s="81"/>
      <c r="O233" s="81">
        <f t="shared" si="151"/>
        <v>384732</v>
      </c>
      <c r="P233" s="81"/>
      <c r="Q233" s="81">
        <f t="shared" si="152"/>
        <v>384732</v>
      </c>
      <c r="R233" s="81"/>
      <c r="S233" s="81">
        <f t="shared" si="153"/>
        <v>384732</v>
      </c>
      <c r="T233" s="81">
        <v>-10800</v>
      </c>
      <c r="U233" s="81">
        <f t="shared" si="154"/>
        <v>373932</v>
      </c>
      <c r="V233" s="81"/>
      <c r="W233" s="81">
        <f t="shared" si="155"/>
        <v>373932</v>
      </c>
      <c r="X233" s="81"/>
      <c r="Y233" s="81">
        <f t="shared" si="156"/>
        <v>373932</v>
      </c>
      <c r="Z233" s="81"/>
      <c r="AA233" s="81">
        <f t="shared" si="157"/>
        <v>373932</v>
      </c>
    </row>
    <row r="234" spans="1:27" s="24" customFormat="1" ht="27" customHeight="1">
      <c r="A234" s="67"/>
      <c r="B234" s="82"/>
      <c r="C234" s="86">
        <v>4230</v>
      </c>
      <c r="D234" s="38" t="s">
        <v>247</v>
      </c>
      <c r="E234" s="81">
        <v>2150</v>
      </c>
      <c r="F234" s="81"/>
      <c r="G234" s="81">
        <f t="shared" si="147"/>
        <v>2150</v>
      </c>
      <c r="H234" s="81"/>
      <c r="I234" s="81">
        <f t="shared" si="148"/>
        <v>2150</v>
      </c>
      <c r="J234" s="81"/>
      <c r="K234" s="81">
        <f t="shared" si="149"/>
        <v>2150</v>
      </c>
      <c r="L234" s="81"/>
      <c r="M234" s="81">
        <f t="shared" si="150"/>
        <v>2150</v>
      </c>
      <c r="N234" s="81"/>
      <c r="O234" s="81">
        <f t="shared" si="151"/>
        <v>2150</v>
      </c>
      <c r="P234" s="81"/>
      <c r="Q234" s="81">
        <f t="shared" si="152"/>
        <v>2150</v>
      </c>
      <c r="R234" s="81"/>
      <c r="S234" s="81">
        <f t="shared" si="153"/>
        <v>2150</v>
      </c>
      <c r="T234" s="81"/>
      <c r="U234" s="81">
        <f t="shared" si="154"/>
        <v>2150</v>
      </c>
      <c r="V234" s="81"/>
      <c r="W234" s="81">
        <f t="shared" si="155"/>
        <v>2150</v>
      </c>
      <c r="X234" s="81"/>
      <c r="Y234" s="81">
        <f t="shared" si="156"/>
        <v>2150</v>
      </c>
      <c r="Z234" s="81"/>
      <c r="AA234" s="81">
        <f t="shared" si="157"/>
        <v>2150</v>
      </c>
    </row>
    <row r="235" spans="1:27" s="24" customFormat="1" ht="22.5">
      <c r="A235" s="67"/>
      <c r="B235" s="82"/>
      <c r="C235" s="86">
        <v>4240</v>
      </c>
      <c r="D235" s="38" t="s">
        <v>123</v>
      </c>
      <c r="E235" s="81">
        <f>40550+3400</f>
        <v>43950</v>
      </c>
      <c r="F235" s="81"/>
      <c r="G235" s="81">
        <f t="shared" si="147"/>
        <v>43950</v>
      </c>
      <c r="H235" s="81"/>
      <c r="I235" s="81">
        <f t="shared" si="148"/>
        <v>43950</v>
      </c>
      <c r="J235" s="81"/>
      <c r="K235" s="81">
        <f t="shared" si="149"/>
        <v>43950</v>
      </c>
      <c r="L235" s="81">
        <v>600</v>
      </c>
      <c r="M235" s="81">
        <f t="shared" si="150"/>
        <v>44550</v>
      </c>
      <c r="N235" s="81"/>
      <c r="O235" s="81">
        <f t="shared" si="151"/>
        <v>44550</v>
      </c>
      <c r="P235" s="81">
        <f>6000+5966</f>
        <v>11966</v>
      </c>
      <c r="Q235" s="81">
        <f t="shared" si="152"/>
        <v>56516</v>
      </c>
      <c r="R235" s="81">
        <v>1337</v>
      </c>
      <c r="S235" s="81">
        <f t="shared" si="153"/>
        <v>57853</v>
      </c>
      <c r="T235" s="81"/>
      <c r="U235" s="81">
        <f t="shared" si="154"/>
        <v>57853</v>
      </c>
      <c r="V235" s="81"/>
      <c r="W235" s="81">
        <f t="shared" si="155"/>
        <v>57853</v>
      </c>
      <c r="X235" s="81"/>
      <c r="Y235" s="81">
        <f t="shared" si="156"/>
        <v>57853</v>
      </c>
      <c r="Z235" s="81"/>
      <c r="AA235" s="81">
        <f t="shared" si="157"/>
        <v>57853</v>
      </c>
    </row>
    <row r="236" spans="1:27" s="24" customFormat="1" ht="21" customHeight="1">
      <c r="A236" s="67"/>
      <c r="B236" s="82"/>
      <c r="C236" s="67">
        <v>4260</v>
      </c>
      <c r="D236" s="38" t="s">
        <v>95</v>
      </c>
      <c r="E236" s="81">
        <v>566857</v>
      </c>
      <c r="F236" s="81"/>
      <c r="G236" s="81">
        <f t="shared" si="147"/>
        <v>566857</v>
      </c>
      <c r="H236" s="81"/>
      <c r="I236" s="81">
        <f t="shared" si="148"/>
        <v>566857</v>
      </c>
      <c r="J236" s="81"/>
      <c r="K236" s="81">
        <f t="shared" si="149"/>
        <v>566857</v>
      </c>
      <c r="L236" s="81"/>
      <c r="M236" s="81">
        <f t="shared" si="150"/>
        <v>566857</v>
      </c>
      <c r="N236" s="81"/>
      <c r="O236" s="81">
        <f t="shared" si="151"/>
        <v>566857</v>
      </c>
      <c r="P236" s="81"/>
      <c r="Q236" s="81">
        <f t="shared" si="152"/>
        <v>566857</v>
      </c>
      <c r="R236" s="81"/>
      <c r="S236" s="81">
        <f t="shared" si="153"/>
        <v>566857</v>
      </c>
      <c r="T236" s="81"/>
      <c r="U236" s="81">
        <f t="shared" si="154"/>
        <v>566857</v>
      </c>
      <c r="V236" s="81"/>
      <c r="W236" s="81">
        <f t="shared" si="155"/>
        <v>566857</v>
      </c>
      <c r="X236" s="81"/>
      <c r="Y236" s="81">
        <f t="shared" si="156"/>
        <v>566857</v>
      </c>
      <c r="Z236" s="81"/>
      <c r="AA236" s="81">
        <f t="shared" si="157"/>
        <v>566857</v>
      </c>
    </row>
    <row r="237" spans="1:27" s="24" customFormat="1" ht="21" customHeight="1">
      <c r="A237" s="67"/>
      <c r="B237" s="82"/>
      <c r="C237" s="67">
        <v>4270</v>
      </c>
      <c r="D237" s="38" t="s">
        <v>78</v>
      </c>
      <c r="E237" s="81">
        <f>110721+150000</f>
        <v>260721</v>
      </c>
      <c r="F237" s="81"/>
      <c r="G237" s="81">
        <f t="shared" si="147"/>
        <v>260721</v>
      </c>
      <c r="H237" s="81"/>
      <c r="I237" s="81">
        <f t="shared" si="148"/>
        <v>260721</v>
      </c>
      <c r="J237" s="81"/>
      <c r="K237" s="81">
        <f t="shared" si="149"/>
        <v>260721</v>
      </c>
      <c r="L237" s="81">
        <v>-3500</v>
      </c>
      <c r="M237" s="81">
        <f t="shared" si="150"/>
        <v>257221</v>
      </c>
      <c r="N237" s="81"/>
      <c r="O237" s="81">
        <f t="shared" si="151"/>
        <v>257221</v>
      </c>
      <c r="P237" s="81"/>
      <c r="Q237" s="81">
        <f t="shared" si="152"/>
        <v>257221</v>
      </c>
      <c r="R237" s="81">
        <f>2641+37943</f>
        <v>40584</v>
      </c>
      <c r="S237" s="81">
        <f t="shared" si="153"/>
        <v>297805</v>
      </c>
      <c r="T237" s="81">
        <v>10800</v>
      </c>
      <c r="U237" s="81">
        <f t="shared" si="154"/>
        <v>308605</v>
      </c>
      <c r="V237" s="81"/>
      <c r="W237" s="81">
        <f t="shared" si="155"/>
        <v>308605</v>
      </c>
      <c r="X237" s="81"/>
      <c r="Y237" s="81">
        <f t="shared" si="156"/>
        <v>308605</v>
      </c>
      <c r="Z237" s="81"/>
      <c r="AA237" s="81">
        <f t="shared" si="157"/>
        <v>308605</v>
      </c>
    </row>
    <row r="238" spans="1:27" s="24" customFormat="1" ht="21" customHeight="1">
      <c r="A238" s="67"/>
      <c r="B238" s="82"/>
      <c r="C238" s="67">
        <v>4280</v>
      </c>
      <c r="D238" s="38" t="s">
        <v>197</v>
      </c>
      <c r="E238" s="81">
        <v>19800</v>
      </c>
      <c r="F238" s="81"/>
      <c r="G238" s="81">
        <f t="shared" si="147"/>
        <v>19800</v>
      </c>
      <c r="H238" s="81"/>
      <c r="I238" s="81">
        <f t="shared" si="148"/>
        <v>19800</v>
      </c>
      <c r="J238" s="81"/>
      <c r="K238" s="81">
        <f t="shared" si="149"/>
        <v>19800</v>
      </c>
      <c r="L238" s="81"/>
      <c r="M238" s="81">
        <f t="shared" si="150"/>
        <v>19800</v>
      </c>
      <c r="N238" s="81"/>
      <c r="O238" s="81">
        <f t="shared" si="151"/>
        <v>19800</v>
      </c>
      <c r="P238" s="81"/>
      <c r="Q238" s="81">
        <f t="shared" si="152"/>
        <v>19800</v>
      </c>
      <c r="R238" s="81"/>
      <c r="S238" s="81">
        <f t="shared" si="153"/>
        <v>19800</v>
      </c>
      <c r="T238" s="81"/>
      <c r="U238" s="81">
        <f t="shared" si="154"/>
        <v>19800</v>
      </c>
      <c r="V238" s="81"/>
      <c r="W238" s="81">
        <f t="shared" si="155"/>
        <v>19800</v>
      </c>
      <c r="X238" s="81"/>
      <c r="Y238" s="81">
        <f t="shared" si="156"/>
        <v>19800</v>
      </c>
      <c r="Z238" s="81"/>
      <c r="AA238" s="81">
        <f t="shared" si="157"/>
        <v>19800</v>
      </c>
    </row>
    <row r="239" spans="1:27" s="24" customFormat="1" ht="21" customHeight="1">
      <c r="A239" s="67"/>
      <c r="B239" s="82"/>
      <c r="C239" s="67">
        <v>4300</v>
      </c>
      <c r="D239" s="38" t="s">
        <v>79</v>
      </c>
      <c r="E239" s="81">
        <v>114715</v>
      </c>
      <c r="F239" s="81"/>
      <c r="G239" s="81">
        <f t="shared" si="147"/>
        <v>114715</v>
      </c>
      <c r="H239" s="81"/>
      <c r="I239" s="81">
        <f t="shared" si="148"/>
        <v>114715</v>
      </c>
      <c r="J239" s="81"/>
      <c r="K239" s="81">
        <f t="shared" si="149"/>
        <v>114715</v>
      </c>
      <c r="L239" s="81">
        <v>3500</v>
      </c>
      <c r="M239" s="81">
        <f t="shared" si="150"/>
        <v>118215</v>
      </c>
      <c r="N239" s="81">
        <v>19000</v>
      </c>
      <c r="O239" s="81">
        <f t="shared" si="151"/>
        <v>137215</v>
      </c>
      <c r="P239" s="81"/>
      <c r="Q239" s="81">
        <f t="shared" si="152"/>
        <v>137215</v>
      </c>
      <c r="R239" s="81">
        <v>310</v>
      </c>
      <c r="S239" s="81">
        <f t="shared" si="153"/>
        <v>137525</v>
      </c>
      <c r="T239" s="81">
        <v>8000</v>
      </c>
      <c r="U239" s="81">
        <f t="shared" si="154"/>
        <v>145525</v>
      </c>
      <c r="V239" s="81"/>
      <c r="W239" s="81">
        <f t="shared" si="155"/>
        <v>145525</v>
      </c>
      <c r="X239" s="81"/>
      <c r="Y239" s="81">
        <f t="shared" si="156"/>
        <v>145525</v>
      </c>
      <c r="Z239" s="81"/>
      <c r="AA239" s="81">
        <f t="shared" si="157"/>
        <v>145525</v>
      </c>
    </row>
    <row r="240" spans="1:27" s="24" customFormat="1" ht="21" customHeight="1">
      <c r="A240" s="67"/>
      <c r="B240" s="82"/>
      <c r="C240" s="67">
        <v>4350</v>
      </c>
      <c r="D240" s="38" t="s">
        <v>204</v>
      </c>
      <c r="E240" s="81">
        <v>8711</v>
      </c>
      <c r="F240" s="81"/>
      <c r="G240" s="81">
        <f t="shared" si="147"/>
        <v>8711</v>
      </c>
      <c r="H240" s="81"/>
      <c r="I240" s="81">
        <f t="shared" si="148"/>
        <v>8711</v>
      </c>
      <c r="J240" s="81"/>
      <c r="K240" s="81">
        <f t="shared" si="149"/>
        <v>8711</v>
      </c>
      <c r="L240" s="81"/>
      <c r="M240" s="81">
        <f t="shared" si="150"/>
        <v>8711</v>
      </c>
      <c r="N240" s="81"/>
      <c r="O240" s="81">
        <f t="shared" si="151"/>
        <v>8711</v>
      </c>
      <c r="P240" s="81"/>
      <c r="Q240" s="81">
        <f t="shared" si="152"/>
        <v>8711</v>
      </c>
      <c r="R240" s="81"/>
      <c r="S240" s="81">
        <f t="shared" si="153"/>
        <v>8711</v>
      </c>
      <c r="T240" s="81"/>
      <c r="U240" s="81">
        <f t="shared" si="154"/>
        <v>8711</v>
      </c>
      <c r="V240" s="81"/>
      <c r="W240" s="81">
        <f t="shared" si="155"/>
        <v>8711</v>
      </c>
      <c r="X240" s="81"/>
      <c r="Y240" s="81">
        <f t="shared" si="156"/>
        <v>8711</v>
      </c>
      <c r="Z240" s="81"/>
      <c r="AA240" s="81">
        <f t="shared" si="157"/>
        <v>8711</v>
      </c>
    </row>
    <row r="241" spans="1:27" s="24" customFormat="1" ht="33.75">
      <c r="A241" s="67"/>
      <c r="B241" s="82"/>
      <c r="C241" s="67">
        <v>4360</v>
      </c>
      <c r="D241" s="38" t="s">
        <v>433</v>
      </c>
      <c r="E241" s="81">
        <v>500</v>
      </c>
      <c r="F241" s="81"/>
      <c r="G241" s="81">
        <f>SUM(E241:F241)</f>
        <v>500</v>
      </c>
      <c r="H241" s="81"/>
      <c r="I241" s="81">
        <f t="shared" si="148"/>
        <v>500</v>
      </c>
      <c r="J241" s="81"/>
      <c r="K241" s="81">
        <f t="shared" si="149"/>
        <v>500</v>
      </c>
      <c r="L241" s="81"/>
      <c r="M241" s="81">
        <f t="shared" si="150"/>
        <v>500</v>
      </c>
      <c r="N241" s="81"/>
      <c r="O241" s="81">
        <f t="shared" si="151"/>
        <v>500</v>
      </c>
      <c r="P241" s="81"/>
      <c r="Q241" s="81">
        <f t="shared" si="152"/>
        <v>500</v>
      </c>
      <c r="R241" s="81"/>
      <c r="S241" s="81">
        <f t="shared" si="153"/>
        <v>500</v>
      </c>
      <c r="T241" s="81"/>
      <c r="U241" s="81">
        <f t="shared" si="154"/>
        <v>500</v>
      </c>
      <c r="V241" s="81"/>
      <c r="W241" s="81">
        <f t="shared" si="155"/>
        <v>500</v>
      </c>
      <c r="X241" s="81"/>
      <c r="Y241" s="81">
        <f t="shared" si="156"/>
        <v>500</v>
      </c>
      <c r="Z241" s="81"/>
      <c r="AA241" s="81">
        <f t="shared" si="157"/>
        <v>500</v>
      </c>
    </row>
    <row r="242" spans="1:27" s="24" customFormat="1" ht="45">
      <c r="A242" s="67"/>
      <c r="B242" s="82"/>
      <c r="C242" s="67">
        <v>4370</v>
      </c>
      <c r="D242" s="38" t="s">
        <v>432</v>
      </c>
      <c r="E242" s="81">
        <v>17500</v>
      </c>
      <c r="F242" s="81"/>
      <c r="G242" s="81">
        <f t="shared" si="147"/>
        <v>17500</v>
      </c>
      <c r="H242" s="81"/>
      <c r="I242" s="81">
        <f t="shared" si="148"/>
        <v>17500</v>
      </c>
      <c r="J242" s="81"/>
      <c r="K242" s="81">
        <f t="shared" si="149"/>
        <v>17500</v>
      </c>
      <c r="L242" s="81"/>
      <c r="M242" s="81">
        <f t="shared" si="150"/>
        <v>17500</v>
      </c>
      <c r="N242" s="81"/>
      <c r="O242" s="81">
        <f t="shared" si="151"/>
        <v>17500</v>
      </c>
      <c r="P242" s="81"/>
      <c r="Q242" s="81">
        <f t="shared" si="152"/>
        <v>17500</v>
      </c>
      <c r="R242" s="81"/>
      <c r="S242" s="81">
        <f t="shared" si="153"/>
        <v>17500</v>
      </c>
      <c r="T242" s="81"/>
      <c r="U242" s="81">
        <f t="shared" si="154"/>
        <v>17500</v>
      </c>
      <c r="V242" s="81"/>
      <c r="W242" s="81">
        <f t="shared" si="155"/>
        <v>17500</v>
      </c>
      <c r="X242" s="81"/>
      <c r="Y242" s="81">
        <f t="shared" si="156"/>
        <v>17500</v>
      </c>
      <c r="Z242" s="81"/>
      <c r="AA242" s="81">
        <f t="shared" si="157"/>
        <v>17500</v>
      </c>
    </row>
    <row r="243" spans="1:27" s="24" customFormat="1" ht="22.5">
      <c r="A243" s="67"/>
      <c r="B243" s="82"/>
      <c r="C243" s="67">
        <v>4390</v>
      </c>
      <c r="D243" s="38" t="s">
        <v>255</v>
      </c>
      <c r="E243" s="81">
        <v>4400</v>
      </c>
      <c r="F243" s="81"/>
      <c r="G243" s="81">
        <f t="shared" si="147"/>
        <v>4400</v>
      </c>
      <c r="H243" s="81"/>
      <c r="I243" s="81">
        <f t="shared" si="148"/>
        <v>4400</v>
      </c>
      <c r="J243" s="81"/>
      <c r="K243" s="81">
        <f t="shared" si="149"/>
        <v>4400</v>
      </c>
      <c r="L243" s="81"/>
      <c r="M243" s="81">
        <f t="shared" si="150"/>
        <v>4400</v>
      </c>
      <c r="N243" s="81"/>
      <c r="O243" s="81">
        <f t="shared" si="151"/>
        <v>4400</v>
      </c>
      <c r="P243" s="81"/>
      <c r="Q243" s="81">
        <f t="shared" si="152"/>
        <v>4400</v>
      </c>
      <c r="R243" s="81"/>
      <c r="S243" s="81">
        <f t="shared" si="153"/>
        <v>4400</v>
      </c>
      <c r="T243" s="81"/>
      <c r="U243" s="81">
        <f t="shared" si="154"/>
        <v>4400</v>
      </c>
      <c r="V243" s="81"/>
      <c r="W243" s="81">
        <f t="shared" si="155"/>
        <v>4400</v>
      </c>
      <c r="X243" s="81"/>
      <c r="Y243" s="81">
        <f t="shared" si="156"/>
        <v>4400</v>
      </c>
      <c r="Z243" s="81"/>
      <c r="AA243" s="81">
        <f t="shared" si="157"/>
        <v>4400</v>
      </c>
    </row>
    <row r="244" spans="1:27" s="24" customFormat="1" ht="21" customHeight="1">
      <c r="A244" s="67"/>
      <c r="B244" s="82"/>
      <c r="C244" s="67">
        <v>4410</v>
      </c>
      <c r="D244" s="38" t="s">
        <v>90</v>
      </c>
      <c r="E244" s="81">
        <v>16080</v>
      </c>
      <c r="F244" s="81"/>
      <c r="G244" s="81">
        <f t="shared" si="147"/>
        <v>16080</v>
      </c>
      <c r="H244" s="81"/>
      <c r="I244" s="81">
        <f t="shared" si="148"/>
        <v>16080</v>
      </c>
      <c r="J244" s="81"/>
      <c r="K244" s="81">
        <f t="shared" si="149"/>
        <v>16080</v>
      </c>
      <c r="L244" s="81"/>
      <c r="M244" s="81">
        <f t="shared" si="150"/>
        <v>16080</v>
      </c>
      <c r="N244" s="81"/>
      <c r="O244" s="81">
        <f t="shared" si="151"/>
        <v>16080</v>
      </c>
      <c r="P244" s="81"/>
      <c r="Q244" s="81">
        <f t="shared" si="152"/>
        <v>16080</v>
      </c>
      <c r="R244" s="81"/>
      <c r="S244" s="81">
        <f t="shared" si="153"/>
        <v>16080</v>
      </c>
      <c r="T244" s="81">
        <v>2000</v>
      </c>
      <c r="U244" s="81">
        <f t="shared" si="154"/>
        <v>18080</v>
      </c>
      <c r="V244" s="81"/>
      <c r="W244" s="81">
        <f t="shared" si="155"/>
        <v>18080</v>
      </c>
      <c r="X244" s="81"/>
      <c r="Y244" s="81">
        <f t="shared" si="156"/>
        <v>18080</v>
      </c>
      <c r="Z244" s="81"/>
      <c r="AA244" s="81">
        <f t="shared" si="157"/>
        <v>18080</v>
      </c>
    </row>
    <row r="245" spans="1:27" s="24" customFormat="1" ht="21" customHeight="1">
      <c r="A245" s="67"/>
      <c r="B245" s="82"/>
      <c r="C245" s="70">
        <v>4430</v>
      </c>
      <c r="D245" s="38" t="s">
        <v>94</v>
      </c>
      <c r="E245" s="81">
        <v>14300</v>
      </c>
      <c r="F245" s="81"/>
      <c r="G245" s="81">
        <f t="shared" si="147"/>
        <v>14300</v>
      </c>
      <c r="H245" s="81"/>
      <c r="I245" s="81">
        <f t="shared" si="148"/>
        <v>14300</v>
      </c>
      <c r="J245" s="81"/>
      <c r="K245" s="81">
        <f t="shared" si="149"/>
        <v>14300</v>
      </c>
      <c r="L245" s="81"/>
      <c r="M245" s="81">
        <f t="shared" si="150"/>
        <v>14300</v>
      </c>
      <c r="N245" s="81"/>
      <c r="O245" s="81">
        <f t="shared" si="151"/>
        <v>14300</v>
      </c>
      <c r="P245" s="81"/>
      <c r="Q245" s="81">
        <f t="shared" si="152"/>
        <v>14300</v>
      </c>
      <c r="R245" s="81"/>
      <c r="S245" s="81">
        <f t="shared" si="153"/>
        <v>14300</v>
      </c>
      <c r="T245" s="81"/>
      <c r="U245" s="81">
        <f t="shared" si="154"/>
        <v>14300</v>
      </c>
      <c r="V245" s="81"/>
      <c r="W245" s="81">
        <f t="shared" si="155"/>
        <v>14300</v>
      </c>
      <c r="X245" s="81"/>
      <c r="Y245" s="81">
        <f t="shared" si="156"/>
        <v>14300</v>
      </c>
      <c r="Z245" s="81"/>
      <c r="AA245" s="81">
        <f t="shared" si="157"/>
        <v>14300</v>
      </c>
    </row>
    <row r="246" spans="1:27" s="24" customFormat="1" ht="21" customHeight="1">
      <c r="A246" s="67"/>
      <c r="B246" s="82"/>
      <c r="C246" s="70">
        <v>4440</v>
      </c>
      <c r="D246" s="38" t="s">
        <v>88</v>
      </c>
      <c r="E246" s="81">
        <v>440278</v>
      </c>
      <c r="F246" s="81"/>
      <c r="G246" s="81">
        <f t="shared" si="147"/>
        <v>440278</v>
      </c>
      <c r="H246" s="81"/>
      <c r="I246" s="81">
        <f t="shared" si="148"/>
        <v>440278</v>
      </c>
      <c r="J246" s="81"/>
      <c r="K246" s="81">
        <f t="shared" si="149"/>
        <v>440278</v>
      </c>
      <c r="L246" s="81"/>
      <c r="M246" s="81">
        <f t="shared" si="150"/>
        <v>440278</v>
      </c>
      <c r="N246" s="81"/>
      <c r="O246" s="81">
        <f t="shared" si="151"/>
        <v>440278</v>
      </c>
      <c r="P246" s="81"/>
      <c r="Q246" s="81">
        <f t="shared" si="152"/>
        <v>440278</v>
      </c>
      <c r="R246" s="81"/>
      <c r="S246" s="81">
        <f t="shared" si="153"/>
        <v>440278</v>
      </c>
      <c r="T246" s="81"/>
      <c r="U246" s="81">
        <f t="shared" si="154"/>
        <v>440278</v>
      </c>
      <c r="V246" s="81"/>
      <c r="W246" s="81">
        <f t="shared" si="155"/>
        <v>440278</v>
      </c>
      <c r="X246" s="81"/>
      <c r="Y246" s="81">
        <f t="shared" si="156"/>
        <v>440278</v>
      </c>
      <c r="Z246" s="81"/>
      <c r="AA246" s="81">
        <f t="shared" si="157"/>
        <v>440278</v>
      </c>
    </row>
    <row r="247" spans="1:27" s="24" customFormat="1" ht="27.75" customHeight="1">
      <c r="A247" s="67"/>
      <c r="B247" s="82"/>
      <c r="C247" s="70">
        <v>4700</v>
      </c>
      <c r="D247" s="38" t="s">
        <v>249</v>
      </c>
      <c r="E247" s="81">
        <v>9000</v>
      </c>
      <c r="F247" s="81"/>
      <c r="G247" s="81">
        <f t="shared" si="147"/>
        <v>9000</v>
      </c>
      <c r="H247" s="81"/>
      <c r="I247" s="81">
        <f t="shared" si="148"/>
        <v>9000</v>
      </c>
      <c r="J247" s="81"/>
      <c r="K247" s="81">
        <f t="shared" si="149"/>
        <v>9000</v>
      </c>
      <c r="L247" s="81"/>
      <c r="M247" s="81">
        <f t="shared" si="150"/>
        <v>9000</v>
      </c>
      <c r="N247" s="81"/>
      <c r="O247" s="81">
        <f t="shared" si="151"/>
        <v>9000</v>
      </c>
      <c r="P247" s="81"/>
      <c r="Q247" s="81">
        <f t="shared" si="152"/>
        <v>9000</v>
      </c>
      <c r="R247" s="81"/>
      <c r="S247" s="81">
        <f t="shared" si="153"/>
        <v>9000</v>
      </c>
      <c r="T247" s="81"/>
      <c r="U247" s="81">
        <f t="shared" si="154"/>
        <v>9000</v>
      </c>
      <c r="V247" s="81"/>
      <c r="W247" s="81">
        <f t="shared" si="155"/>
        <v>9000</v>
      </c>
      <c r="X247" s="81"/>
      <c r="Y247" s="81">
        <f t="shared" si="156"/>
        <v>9000</v>
      </c>
      <c r="Z247" s="81"/>
      <c r="AA247" s="81">
        <f t="shared" si="157"/>
        <v>9000</v>
      </c>
    </row>
    <row r="248" spans="1:27" s="24" customFormat="1" ht="33.75" customHeight="1">
      <c r="A248" s="67"/>
      <c r="B248" s="82"/>
      <c r="C248" s="70">
        <v>4740</v>
      </c>
      <c r="D248" s="38" t="s">
        <v>267</v>
      </c>
      <c r="E248" s="81">
        <v>6800</v>
      </c>
      <c r="F248" s="81"/>
      <c r="G248" s="81">
        <f t="shared" si="147"/>
        <v>6800</v>
      </c>
      <c r="H248" s="81"/>
      <c r="I248" s="81">
        <f t="shared" si="148"/>
        <v>6800</v>
      </c>
      <c r="J248" s="81"/>
      <c r="K248" s="81">
        <f t="shared" si="149"/>
        <v>6800</v>
      </c>
      <c r="L248" s="81"/>
      <c r="M248" s="81">
        <f t="shared" si="150"/>
        <v>6800</v>
      </c>
      <c r="N248" s="81"/>
      <c r="O248" s="81">
        <f t="shared" si="151"/>
        <v>6800</v>
      </c>
      <c r="P248" s="81"/>
      <c r="Q248" s="81">
        <f t="shared" si="152"/>
        <v>6800</v>
      </c>
      <c r="R248" s="81"/>
      <c r="S248" s="81">
        <f t="shared" si="153"/>
        <v>6800</v>
      </c>
      <c r="T248" s="81"/>
      <c r="U248" s="81">
        <f t="shared" si="154"/>
        <v>6800</v>
      </c>
      <c r="V248" s="81"/>
      <c r="W248" s="81">
        <f t="shared" si="155"/>
        <v>6800</v>
      </c>
      <c r="X248" s="81"/>
      <c r="Y248" s="81">
        <f t="shared" si="156"/>
        <v>6800</v>
      </c>
      <c r="Z248" s="81"/>
      <c r="AA248" s="81">
        <f t="shared" si="157"/>
        <v>6800</v>
      </c>
    </row>
    <row r="249" spans="1:27" s="24" customFormat="1" ht="27" customHeight="1">
      <c r="A249" s="67"/>
      <c r="B249" s="82"/>
      <c r="C249" s="70">
        <v>4750</v>
      </c>
      <c r="D249" s="13" t="s">
        <v>223</v>
      </c>
      <c r="E249" s="81">
        <v>37022</v>
      </c>
      <c r="F249" s="81"/>
      <c r="G249" s="81">
        <f t="shared" si="147"/>
        <v>37022</v>
      </c>
      <c r="H249" s="81"/>
      <c r="I249" s="81">
        <f t="shared" si="148"/>
        <v>37022</v>
      </c>
      <c r="J249" s="81"/>
      <c r="K249" s="81">
        <f t="shared" si="149"/>
        <v>37022</v>
      </c>
      <c r="L249" s="81"/>
      <c r="M249" s="81">
        <f t="shared" si="150"/>
        <v>37022</v>
      </c>
      <c r="N249" s="81"/>
      <c r="O249" s="81">
        <f t="shared" si="151"/>
        <v>37022</v>
      </c>
      <c r="P249" s="81"/>
      <c r="Q249" s="81">
        <f t="shared" si="152"/>
        <v>37022</v>
      </c>
      <c r="R249" s="81"/>
      <c r="S249" s="81">
        <f t="shared" si="153"/>
        <v>37022</v>
      </c>
      <c r="T249" s="81">
        <v>-2000</v>
      </c>
      <c r="U249" s="81">
        <f t="shared" si="154"/>
        <v>35022</v>
      </c>
      <c r="V249" s="81"/>
      <c r="W249" s="81">
        <f t="shared" si="155"/>
        <v>35022</v>
      </c>
      <c r="X249" s="81"/>
      <c r="Y249" s="81">
        <f t="shared" si="156"/>
        <v>35022</v>
      </c>
      <c r="Z249" s="81"/>
      <c r="AA249" s="81">
        <f t="shared" si="157"/>
        <v>35022</v>
      </c>
    </row>
    <row r="250" spans="1:27" s="24" customFormat="1" ht="27.75" customHeight="1">
      <c r="A250" s="67"/>
      <c r="B250" s="82"/>
      <c r="C250" s="70">
        <v>6050</v>
      </c>
      <c r="D250" s="13" t="s">
        <v>73</v>
      </c>
      <c r="E250" s="81">
        <v>660000</v>
      </c>
      <c r="F250" s="81">
        <v>-110000</v>
      </c>
      <c r="G250" s="81">
        <f t="shared" si="147"/>
        <v>550000</v>
      </c>
      <c r="H250" s="81"/>
      <c r="I250" s="81">
        <f t="shared" si="148"/>
        <v>550000</v>
      </c>
      <c r="J250" s="81"/>
      <c r="K250" s="81">
        <f t="shared" si="149"/>
        <v>550000</v>
      </c>
      <c r="L250" s="81"/>
      <c r="M250" s="81">
        <f t="shared" si="150"/>
        <v>550000</v>
      </c>
      <c r="N250" s="81"/>
      <c r="O250" s="81">
        <f t="shared" si="151"/>
        <v>550000</v>
      </c>
      <c r="P250" s="81">
        <v>63850</v>
      </c>
      <c r="Q250" s="81">
        <f t="shared" si="152"/>
        <v>613850</v>
      </c>
      <c r="R250" s="81">
        <v>63850</v>
      </c>
      <c r="S250" s="81">
        <f t="shared" si="153"/>
        <v>677700</v>
      </c>
      <c r="T250" s="81"/>
      <c r="U250" s="81">
        <f t="shared" si="154"/>
        <v>677700</v>
      </c>
      <c r="V250" s="81"/>
      <c r="W250" s="81">
        <f t="shared" si="155"/>
        <v>677700</v>
      </c>
      <c r="X250" s="81"/>
      <c r="Y250" s="81">
        <f t="shared" si="156"/>
        <v>677700</v>
      </c>
      <c r="Z250" s="81"/>
      <c r="AA250" s="81">
        <f t="shared" si="157"/>
        <v>677700</v>
      </c>
    </row>
    <row r="251" spans="1:27" s="24" customFormat="1" ht="29.25" customHeight="1">
      <c r="A251" s="67"/>
      <c r="B251" s="82"/>
      <c r="C251" s="70">
        <v>6060</v>
      </c>
      <c r="D251" s="13" t="s">
        <v>96</v>
      </c>
      <c r="E251" s="81">
        <v>10300</v>
      </c>
      <c r="F251" s="81"/>
      <c r="G251" s="81">
        <f t="shared" si="147"/>
        <v>10300</v>
      </c>
      <c r="H251" s="81"/>
      <c r="I251" s="81">
        <f t="shared" si="148"/>
        <v>10300</v>
      </c>
      <c r="J251" s="81"/>
      <c r="K251" s="81">
        <f t="shared" si="149"/>
        <v>10300</v>
      </c>
      <c r="L251" s="81"/>
      <c r="M251" s="81">
        <f t="shared" si="150"/>
        <v>10300</v>
      </c>
      <c r="N251" s="81"/>
      <c r="O251" s="81">
        <f t="shared" si="151"/>
        <v>10300</v>
      </c>
      <c r="P251" s="81"/>
      <c r="Q251" s="81">
        <f t="shared" si="152"/>
        <v>10300</v>
      </c>
      <c r="R251" s="81"/>
      <c r="S251" s="81">
        <f t="shared" si="153"/>
        <v>10300</v>
      </c>
      <c r="T251" s="81"/>
      <c r="U251" s="81">
        <f t="shared" si="154"/>
        <v>10300</v>
      </c>
      <c r="V251" s="81"/>
      <c r="W251" s="81">
        <f t="shared" si="155"/>
        <v>10300</v>
      </c>
      <c r="X251" s="81"/>
      <c r="Y251" s="81">
        <f t="shared" si="156"/>
        <v>10300</v>
      </c>
      <c r="Z251" s="81"/>
      <c r="AA251" s="81">
        <f t="shared" si="157"/>
        <v>10300</v>
      </c>
    </row>
    <row r="252" spans="1:27" s="24" customFormat="1" ht="27" customHeight="1">
      <c r="A252" s="67"/>
      <c r="B252" s="82">
        <v>80103</v>
      </c>
      <c r="C252" s="70"/>
      <c r="D252" s="38" t="s">
        <v>201</v>
      </c>
      <c r="E252" s="81">
        <f aca="true" t="shared" si="158" ref="E252:W252">SUM(E253:E269)</f>
        <v>629238</v>
      </c>
      <c r="F252" s="81">
        <f t="shared" si="158"/>
        <v>0</v>
      </c>
      <c r="G252" s="81">
        <f t="shared" si="158"/>
        <v>629238</v>
      </c>
      <c r="H252" s="81">
        <f t="shared" si="158"/>
        <v>0</v>
      </c>
      <c r="I252" s="81">
        <f t="shared" si="158"/>
        <v>629238</v>
      </c>
      <c r="J252" s="81">
        <f t="shared" si="158"/>
        <v>0</v>
      </c>
      <c r="K252" s="81">
        <f t="shared" si="158"/>
        <v>629238</v>
      </c>
      <c r="L252" s="81">
        <f t="shared" si="158"/>
        <v>-2096</v>
      </c>
      <c r="M252" s="81">
        <f t="shared" si="158"/>
        <v>627142</v>
      </c>
      <c r="N252" s="81">
        <f t="shared" si="158"/>
        <v>0</v>
      </c>
      <c r="O252" s="81">
        <f t="shared" si="158"/>
        <v>627142</v>
      </c>
      <c r="P252" s="81">
        <f t="shared" si="158"/>
        <v>0</v>
      </c>
      <c r="Q252" s="81">
        <f t="shared" si="158"/>
        <v>627142</v>
      </c>
      <c r="R252" s="81">
        <f t="shared" si="158"/>
        <v>0</v>
      </c>
      <c r="S252" s="81">
        <f t="shared" si="158"/>
        <v>627142</v>
      </c>
      <c r="T252" s="81">
        <f t="shared" si="158"/>
        <v>0</v>
      </c>
      <c r="U252" s="81">
        <f t="shared" si="158"/>
        <v>627142</v>
      </c>
      <c r="V252" s="81">
        <f t="shared" si="158"/>
        <v>0</v>
      </c>
      <c r="W252" s="81">
        <f t="shared" si="158"/>
        <v>627142</v>
      </c>
      <c r="X252" s="81">
        <f>SUM(X253:X269)</f>
        <v>0</v>
      </c>
      <c r="Y252" s="81">
        <f>SUM(Y253:Y269)</f>
        <v>627142</v>
      </c>
      <c r="Z252" s="81">
        <f>SUM(Z253:Z269)</f>
        <v>0</v>
      </c>
      <c r="AA252" s="81">
        <f>SUM(AA253:AA269)</f>
        <v>627142</v>
      </c>
    </row>
    <row r="253" spans="1:27" s="24" customFormat="1" ht="60.75" customHeight="1">
      <c r="A253" s="67"/>
      <c r="B253" s="82"/>
      <c r="C253" s="86">
        <v>2590</v>
      </c>
      <c r="D253" s="38" t="s">
        <v>318</v>
      </c>
      <c r="E253" s="81">
        <v>41492</v>
      </c>
      <c r="F253" s="81"/>
      <c r="G253" s="81">
        <f>SUM(E253:F253)</f>
        <v>41492</v>
      </c>
      <c r="H253" s="81"/>
      <c r="I253" s="81">
        <f>SUM(G253:H253)</f>
        <v>41492</v>
      </c>
      <c r="J253" s="81"/>
      <c r="K253" s="81">
        <f>SUM(I253:J253)</f>
        <v>41492</v>
      </c>
      <c r="L253" s="81"/>
      <c r="M253" s="81">
        <f>SUM(K253:L253)</f>
        <v>41492</v>
      </c>
      <c r="N253" s="81"/>
      <c r="O253" s="81">
        <f>SUM(M253:N253)</f>
        <v>41492</v>
      </c>
      <c r="P253" s="81"/>
      <c r="Q253" s="81">
        <f>SUM(O253:P253)</f>
        <v>41492</v>
      </c>
      <c r="R253" s="81"/>
      <c r="S253" s="81">
        <f>SUM(Q253:R253)</f>
        <v>41492</v>
      </c>
      <c r="T253" s="81"/>
      <c r="U253" s="81">
        <f>SUM(S253:T253)</f>
        <v>41492</v>
      </c>
      <c r="V253" s="81"/>
      <c r="W253" s="81">
        <f>SUM(U253:V253)</f>
        <v>41492</v>
      </c>
      <c r="X253" s="81"/>
      <c r="Y253" s="81">
        <f>SUM(W253:X253)</f>
        <v>41492</v>
      </c>
      <c r="Z253" s="81"/>
      <c r="AA253" s="81">
        <f>SUM(Y253:Z253)</f>
        <v>41492</v>
      </c>
    </row>
    <row r="254" spans="1:27" s="24" customFormat="1" ht="26.25" customHeight="1">
      <c r="A254" s="67"/>
      <c r="B254" s="82"/>
      <c r="C254" s="86">
        <v>3020</v>
      </c>
      <c r="D254" s="38" t="s">
        <v>188</v>
      </c>
      <c r="E254" s="81">
        <v>22991</v>
      </c>
      <c r="F254" s="81"/>
      <c r="G254" s="81">
        <f aca="true" t="shared" si="159" ref="G254:G269">SUM(E254:F254)</f>
        <v>22991</v>
      </c>
      <c r="H254" s="81"/>
      <c r="I254" s="81">
        <f aca="true" t="shared" si="160" ref="I254:I269">SUM(G254:H254)</f>
        <v>22991</v>
      </c>
      <c r="J254" s="81"/>
      <c r="K254" s="81">
        <f aca="true" t="shared" si="161" ref="K254:K269">SUM(I254:J254)</f>
        <v>22991</v>
      </c>
      <c r="L254" s="81"/>
      <c r="M254" s="81">
        <f aca="true" t="shared" si="162" ref="M254:M269">SUM(K254:L254)</f>
        <v>22991</v>
      </c>
      <c r="N254" s="81"/>
      <c r="O254" s="81">
        <f aca="true" t="shared" si="163" ref="O254:O269">SUM(M254:N254)</f>
        <v>22991</v>
      </c>
      <c r="P254" s="81"/>
      <c r="Q254" s="81">
        <f aca="true" t="shared" si="164" ref="Q254:Q269">SUM(O254:P254)</f>
        <v>22991</v>
      </c>
      <c r="R254" s="81"/>
      <c r="S254" s="81">
        <f aca="true" t="shared" si="165" ref="S254:S269">SUM(Q254:R254)</f>
        <v>22991</v>
      </c>
      <c r="T254" s="81"/>
      <c r="U254" s="81">
        <f aca="true" t="shared" si="166" ref="U254:U269">SUM(S254:T254)</f>
        <v>22991</v>
      </c>
      <c r="V254" s="81"/>
      <c r="W254" s="81">
        <f aca="true" t="shared" si="167" ref="W254:W269">SUM(U254:V254)</f>
        <v>22991</v>
      </c>
      <c r="X254" s="81"/>
      <c r="Y254" s="81">
        <f aca="true" t="shared" si="168" ref="Y254:Y269">SUM(W254:X254)</f>
        <v>22991</v>
      </c>
      <c r="Z254" s="81"/>
      <c r="AA254" s="81">
        <f aca="true" t="shared" si="169" ref="AA254:AA269">SUM(Y254:Z254)</f>
        <v>22991</v>
      </c>
    </row>
    <row r="255" spans="1:30" s="24" customFormat="1" ht="21" customHeight="1">
      <c r="A255" s="67"/>
      <c r="B255" s="82"/>
      <c r="C255" s="86">
        <v>4010</v>
      </c>
      <c r="D255" s="38" t="s">
        <v>84</v>
      </c>
      <c r="E255" s="81">
        <v>365853</v>
      </c>
      <c r="F255" s="81"/>
      <c r="G255" s="81">
        <f t="shared" si="159"/>
        <v>365853</v>
      </c>
      <c r="H255" s="81"/>
      <c r="I255" s="81">
        <f t="shared" si="160"/>
        <v>365853</v>
      </c>
      <c r="J255" s="81"/>
      <c r="K255" s="81">
        <f t="shared" si="161"/>
        <v>365853</v>
      </c>
      <c r="L255" s="81">
        <v>2052</v>
      </c>
      <c r="M255" s="81">
        <f t="shared" si="162"/>
        <v>367905</v>
      </c>
      <c r="N255" s="81"/>
      <c r="O255" s="81">
        <f t="shared" si="163"/>
        <v>367905</v>
      </c>
      <c r="P255" s="81"/>
      <c r="Q255" s="81">
        <f t="shared" si="164"/>
        <v>367905</v>
      </c>
      <c r="R255" s="81"/>
      <c r="S255" s="81">
        <f t="shared" si="165"/>
        <v>367905</v>
      </c>
      <c r="T255" s="81"/>
      <c r="U255" s="81">
        <f t="shared" si="166"/>
        <v>367905</v>
      </c>
      <c r="V255" s="81"/>
      <c r="W255" s="81">
        <f t="shared" si="167"/>
        <v>367905</v>
      </c>
      <c r="X255" s="81"/>
      <c r="Y255" s="81">
        <f t="shared" si="168"/>
        <v>367905</v>
      </c>
      <c r="Z255" s="81"/>
      <c r="AA255" s="81">
        <f t="shared" si="169"/>
        <v>367905</v>
      </c>
      <c r="AB255" s="119"/>
      <c r="AC255" s="119"/>
      <c r="AD255" s="119"/>
    </row>
    <row r="256" spans="1:30" s="24" customFormat="1" ht="21" customHeight="1">
      <c r="A256" s="67"/>
      <c r="B256" s="82"/>
      <c r="C256" s="86">
        <v>4040</v>
      </c>
      <c r="D256" s="38" t="s">
        <v>85</v>
      </c>
      <c r="E256" s="81">
        <v>26742</v>
      </c>
      <c r="F256" s="81"/>
      <c r="G256" s="81">
        <f t="shared" si="159"/>
        <v>26742</v>
      </c>
      <c r="H256" s="81"/>
      <c r="I256" s="81">
        <f t="shared" si="160"/>
        <v>26742</v>
      </c>
      <c r="J256" s="81"/>
      <c r="K256" s="81">
        <f t="shared" si="161"/>
        <v>26742</v>
      </c>
      <c r="L256" s="81">
        <v>-4148</v>
      </c>
      <c r="M256" s="81">
        <f t="shared" si="162"/>
        <v>22594</v>
      </c>
      <c r="N256" s="81"/>
      <c r="O256" s="81">
        <f t="shared" si="163"/>
        <v>22594</v>
      </c>
      <c r="P256" s="81"/>
      <c r="Q256" s="81">
        <f t="shared" si="164"/>
        <v>22594</v>
      </c>
      <c r="R256" s="81"/>
      <c r="S256" s="81">
        <f t="shared" si="165"/>
        <v>22594</v>
      </c>
      <c r="T256" s="81"/>
      <c r="U256" s="81">
        <f t="shared" si="166"/>
        <v>22594</v>
      </c>
      <c r="V256" s="81"/>
      <c r="W256" s="81">
        <f t="shared" si="167"/>
        <v>22594</v>
      </c>
      <c r="X256" s="81"/>
      <c r="Y256" s="81">
        <f t="shared" si="168"/>
        <v>22594</v>
      </c>
      <c r="Z256" s="81"/>
      <c r="AA256" s="81">
        <f t="shared" si="169"/>
        <v>22594</v>
      </c>
      <c r="AB256" s="119"/>
      <c r="AC256" s="119"/>
      <c r="AD256" s="119"/>
    </row>
    <row r="257" spans="1:30" s="24" customFormat="1" ht="21" customHeight="1">
      <c r="A257" s="67"/>
      <c r="B257" s="82"/>
      <c r="C257" s="86">
        <v>4110</v>
      </c>
      <c r="D257" s="38" t="s">
        <v>86</v>
      </c>
      <c r="E257" s="81">
        <v>63619</v>
      </c>
      <c r="F257" s="81"/>
      <c r="G257" s="81">
        <f t="shared" si="159"/>
        <v>63619</v>
      </c>
      <c r="H257" s="81"/>
      <c r="I257" s="81">
        <f t="shared" si="160"/>
        <v>63619</v>
      </c>
      <c r="J257" s="81"/>
      <c r="K257" s="81">
        <f t="shared" si="161"/>
        <v>63619</v>
      </c>
      <c r="L257" s="81"/>
      <c r="M257" s="81">
        <f t="shared" si="162"/>
        <v>63619</v>
      </c>
      <c r="N257" s="81"/>
      <c r="O257" s="81">
        <f t="shared" si="163"/>
        <v>63619</v>
      </c>
      <c r="P257" s="81"/>
      <c r="Q257" s="81">
        <f t="shared" si="164"/>
        <v>63619</v>
      </c>
      <c r="R257" s="81"/>
      <c r="S257" s="81">
        <f t="shared" si="165"/>
        <v>63619</v>
      </c>
      <c r="T257" s="81"/>
      <c r="U257" s="81">
        <f t="shared" si="166"/>
        <v>63619</v>
      </c>
      <c r="V257" s="81"/>
      <c r="W257" s="81">
        <f t="shared" si="167"/>
        <v>63619</v>
      </c>
      <c r="X257" s="81"/>
      <c r="Y257" s="81">
        <f t="shared" si="168"/>
        <v>63619</v>
      </c>
      <c r="Z257" s="81"/>
      <c r="AA257" s="81">
        <f t="shared" si="169"/>
        <v>63619</v>
      </c>
      <c r="AB257" s="119"/>
      <c r="AC257" s="119"/>
      <c r="AD257" s="119"/>
    </row>
    <row r="258" spans="1:30" s="24" customFormat="1" ht="21" customHeight="1">
      <c r="A258" s="67"/>
      <c r="B258" s="82"/>
      <c r="C258" s="86">
        <v>4120</v>
      </c>
      <c r="D258" s="38" t="s">
        <v>87</v>
      </c>
      <c r="E258" s="81">
        <v>10275</v>
      </c>
      <c r="F258" s="81"/>
      <c r="G258" s="81">
        <f t="shared" si="159"/>
        <v>10275</v>
      </c>
      <c r="H258" s="81"/>
      <c r="I258" s="81">
        <f t="shared" si="160"/>
        <v>10275</v>
      </c>
      <c r="J258" s="81"/>
      <c r="K258" s="81">
        <f t="shared" si="161"/>
        <v>10275</v>
      </c>
      <c r="L258" s="81"/>
      <c r="M258" s="81">
        <f t="shared" si="162"/>
        <v>10275</v>
      </c>
      <c r="N258" s="81"/>
      <c r="O258" s="81">
        <f t="shared" si="163"/>
        <v>10275</v>
      </c>
      <c r="P258" s="81"/>
      <c r="Q258" s="81">
        <f t="shared" si="164"/>
        <v>10275</v>
      </c>
      <c r="R258" s="81"/>
      <c r="S258" s="81">
        <f t="shared" si="165"/>
        <v>10275</v>
      </c>
      <c r="T258" s="81"/>
      <c r="U258" s="81">
        <f t="shared" si="166"/>
        <v>10275</v>
      </c>
      <c r="V258" s="81"/>
      <c r="W258" s="81">
        <f t="shared" si="167"/>
        <v>10275</v>
      </c>
      <c r="X258" s="81"/>
      <c r="Y258" s="81">
        <f t="shared" si="168"/>
        <v>10275</v>
      </c>
      <c r="Z258" s="81"/>
      <c r="AA258" s="81">
        <f t="shared" si="169"/>
        <v>10275</v>
      </c>
      <c r="AB258" s="119"/>
      <c r="AC258" s="119"/>
      <c r="AD258" s="119"/>
    </row>
    <row r="259" spans="1:30" s="24" customFormat="1" ht="21" customHeight="1">
      <c r="A259" s="67"/>
      <c r="B259" s="82"/>
      <c r="C259" s="86">
        <v>4170</v>
      </c>
      <c r="D259" s="38" t="s">
        <v>190</v>
      </c>
      <c r="E259" s="81">
        <v>16800</v>
      </c>
      <c r="F259" s="81"/>
      <c r="G259" s="81">
        <f t="shared" si="159"/>
        <v>16800</v>
      </c>
      <c r="H259" s="81"/>
      <c r="I259" s="81">
        <f t="shared" si="160"/>
        <v>16800</v>
      </c>
      <c r="J259" s="81"/>
      <c r="K259" s="81">
        <f t="shared" si="161"/>
        <v>16800</v>
      </c>
      <c r="L259" s="81"/>
      <c r="M259" s="81">
        <f t="shared" si="162"/>
        <v>16800</v>
      </c>
      <c r="N259" s="81"/>
      <c r="O259" s="81">
        <f t="shared" si="163"/>
        <v>16800</v>
      </c>
      <c r="P259" s="81"/>
      <c r="Q259" s="81">
        <f t="shared" si="164"/>
        <v>16800</v>
      </c>
      <c r="R259" s="81"/>
      <c r="S259" s="81">
        <f t="shared" si="165"/>
        <v>16800</v>
      </c>
      <c r="T259" s="81"/>
      <c r="U259" s="81">
        <f t="shared" si="166"/>
        <v>16800</v>
      </c>
      <c r="V259" s="81"/>
      <c r="W259" s="81">
        <f t="shared" si="167"/>
        <v>16800</v>
      </c>
      <c r="X259" s="81"/>
      <c r="Y259" s="81">
        <f t="shared" si="168"/>
        <v>16800</v>
      </c>
      <c r="Z259" s="81"/>
      <c r="AA259" s="81">
        <f t="shared" si="169"/>
        <v>16800</v>
      </c>
      <c r="AB259" s="119"/>
      <c r="AC259" s="119"/>
      <c r="AD259" s="119"/>
    </row>
    <row r="260" spans="1:27" s="24" customFormat="1" ht="21" customHeight="1">
      <c r="A260" s="67"/>
      <c r="B260" s="82"/>
      <c r="C260" s="86">
        <v>4210</v>
      </c>
      <c r="D260" s="38" t="s">
        <v>72</v>
      </c>
      <c r="E260" s="81">
        <f>30280+1000</f>
        <v>31280</v>
      </c>
      <c r="F260" s="81"/>
      <c r="G260" s="81">
        <f t="shared" si="159"/>
        <v>31280</v>
      </c>
      <c r="H260" s="81"/>
      <c r="I260" s="81">
        <f t="shared" si="160"/>
        <v>31280</v>
      </c>
      <c r="J260" s="81"/>
      <c r="K260" s="81">
        <f t="shared" si="161"/>
        <v>31280</v>
      </c>
      <c r="L260" s="81">
        <v>-500</v>
      </c>
      <c r="M260" s="81">
        <f t="shared" si="162"/>
        <v>30780</v>
      </c>
      <c r="N260" s="81">
        <v>500</v>
      </c>
      <c r="O260" s="81">
        <f t="shared" si="163"/>
        <v>31280</v>
      </c>
      <c r="P260" s="81"/>
      <c r="Q260" s="81">
        <f t="shared" si="164"/>
        <v>31280</v>
      </c>
      <c r="R260" s="81"/>
      <c r="S260" s="81">
        <f t="shared" si="165"/>
        <v>31280</v>
      </c>
      <c r="T260" s="81"/>
      <c r="U260" s="81">
        <f t="shared" si="166"/>
        <v>31280</v>
      </c>
      <c r="V260" s="81">
        <f>-500+400</f>
        <v>-100</v>
      </c>
      <c r="W260" s="81">
        <f t="shared" si="167"/>
        <v>31180</v>
      </c>
      <c r="X260" s="81"/>
      <c r="Y260" s="81">
        <f t="shared" si="168"/>
        <v>31180</v>
      </c>
      <c r="Z260" s="81"/>
      <c r="AA260" s="81">
        <f t="shared" si="169"/>
        <v>31180</v>
      </c>
    </row>
    <row r="261" spans="1:27" s="24" customFormat="1" ht="22.5">
      <c r="A261" s="67"/>
      <c r="B261" s="82"/>
      <c r="C261" s="86">
        <v>4240</v>
      </c>
      <c r="D261" s="38" t="s">
        <v>123</v>
      </c>
      <c r="E261" s="81">
        <f>4120+1200+500</f>
        <v>5820</v>
      </c>
      <c r="F261" s="81"/>
      <c r="G261" s="81">
        <f t="shared" si="159"/>
        <v>5820</v>
      </c>
      <c r="H261" s="81"/>
      <c r="I261" s="81">
        <f t="shared" si="160"/>
        <v>5820</v>
      </c>
      <c r="J261" s="81"/>
      <c r="K261" s="81">
        <f t="shared" si="161"/>
        <v>5820</v>
      </c>
      <c r="L261" s="81">
        <v>500</v>
      </c>
      <c r="M261" s="81">
        <f t="shared" si="162"/>
        <v>6320</v>
      </c>
      <c r="N261" s="81">
        <v>-500</v>
      </c>
      <c r="O261" s="81">
        <f t="shared" si="163"/>
        <v>5820</v>
      </c>
      <c r="P261" s="81"/>
      <c r="Q261" s="81">
        <f t="shared" si="164"/>
        <v>5820</v>
      </c>
      <c r="R261" s="81"/>
      <c r="S261" s="81">
        <f t="shared" si="165"/>
        <v>5820</v>
      </c>
      <c r="T261" s="81"/>
      <c r="U261" s="81">
        <f t="shared" si="166"/>
        <v>5820</v>
      </c>
      <c r="V261" s="81">
        <f>500-400</f>
        <v>100</v>
      </c>
      <c r="W261" s="81">
        <f t="shared" si="167"/>
        <v>5920</v>
      </c>
      <c r="X261" s="81"/>
      <c r="Y261" s="81">
        <f t="shared" si="168"/>
        <v>5920</v>
      </c>
      <c r="Z261" s="81"/>
      <c r="AA261" s="81">
        <f t="shared" si="169"/>
        <v>5920</v>
      </c>
    </row>
    <row r="262" spans="1:27" s="24" customFormat="1" ht="21" customHeight="1">
      <c r="A262" s="67"/>
      <c r="B262" s="82"/>
      <c r="C262" s="86">
        <v>4260</v>
      </c>
      <c r="D262" s="38" t="s">
        <v>95</v>
      </c>
      <c r="E262" s="81">
        <v>10740</v>
      </c>
      <c r="F262" s="81"/>
      <c r="G262" s="81">
        <f t="shared" si="159"/>
        <v>10740</v>
      </c>
      <c r="H262" s="81"/>
      <c r="I262" s="81">
        <f t="shared" si="160"/>
        <v>10740</v>
      </c>
      <c r="J262" s="81"/>
      <c r="K262" s="81">
        <f t="shared" si="161"/>
        <v>10740</v>
      </c>
      <c r="L262" s="81"/>
      <c r="M262" s="81">
        <f t="shared" si="162"/>
        <v>10740</v>
      </c>
      <c r="N262" s="81"/>
      <c r="O262" s="81">
        <f t="shared" si="163"/>
        <v>10740</v>
      </c>
      <c r="P262" s="81"/>
      <c r="Q262" s="81">
        <f t="shared" si="164"/>
        <v>10740</v>
      </c>
      <c r="R262" s="81"/>
      <c r="S262" s="81">
        <f t="shared" si="165"/>
        <v>10740</v>
      </c>
      <c r="T262" s="81"/>
      <c r="U262" s="81">
        <f t="shared" si="166"/>
        <v>10740</v>
      </c>
      <c r="V262" s="81"/>
      <c r="W262" s="81">
        <f t="shared" si="167"/>
        <v>10740</v>
      </c>
      <c r="X262" s="81"/>
      <c r="Y262" s="81">
        <f t="shared" si="168"/>
        <v>10740</v>
      </c>
      <c r="Z262" s="81"/>
      <c r="AA262" s="81">
        <f t="shared" si="169"/>
        <v>10740</v>
      </c>
    </row>
    <row r="263" spans="1:27" s="24" customFormat="1" ht="21" customHeight="1">
      <c r="A263" s="67"/>
      <c r="B263" s="82"/>
      <c r="C263" s="86">
        <v>4270</v>
      </c>
      <c r="D263" s="38" t="s">
        <v>78</v>
      </c>
      <c r="E263" s="81">
        <v>2000</v>
      </c>
      <c r="F263" s="81"/>
      <c r="G263" s="81">
        <f t="shared" si="159"/>
        <v>2000</v>
      </c>
      <c r="H263" s="81"/>
      <c r="I263" s="81">
        <f t="shared" si="160"/>
        <v>2000</v>
      </c>
      <c r="J263" s="81"/>
      <c r="K263" s="81">
        <f t="shared" si="161"/>
        <v>2000</v>
      </c>
      <c r="L263" s="81"/>
      <c r="M263" s="81">
        <f t="shared" si="162"/>
        <v>2000</v>
      </c>
      <c r="N263" s="81"/>
      <c r="O263" s="81">
        <f t="shared" si="163"/>
        <v>2000</v>
      </c>
      <c r="P263" s="81"/>
      <c r="Q263" s="81">
        <f t="shared" si="164"/>
        <v>2000</v>
      </c>
      <c r="R263" s="81"/>
      <c r="S263" s="81">
        <f t="shared" si="165"/>
        <v>2000</v>
      </c>
      <c r="T263" s="81"/>
      <c r="U263" s="81">
        <f t="shared" si="166"/>
        <v>2000</v>
      </c>
      <c r="V263" s="81"/>
      <c r="W263" s="81">
        <f t="shared" si="167"/>
        <v>2000</v>
      </c>
      <c r="X263" s="81"/>
      <c r="Y263" s="81">
        <f t="shared" si="168"/>
        <v>2000</v>
      </c>
      <c r="Z263" s="81"/>
      <c r="AA263" s="81">
        <f t="shared" si="169"/>
        <v>2000</v>
      </c>
    </row>
    <row r="264" spans="1:27" s="24" customFormat="1" ht="21" customHeight="1">
      <c r="A264" s="67"/>
      <c r="B264" s="82"/>
      <c r="C264" s="86">
        <v>4280</v>
      </c>
      <c r="D264" s="38" t="s">
        <v>197</v>
      </c>
      <c r="E264" s="81">
        <v>600</v>
      </c>
      <c r="F264" s="81"/>
      <c r="G264" s="81">
        <f t="shared" si="159"/>
        <v>600</v>
      </c>
      <c r="H264" s="81"/>
      <c r="I264" s="81">
        <f t="shared" si="160"/>
        <v>600</v>
      </c>
      <c r="J264" s="81"/>
      <c r="K264" s="81">
        <f t="shared" si="161"/>
        <v>600</v>
      </c>
      <c r="L264" s="81"/>
      <c r="M264" s="81">
        <f t="shared" si="162"/>
        <v>600</v>
      </c>
      <c r="N264" s="81"/>
      <c r="O264" s="81">
        <f t="shared" si="163"/>
        <v>600</v>
      </c>
      <c r="P264" s="81"/>
      <c r="Q264" s="81">
        <f t="shared" si="164"/>
        <v>600</v>
      </c>
      <c r="R264" s="81"/>
      <c r="S264" s="81">
        <f t="shared" si="165"/>
        <v>600</v>
      </c>
      <c r="T264" s="81"/>
      <c r="U264" s="81">
        <f t="shared" si="166"/>
        <v>600</v>
      </c>
      <c r="V264" s="81"/>
      <c r="W264" s="81">
        <f t="shared" si="167"/>
        <v>600</v>
      </c>
      <c r="X264" s="81"/>
      <c r="Y264" s="81">
        <f t="shared" si="168"/>
        <v>600</v>
      </c>
      <c r="Z264" s="81"/>
      <c r="AA264" s="81">
        <f t="shared" si="169"/>
        <v>600</v>
      </c>
    </row>
    <row r="265" spans="1:27" s="24" customFormat="1" ht="21" customHeight="1">
      <c r="A265" s="67"/>
      <c r="B265" s="82"/>
      <c r="C265" s="86">
        <v>4300</v>
      </c>
      <c r="D265" s="38" t="s">
        <v>79</v>
      </c>
      <c r="E265" s="81">
        <v>2600</v>
      </c>
      <c r="F265" s="81"/>
      <c r="G265" s="81">
        <f t="shared" si="159"/>
        <v>2600</v>
      </c>
      <c r="H265" s="81"/>
      <c r="I265" s="81">
        <f t="shared" si="160"/>
        <v>2600</v>
      </c>
      <c r="J265" s="81"/>
      <c r="K265" s="81">
        <f t="shared" si="161"/>
        <v>2600</v>
      </c>
      <c r="L265" s="81"/>
      <c r="M265" s="81">
        <f t="shared" si="162"/>
        <v>2600</v>
      </c>
      <c r="N265" s="81"/>
      <c r="O265" s="81">
        <f t="shared" si="163"/>
        <v>2600</v>
      </c>
      <c r="P265" s="81"/>
      <c r="Q265" s="81">
        <f t="shared" si="164"/>
        <v>2600</v>
      </c>
      <c r="R265" s="81"/>
      <c r="S265" s="81">
        <f t="shared" si="165"/>
        <v>2600</v>
      </c>
      <c r="T265" s="81"/>
      <c r="U265" s="81">
        <f t="shared" si="166"/>
        <v>2600</v>
      </c>
      <c r="V265" s="81"/>
      <c r="W265" s="81">
        <f t="shared" si="167"/>
        <v>2600</v>
      </c>
      <c r="X265" s="81"/>
      <c r="Y265" s="81">
        <f t="shared" si="168"/>
        <v>2600</v>
      </c>
      <c r="Z265" s="81"/>
      <c r="AA265" s="81">
        <f t="shared" si="169"/>
        <v>2600</v>
      </c>
    </row>
    <row r="266" spans="1:27" s="24" customFormat="1" ht="49.5" customHeight="1">
      <c r="A266" s="67"/>
      <c r="B266" s="82"/>
      <c r="C266" s="86">
        <v>4370</v>
      </c>
      <c r="D266" s="38" t="s">
        <v>432</v>
      </c>
      <c r="E266" s="81">
        <v>2000</v>
      </c>
      <c r="F266" s="81"/>
      <c r="G266" s="81">
        <f t="shared" si="159"/>
        <v>2000</v>
      </c>
      <c r="H266" s="81"/>
      <c r="I266" s="81">
        <f t="shared" si="160"/>
        <v>2000</v>
      </c>
      <c r="J266" s="81"/>
      <c r="K266" s="81">
        <f t="shared" si="161"/>
        <v>2000</v>
      </c>
      <c r="L266" s="81"/>
      <c r="M266" s="81">
        <f t="shared" si="162"/>
        <v>2000</v>
      </c>
      <c r="N266" s="81"/>
      <c r="O266" s="81">
        <f t="shared" si="163"/>
        <v>2000</v>
      </c>
      <c r="P266" s="81"/>
      <c r="Q266" s="81">
        <f t="shared" si="164"/>
        <v>2000</v>
      </c>
      <c r="R266" s="81"/>
      <c r="S266" s="81">
        <f t="shared" si="165"/>
        <v>2000</v>
      </c>
      <c r="T266" s="81"/>
      <c r="U266" s="81">
        <f t="shared" si="166"/>
        <v>2000</v>
      </c>
      <c r="V266" s="81"/>
      <c r="W266" s="81">
        <f t="shared" si="167"/>
        <v>2000</v>
      </c>
      <c r="X266" s="81"/>
      <c r="Y266" s="81">
        <f t="shared" si="168"/>
        <v>2000</v>
      </c>
      <c r="Z266" s="81"/>
      <c r="AA266" s="81">
        <f t="shared" si="169"/>
        <v>2000</v>
      </c>
    </row>
    <row r="267" spans="1:27" s="24" customFormat="1" ht="27.75" customHeight="1">
      <c r="A267" s="67"/>
      <c r="B267" s="82"/>
      <c r="C267" s="86">
        <v>4390</v>
      </c>
      <c r="D267" s="38" t="s">
        <v>255</v>
      </c>
      <c r="E267" s="81">
        <v>1000</v>
      </c>
      <c r="F267" s="81"/>
      <c r="G267" s="81">
        <f t="shared" si="159"/>
        <v>1000</v>
      </c>
      <c r="H267" s="81"/>
      <c r="I267" s="81">
        <f t="shared" si="160"/>
        <v>1000</v>
      </c>
      <c r="J267" s="81"/>
      <c r="K267" s="81">
        <f t="shared" si="161"/>
        <v>1000</v>
      </c>
      <c r="L267" s="81"/>
      <c r="M267" s="81">
        <f t="shared" si="162"/>
        <v>1000</v>
      </c>
      <c r="N267" s="81"/>
      <c r="O267" s="81">
        <f t="shared" si="163"/>
        <v>1000</v>
      </c>
      <c r="P267" s="81"/>
      <c r="Q267" s="81">
        <f t="shared" si="164"/>
        <v>1000</v>
      </c>
      <c r="R267" s="81"/>
      <c r="S267" s="81">
        <f t="shared" si="165"/>
        <v>1000</v>
      </c>
      <c r="T267" s="81"/>
      <c r="U267" s="81">
        <f t="shared" si="166"/>
        <v>1000</v>
      </c>
      <c r="V267" s="81"/>
      <c r="W267" s="81">
        <f t="shared" si="167"/>
        <v>1000</v>
      </c>
      <c r="X267" s="81"/>
      <c r="Y267" s="81">
        <f t="shared" si="168"/>
        <v>1000</v>
      </c>
      <c r="Z267" s="81"/>
      <c r="AA267" s="81">
        <f t="shared" si="169"/>
        <v>1000</v>
      </c>
    </row>
    <row r="268" spans="1:27" s="24" customFormat="1" ht="27.75" customHeight="1">
      <c r="A268" s="67"/>
      <c r="B268" s="82"/>
      <c r="C268" s="86">
        <v>4440</v>
      </c>
      <c r="D268" s="38" t="s">
        <v>114</v>
      </c>
      <c r="E268" s="81">
        <v>25226</v>
      </c>
      <c r="F268" s="81"/>
      <c r="G268" s="81">
        <f t="shared" si="159"/>
        <v>25226</v>
      </c>
      <c r="H268" s="81"/>
      <c r="I268" s="81">
        <f t="shared" si="160"/>
        <v>25226</v>
      </c>
      <c r="J268" s="81"/>
      <c r="K268" s="81">
        <f t="shared" si="161"/>
        <v>25226</v>
      </c>
      <c r="L268" s="81"/>
      <c r="M268" s="81">
        <f t="shared" si="162"/>
        <v>25226</v>
      </c>
      <c r="N268" s="81"/>
      <c r="O268" s="81">
        <f t="shared" si="163"/>
        <v>25226</v>
      </c>
      <c r="P268" s="81"/>
      <c r="Q268" s="81">
        <f t="shared" si="164"/>
        <v>25226</v>
      </c>
      <c r="R268" s="81"/>
      <c r="S268" s="81">
        <f t="shared" si="165"/>
        <v>25226</v>
      </c>
      <c r="T268" s="81"/>
      <c r="U268" s="81">
        <f t="shared" si="166"/>
        <v>25226</v>
      </c>
      <c r="V268" s="81"/>
      <c r="W268" s="81">
        <f t="shared" si="167"/>
        <v>25226</v>
      </c>
      <c r="X268" s="81"/>
      <c r="Y268" s="81">
        <f t="shared" si="168"/>
        <v>25226</v>
      </c>
      <c r="Z268" s="81"/>
      <c r="AA268" s="81">
        <f t="shared" si="169"/>
        <v>25226</v>
      </c>
    </row>
    <row r="269" spans="1:27" s="24" customFormat="1" ht="27" customHeight="1">
      <c r="A269" s="67"/>
      <c r="B269" s="82"/>
      <c r="C269" s="86">
        <v>4740</v>
      </c>
      <c r="D269" s="38" t="s">
        <v>267</v>
      </c>
      <c r="E269" s="81">
        <v>200</v>
      </c>
      <c r="F269" s="81"/>
      <c r="G269" s="81">
        <f t="shared" si="159"/>
        <v>200</v>
      </c>
      <c r="H269" s="81"/>
      <c r="I269" s="81">
        <f t="shared" si="160"/>
        <v>200</v>
      </c>
      <c r="J269" s="81"/>
      <c r="K269" s="81">
        <f t="shared" si="161"/>
        <v>200</v>
      </c>
      <c r="L269" s="81"/>
      <c r="M269" s="81">
        <f t="shared" si="162"/>
        <v>200</v>
      </c>
      <c r="N269" s="81"/>
      <c r="O269" s="81">
        <f t="shared" si="163"/>
        <v>200</v>
      </c>
      <c r="P269" s="81"/>
      <c r="Q269" s="81">
        <f t="shared" si="164"/>
        <v>200</v>
      </c>
      <c r="R269" s="81"/>
      <c r="S269" s="81">
        <f t="shared" si="165"/>
        <v>200</v>
      </c>
      <c r="T269" s="81"/>
      <c r="U269" s="81">
        <f t="shared" si="166"/>
        <v>200</v>
      </c>
      <c r="V269" s="81"/>
      <c r="W269" s="81">
        <f t="shared" si="167"/>
        <v>200</v>
      </c>
      <c r="X269" s="81"/>
      <c r="Y269" s="81">
        <f t="shared" si="168"/>
        <v>200</v>
      </c>
      <c r="Z269" s="81"/>
      <c r="AA269" s="81">
        <f t="shared" si="169"/>
        <v>200</v>
      </c>
    </row>
    <row r="270" spans="1:27" s="24" customFormat="1" ht="21" customHeight="1">
      <c r="A270" s="88"/>
      <c r="B270" s="82" t="s">
        <v>113</v>
      </c>
      <c r="C270" s="86"/>
      <c r="D270" s="38" t="s">
        <v>124</v>
      </c>
      <c r="E270" s="81">
        <f aca="true" t="shared" si="170" ref="E270:J270">SUM(E272:E274)</f>
        <v>3712917</v>
      </c>
      <c r="F270" s="81">
        <f t="shared" si="170"/>
        <v>40000</v>
      </c>
      <c r="G270" s="81">
        <f t="shared" si="170"/>
        <v>3752917</v>
      </c>
      <c r="H270" s="81">
        <f t="shared" si="170"/>
        <v>0</v>
      </c>
      <c r="I270" s="81">
        <f t="shared" si="170"/>
        <v>3752917</v>
      </c>
      <c r="J270" s="81">
        <f t="shared" si="170"/>
        <v>0</v>
      </c>
      <c r="K270" s="81">
        <f aca="true" t="shared" si="171" ref="K270:W270">SUM(K271:K274)</f>
        <v>3752917</v>
      </c>
      <c r="L270" s="81">
        <f t="shared" si="171"/>
        <v>7860</v>
      </c>
      <c r="M270" s="81">
        <f t="shared" si="171"/>
        <v>3760777</v>
      </c>
      <c r="N270" s="81">
        <f t="shared" si="171"/>
        <v>0</v>
      </c>
      <c r="O270" s="81">
        <f t="shared" si="171"/>
        <v>3760777</v>
      </c>
      <c r="P270" s="81">
        <f t="shared" si="171"/>
        <v>0</v>
      </c>
      <c r="Q270" s="81">
        <f t="shared" si="171"/>
        <v>3760777</v>
      </c>
      <c r="R270" s="81">
        <f t="shared" si="171"/>
        <v>0</v>
      </c>
      <c r="S270" s="81">
        <f t="shared" si="171"/>
        <v>3760777</v>
      </c>
      <c r="T270" s="81">
        <f t="shared" si="171"/>
        <v>0</v>
      </c>
      <c r="U270" s="81">
        <f t="shared" si="171"/>
        <v>3760777</v>
      </c>
      <c r="V270" s="81">
        <f t="shared" si="171"/>
        <v>0</v>
      </c>
      <c r="W270" s="81">
        <f t="shared" si="171"/>
        <v>3760777</v>
      </c>
      <c r="X270" s="81">
        <f>SUM(X271:X274)</f>
        <v>0</v>
      </c>
      <c r="Y270" s="81">
        <f>SUM(Y271:Y274)</f>
        <v>3760777</v>
      </c>
      <c r="Z270" s="81">
        <f>SUM(Z271:Z274)</f>
        <v>0</v>
      </c>
      <c r="AA270" s="81">
        <f>SUM(AA271:AA274)</f>
        <v>3760777</v>
      </c>
    </row>
    <row r="271" spans="1:27" s="24" customFormat="1" ht="54" customHeight="1">
      <c r="A271" s="88"/>
      <c r="B271" s="82"/>
      <c r="C271" s="86">
        <v>2310</v>
      </c>
      <c r="D271" s="38" t="s">
        <v>386</v>
      </c>
      <c r="E271" s="81"/>
      <c r="F271" s="81"/>
      <c r="G271" s="81"/>
      <c r="H271" s="81"/>
      <c r="I271" s="81"/>
      <c r="J271" s="81"/>
      <c r="K271" s="81">
        <v>0</v>
      </c>
      <c r="L271" s="81">
        <v>7860</v>
      </c>
      <c r="M271" s="81">
        <f>SUM(K271:L271)</f>
        <v>7860</v>
      </c>
      <c r="N271" s="81"/>
      <c r="O271" s="81">
        <f>SUM(M271:N271)</f>
        <v>7860</v>
      </c>
      <c r="P271" s="81"/>
      <c r="Q271" s="81">
        <f>SUM(O271:P271)</f>
        <v>7860</v>
      </c>
      <c r="R271" s="81"/>
      <c r="S271" s="81">
        <f>SUM(Q271:R271)</f>
        <v>7860</v>
      </c>
      <c r="T271" s="81"/>
      <c r="U271" s="81">
        <f>SUM(S271:T271)</f>
        <v>7860</v>
      </c>
      <c r="V271" s="81"/>
      <c r="W271" s="81">
        <f>SUM(U271:V271)</f>
        <v>7860</v>
      </c>
      <c r="X271" s="81"/>
      <c r="Y271" s="81">
        <f>SUM(W271:X271)</f>
        <v>7860</v>
      </c>
      <c r="Z271" s="81"/>
      <c r="AA271" s="81">
        <f>SUM(Y271:Z271)</f>
        <v>7860</v>
      </c>
    </row>
    <row r="272" spans="1:27" s="24" customFormat="1" ht="27" customHeight="1">
      <c r="A272" s="88"/>
      <c r="B272" s="82"/>
      <c r="C272" s="86">
        <v>2510</v>
      </c>
      <c r="D272" s="38" t="s">
        <v>125</v>
      </c>
      <c r="E272" s="81">
        <v>3632917</v>
      </c>
      <c r="F272" s="81"/>
      <c r="G272" s="81">
        <f>SUM(E272:F272)</f>
        <v>3632917</v>
      </c>
      <c r="H272" s="81"/>
      <c r="I272" s="81">
        <f>SUM(G272:H272)</f>
        <v>3632917</v>
      </c>
      <c r="J272" s="81"/>
      <c r="K272" s="81">
        <f>SUM(I272:J272)</f>
        <v>3632917</v>
      </c>
      <c r="L272" s="81"/>
      <c r="M272" s="81">
        <f>SUM(K272:L272)</f>
        <v>3632917</v>
      </c>
      <c r="N272" s="81"/>
      <c r="O272" s="81">
        <f>SUM(M272:N272)</f>
        <v>3632917</v>
      </c>
      <c r="P272" s="81"/>
      <c r="Q272" s="81">
        <f>SUM(O272:P272)</f>
        <v>3632917</v>
      </c>
      <c r="R272" s="81"/>
      <c r="S272" s="81">
        <f>SUM(Q272:R272)</f>
        <v>3632917</v>
      </c>
      <c r="T272" s="81"/>
      <c r="U272" s="81">
        <f>SUM(S272:T272)</f>
        <v>3632917</v>
      </c>
      <c r="V272" s="81"/>
      <c r="W272" s="81">
        <f>SUM(U272:V272)</f>
        <v>3632917</v>
      </c>
      <c r="X272" s="81"/>
      <c r="Y272" s="81">
        <f>SUM(W272:X272)</f>
        <v>3632917</v>
      </c>
      <c r="Z272" s="81"/>
      <c r="AA272" s="81">
        <f>SUM(Y272:Z272)</f>
        <v>3632917</v>
      </c>
    </row>
    <row r="273" spans="1:30" s="24" customFormat="1" ht="18.75" customHeight="1">
      <c r="A273" s="88"/>
      <c r="B273" s="82"/>
      <c r="C273" s="86">
        <v>4170</v>
      </c>
      <c r="D273" s="38" t="s">
        <v>190</v>
      </c>
      <c r="E273" s="81"/>
      <c r="F273" s="81"/>
      <c r="G273" s="81"/>
      <c r="H273" s="81"/>
      <c r="I273" s="81"/>
      <c r="J273" s="81"/>
      <c r="K273" s="81">
        <v>0</v>
      </c>
      <c r="L273" s="81">
        <v>1000</v>
      </c>
      <c r="M273" s="81">
        <f>SUM(K273:L273)</f>
        <v>1000</v>
      </c>
      <c r="N273" s="81"/>
      <c r="O273" s="81">
        <f>SUM(M273:N273)</f>
        <v>1000</v>
      </c>
      <c r="P273" s="81"/>
      <c r="Q273" s="81">
        <f>SUM(O273:P273)</f>
        <v>1000</v>
      </c>
      <c r="R273" s="81"/>
      <c r="S273" s="81">
        <f>SUM(Q273:R273)</f>
        <v>1000</v>
      </c>
      <c r="T273" s="81"/>
      <c r="U273" s="81">
        <f>SUM(S273:T273)</f>
        <v>1000</v>
      </c>
      <c r="V273" s="81"/>
      <c r="W273" s="81">
        <f>SUM(U273:V273)</f>
        <v>1000</v>
      </c>
      <c r="X273" s="81"/>
      <c r="Y273" s="81">
        <f>SUM(W273:X273)</f>
        <v>1000</v>
      </c>
      <c r="Z273" s="81"/>
      <c r="AA273" s="81">
        <f>SUM(Y273:Z273)</f>
        <v>1000</v>
      </c>
      <c r="AB273" s="119"/>
      <c r="AC273" s="119"/>
      <c r="AD273" s="119"/>
    </row>
    <row r="274" spans="1:27" s="24" customFormat="1" ht="21" customHeight="1">
      <c r="A274" s="88"/>
      <c r="B274" s="82"/>
      <c r="C274" s="86">
        <v>4270</v>
      </c>
      <c r="D274" s="38" t="s">
        <v>78</v>
      </c>
      <c r="E274" s="81">
        <v>80000</v>
      </c>
      <c r="F274" s="81">
        <v>40000</v>
      </c>
      <c r="G274" s="81">
        <f>SUM(E274:F274)</f>
        <v>120000</v>
      </c>
      <c r="H274" s="81"/>
      <c r="I274" s="81">
        <f>SUM(G274:H274)</f>
        <v>120000</v>
      </c>
      <c r="J274" s="81"/>
      <c r="K274" s="81">
        <f>SUM(I274:J274)</f>
        <v>120000</v>
      </c>
      <c r="L274" s="81">
        <v>-1000</v>
      </c>
      <c r="M274" s="81">
        <f>SUM(K274:L274)</f>
        <v>119000</v>
      </c>
      <c r="N274" s="81"/>
      <c r="O274" s="81">
        <f>SUM(M274:N274)</f>
        <v>119000</v>
      </c>
      <c r="P274" s="81"/>
      <c r="Q274" s="81">
        <f>SUM(O274:P274)</f>
        <v>119000</v>
      </c>
      <c r="R274" s="81"/>
      <c r="S274" s="81">
        <f>SUM(Q274:R274)</f>
        <v>119000</v>
      </c>
      <c r="T274" s="81"/>
      <c r="U274" s="81">
        <f>SUM(S274:T274)</f>
        <v>119000</v>
      </c>
      <c r="V274" s="81"/>
      <c r="W274" s="81">
        <f>SUM(U274:V274)</f>
        <v>119000</v>
      </c>
      <c r="X274" s="81"/>
      <c r="Y274" s="81">
        <f>SUM(W274:X274)</f>
        <v>119000</v>
      </c>
      <c r="Z274" s="81"/>
      <c r="AA274" s="81">
        <f>SUM(Y274:Z274)</f>
        <v>119000</v>
      </c>
    </row>
    <row r="275" spans="1:27" s="24" customFormat="1" ht="21" customHeight="1">
      <c r="A275" s="88"/>
      <c r="B275" s="82" t="s">
        <v>115</v>
      </c>
      <c r="C275" s="86"/>
      <c r="D275" s="38" t="s">
        <v>52</v>
      </c>
      <c r="E275" s="81">
        <f aca="true" t="shared" si="172" ref="E275:W275">SUM(E276:E299)</f>
        <v>11879369</v>
      </c>
      <c r="F275" s="81">
        <f t="shared" si="172"/>
        <v>-791184</v>
      </c>
      <c r="G275" s="81">
        <f t="shared" si="172"/>
        <v>11088185</v>
      </c>
      <c r="H275" s="81">
        <f t="shared" si="172"/>
        <v>0</v>
      </c>
      <c r="I275" s="81">
        <f t="shared" si="172"/>
        <v>11088185</v>
      </c>
      <c r="J275" s="81">
        <f t="shared" si="172"/>
        <v>0</v>
      </c>
      <c r="K275" s="81">
        <f t="shared" si="172"/>
        <v>11088185</v>
      </c>
      <c r="L275" s="81">
        <f t="shared" si="172"/>
        <v>29100</v>
      </c>
      <c r="M275" s="81">
        <f t="shared" si="172"/>
        <v>11117285</v>
      </c>
      <c r="N275" s="81">
        <f t="shared" si="172"/>
        <v>0</v>
      </c>
      <c r="O275" s="81">
        <f t="shared" si="172"/>
        <v>11117285</v>
      </c>
      <c r="P275" s="81">
        <f t="shared" si="172"/>
        <v>0</v>
      </c>
      <c r="Q275" s="81">
        <f t="shared" si="172"/>
        <v>11117285</v>
      </c>
      <c r="R275" s="81">
        <f t="shared" si="172"/>
        <v>87400</v>
      </c>
      <c r="S275" s="81">
        <f t="shared" si="172"/>
        <v>11204685</v>
      </c>
      <c r="T275" s="81">
        <f t="shared" si="172"/>
        <v>0</v>
      </c>
      <c r="U275" s="81">
        <f t="shared" si="172"/>
        <v>11204685</v>
      </c>
      <c r="V275" s="81">
        <f t="shared" si="172"/>
        <v>0</v>
      </c>
      <c r="W275" s="81">
        <f t="shared" si="172"/>
        <v>11204685</v>
      </c>
      <c r="X275" s="81">
        <f>SUM(X276:X299)</f>
        <v>0</v>
      </c>
      <c r="Y275" s="81">
        <f>SUM(Y276:Y299)</f>
        <v>11204685</v>
      </c>
      <c r="Z275" s="81">
        <f>SUM(Z276:Z299)</f>
        <v>0</v>
      </c>
      <c r="AA275" s="81">
        <f>SUM(AA276:AA299)</f>
        <v>11204685</v>
      </c>
    </row>
    <row r="276" spans="1:27" s="24" customFormat="1" ht="56.25">
      <c r="A276" s="88"/>
      <c r="B276" s="82"/>
      <c r="C276" s="86">
        <v>2590</v>
      </c>
      <c r="D276" s="38" t="s">
        <v>254</v>
      </c>
      <c r="E276" s="81">
        <v>263533</v>
      </c>
      <c r="F276" s="81"/>
      <c r="G276" s="81">
        <f>SUM(E276:F276)</f>
        <v>263533</v>
      </c>
      <c r="H276" s="81"/>
      <c r="I276" s="81">
        <f>SUM(G276:H276)</f>
        <v>263533</v>
      </c>
      <c r="J276" s="81"/>
      <c r="K276" s="81">
        <f>SUM(I276:J276)</f>
        <v>263533</v>
      </c>
      <c r="L276" s="81"/>
      <c r="M276" s="81">
        <f>SUM(K276:L276)</f>
        <v>263533</v>
      </c>
      <c r="N276" s="81"/>
      <c r="O276" s="81">
        <f>SUM(M276:N276)</f>
        <v>263533</v>
      </c>
      <c r="P276" s="81"/>
      <c r="Q276" s="81">
        <f>SUM(O276:P276)</f>
        <v>263533</v>
      </c>
      <c r="R276" s="81"/>
      <c r="S276" s="81">
        <f>SUM(Q276:R276)</f>
        <v>263533</v>
      </c>
      <c r="T276" s="81"/>
      <c r="U276" s="81">
        <f>SUM(S276:T276)</f>
        <v>263533</v>
      </c>
      <c r="V276" s="81"/>
      <c r="W276" s="81">
        <f>SUM(U276:V276)</f>
        <v>263533</v>
      </c>
      <c r="X276" s="81"/>
      <c r="Y276" s="81">
        <f>SUM(W276:X276)</f>
        <v>263533</v>
      </c>
      <c r="Z276" s="81"/>
      <c r="AA276" s="81">
        <f>SUM(Y276:Z276)</f>
        <v>263533</v>
      </c>
    </row>
    <row r="277" spans="1:27" s="24" customFormat="1" ht="22.5">
      <c r="A277" s="67"/>
      <c r="B277" s="82"/>
      <c r="C277" s="86">
        <v>3020</v>
      </c>
      <c r="D277" s="38" t="s">
        <v>188</v>
      </c>
      <c r="E277" s="81">
        <v>60743</v>
      </c>
      <c r="F277" s="81"/>
      <c r="G277" s="81">
        <f aca="true" t="shared" si="173" ref="G277:G299">SUM(E277:F277)</f>
        <v>60743</v>
      </c>
      <c r="H277" s="81"/>
      <c r="I277" s="81">
        <f aca="true" t="shared" si="174" ref="I277:I299">SUM(G277:H277)</f>
        <v>60743</v>
      </c>
      <c r="J277" s="81"/>
      <c r="K277" s="81">
        <f aca="true" t="shared" si="175" ref="K277:K299">SUM(I277:J277)</f>
        <v>60743</v>
      </c>
      <c r="L277" s="81"/>
      <c r="M277" s="81">
        <f aca="true" t="shared" si="176" ref="M277:M299">SUM(K277:L277)</f>
        <v>60743</v>
      </c>
      <c r="N277" s="81"/>
      <c r="O277" s="81">
        <f aca="true" t="shared" si="177" ref="O277:O299">SUM(M277:N277)</f>
        <v>60743</v>
      </c>
      <c r="P277" s="81"/>
      <c r="Q277" s="81">
        <f aca="true" t="shared" si="178" ref="Q277:Q299">SUM(O277:P277)</f>
        <v>60743</v>
      </c>
      <c r="R277" s="81"/>
      <c r="S277" s="81">
        <f aca="true" t="shared" si="179" ref="S277:S299">SUM(Q277:R277)</f>
        <v>60743</v>
      </c>
      <c r="T277" s="81">
        <v>-8000</v>
      </c>
      <c r="U277" s="81">
        <f aca="true" t="shared" si="180" ref="U277:U299">SUM(S277:T277)</f>
        <v>52743</v>
      </c>
      <c r="V277" s="81"/>
      <c r="W277" s="81">
        <f aca="true" t="shared" si="181" ref="W277:W299">SUM(U277:V277)</f>
        <v>52743</v>
      </c>
      <c r="X277" s="81"/>
      <c r="Y277" s="81">
        <f aca="true" t="shared" si="182" ref="Y277:Y299">SUM(W277:X277)</f>
        <v>52743</v>
      </c>
      <c r="Z277" s="81"/>
      <c r="AA277" s="81">
        <f aca="true" t="shared" si="183" ref="AA277:AA299">SUM(Y277:Z277)</f>
        <v>52743</v>
      </c>
    </row>
    <row r="278" spans="1:30" s="24" customFormat="1" ht="21" customHeight="1">
      <c r="A278" s="67"/>
      <c r="B278" s="82"/>
      <c r="C278" s="86">
        <v>4010</v>
      </c>
      <c r="D278" s="38" t="s">
        <v>84</v>
      </c>
      <c r="E278" s="81">
        <v>3653633</v>
      </c>
      <c r="F278" s="81"/>
      <c r="G278" s="81">
        <f t="shared" si="173"/>
        <v>3653633</v>
      </c>
      <c r="H278" s="81"/>
      <c r="I278" s="81">
        <f t="shared" si="174"/>
        <v>3653633</v>
      </c>
      <c r="J278" s="81"/>
      <c r="K278" s="81">
        <f t="shared" si="175"/>
        <v>3653633</v>
      </c>
      <c r="L278" s="81">
        <v>10212</v>
      </c>
      <c r="M278" s="81">
        <f t="shared" si="176"/>
        <v>3663845</v>
      </c>
      <c r="N278" s="81"/>
      <c r="O278" s="81">
        <f t="shared" si="177"/>
        <v>3663845</v>
      </c>
      <c r="P278" s="81"/>
      <c r="Q278" s="81">
        <f t="shared" si="178"/>
        <v>3663845</v>
      </c>
      <c r="R278" s="81"/>
      <c r="S278" s="81">
        <f t="shared" si="179"/>
        <v>3663845</v>
      </c>
      <c r="T278" s="81"/>
      <c r="U278" s="81">
        <f t="shared" si="180"/>
        <v>3663845</v>
      </c>
      <c r="V278" s="81"/>
      <c r="W278" s="81">
        <f t="shared" si="181"/>
        <v>3663845</v>
      </c>
      <c r="X278" s="81"/>
      <c r="Y278" s="81">
        <f t="shared" si="182"/>
        <v>3663845</v>
      </c>
      <c r="Z278" s="81"/>
      <c r="AA278" s="81">
        <f t="shared" si="183"/>
        <v>3663845</v>
      </c>
      <c r="AB278" s="119"/>
      <c r="AC278" s="119"/>
      <c r="AD278" s="119"/>
    </row>
    <row r="279" spans="1:30" s="24" customFormat="1" ht="21" customHeight="1">
      <c r="A279" s="67"/>
      <c r="B279" s="82"/>
      <c r="C279" s="86">
        <v>4040</v>
      </c>
      <c r="D279" s="38" t="s">
        <v>85</v>
      </c>
      <c r="E279" s="81">
        <v>299409</v>
      </c>
      <c r="F279" s="81"/>
      <c r="G279" s="81">
        <f t="shared" si="173"/>
        <v>299409</v>
      </c>
      <c r="H279" s="81"/>
      <c r="I279" s="81">
        <f t="shared" si="174"/>
        <v>299409</v>
      </c>
      <c r="J279" s="81"/>
      <c r="K279" s="81">
        <f t="shared" si="175"/>
        <v>299409</v>
      </c>
      <c r="L279" s="81">
        <v>-10212</v>
      </c>
      <c r="M279" s="81">
        <f t="shared" si="176"/>
        <v>289197</v>
      </c>
      <c r="N279" s="81"/>
      <c r="O279" s="81">
        <f t="shared" si="177"/>
        <v>289197</v>
      </c>
      <c r="P279" s="81"/>
      <c r="Q279" s="81">
        <f t="shared" si="178"/>
        <v>289197</v>
      </c>
      <c r="R279" s="81"/>
      <c r="S279" s="81">
        <f t="shared" si="179"/>
        <v>289197</v>
      </c>
      <c r="T279" s="81"/>
      <c r="U279" s="81">
        <f t="shared" si="180"/>
        <v>289197</v>
      </c>
      <c r="V279" s="81"/>
      <c r="W279" s="81">
        <f t="shared" si="181"/>
        <v>289197</v>
      </c>
      <c r="X279" s="81"/>
      <c r="Y279" s="81">
        <f t="shared" si="182"/>
        <v>289197</v>
      </c>
      <c r="Z279" s="81"/>
      <c r="AA279" s="81">
        <f t="shared" si="183"/>
        <v>289197</v>
      </c>
      <c r="AB279" s="119"/>
      <c r="AC279" s="119"/>
      <c r="AD279" s="119"/>
    </row>
    <row r="280" spans="1:30" s="24" customFormat="1" ht="21" customHeight="1">
      <c r="A280" s="67"/>
      <c r="B280" s="82"/>
      <c r="C280" s="86">
        <v>4110</v>
      </c>
      <c r="D280" s="38" t="s">
        <v>86</v>
      </c>
      <c r="E280" s="81">
        <v>585888</v>
      </c>
      <c r="F280" s="81"/>
      <c r="G280" s="81">
        <f t="shared" si="173"/>
        <v>585888</v>
      </c>
      <c r="H280" s="81"/>
      <c r="I280" s="81">
        <f t="shared" si="174"/>
        <v>585888</v>
      </c>
      <c r="J280" s="81"/>
      <c r="K280" s="81">
        <f t="shared" si="175"/>
        <v>585888</v>
      </c>
      <c r="L280" s="81"/>
      <c r="M280" s="81">
        <f t="shared" si="176"/>
        <v>585888</v>
      </c>
      <c r="N280" s="81"/>
      <c r="O280" s="81">
        <f t="shared" si="177"/>
        <v>585888</v>
      </c>
      <c r="P280" s="81"/>
      <c r="Q280" s="81">
        <f t="shared" si="178"/>
        <v>585888</v>
      </c>
      <c r="R280" s="81"/>
      <c r="S280" s="81">
        <f t="shared" si="179"/>
        <v>585888</v>
      </c>
      <c r="T280" s="81"/>
      <c r="U280" s="81">
        <f t="shared" si="180"/>
        <v>585888</v>
      </c>
      <c r="V280" s="81"/>
      <c r="W280" s="81">
        <f t="shared" si="181"/>
        <v>585888</v>
      </c>
      <c r="X280" s="81"/>
      <c r="Y280" s="81">
        <f t="shared" si="182"/>
        <v>585888</v>
      </c>
      <c r="Z280" s="81"/>
      <c r="AA280" s="81">
        <f t="shared" si="183"/>
        <v>585888</v>
      </c>
      <c r="AB280" s="119"/>
      <c r="AC280" s="119"/>
      <c r="AD280" s="119"/>
    </row>
    <row r="281" spans="1:30" s="24" customFormat="1" ht="21" customHeight="1">
      <c r="A281" s="67"/>
      <c r="B281" s="82"/>
      <c r="C281" s="86">
        <v>4120</v>
      </c>
      <c r="D281" s="38" t="s">
        <v>87</v>
      </c>
      <c r="E281" s="81">
        <v>99409</v>
      </c>
      <c r="F281" s="81"/>
      <c r="G281" s="81">
        <f t="shared" si="173"/>
        <v>99409</v>
      </c>
      <c r="H281" s="81"/>
      <c r="I281" s="81">
        <f t="shared" si="174"/>
        <v>99409</v>
      </c>
      <c r="J281" s="81"/>
      <c r="K281" s="81">
        <f t="shared" si="175"/>
        <v>99409</v>
      </c>
      <c r="L281" s="81"/>
      <c r="M281" s="81">
        <f t="shared" si="176"/>
        <v>99409</v>
      </c>
      <c r="N281" s="81"/>
      <c r="O281" s="81">
        <f t="shared" si="177"/>
        <v>99409</v>
      </c>
      <c r="P281" s="81"/>
      <c r="Q281" s="81">
        <f t="shared" si="178"/>
        <v>99409</v>
      </c>
      <c r="R281" s="81"/>
      <c r="S281" s="81">
        <f t="shared" si="179"/>
        <v>99409</v>
      </c>
      <c r="T281" s="81"/>
      <c r="U281" s="81">
        <f t="shared" si="180"/>
        <v>99409</v>
      </c>
      <c r="V281" s="81"/>
      <c r="W281" s="81">
        <f t="shared" si="181"/>
        <v>99409</v>
      </c>
      <c r="X281" s="81"/>
      <c r="Y281" s="81">
        <f t="shared" si="182"/>
        <v>99409</v>
      </c>
      <c r="Z281" s="81"/>
      <c r="AA281" s="81">
        <f t="shared" si="183"/>
        <v>99409</v>
      </c>
      <c r="AB281" s="119"/>
      <c r="AC281" s="119"/>
      <c r="AD281" s="119"/>
    </row>
    <row r="282" spans="1:30" s="24" customFormat="1" ht="21" customHeight="1">
      <c r="A282" s="67"/>
      <c r="B282" s="82"/>
      <c r="C282" s="86">
        <v>4170</v>
      </c>
      <c r="D282" s="38" t="s">
        <v>190</v>
      </c>
      <c r="E282" s="81">
        <v>12900</v>
      </c>
      <c r="F282" s="81"/>
      <c r="G282" s="81">
        <f t="shared" si="173"/>
        <v>12900</v>
      </c>
      <c r="H282" s="81"/>
      <c r="I282" s="81">
        <f t="shared" si="174"/>
        <v>12900</v>
      </c>
      <c r="J282" s="81"/>
      <c r="K282" s="81">
        <f t="shared" si="175"/>
        <v>12900</v>
      </c>
      <c r="L282" s="81">
        <v>3500</v>
      </c>
      <c r="M282" s="81">
        <f t="shared" si="176"/>
        <v>16400</v>
      </c>
      <c r="N282" s="81"/>
      <c r="O282" s="81">
        <f t="shared" si="177"/>
        <v>16400</v>
      </c>
      <c r="P282" s="81"/>
      <c r="Q282" s="81">
        <f t="shared" si="178"/>
        <v>16400</v>
      </c>
      <c r="R282" s="81"/>
      <c r="S282" s="81">
        <f t="shared" si="179"/>
        <v>16400</v>
      </c>
      <c r="T282" s="81"/>
      <c r="U282" s="81">
        <f t="shared" si="180"/>
        <v>16400</v>
      </c>
      <c r="V282" s="81"/>
      <c r="W282" s="81">
        <f t="shared" si="181"/>
        <v>16400</v>
      </c>
      <c r="X282" s="81"/>
      <c r="Y282" s="81">
        <f t="shared" si="182"/>
        <v>16400</v>
      </c>
      <c r="Z282" s="81"/>
      <c r="AA282" s="81">
        <f t="shared" si="183"/>
        <v>16400</v>
      </c>
      <c r="AB282" s="119"/>
      <c r="AC282" s="119"/>
      <c r="AD282" s="119"/>
    </row>
    <row r="283" spans="1:27" s="24" customFormat="1" ht="21" customHeight="1">
      <c r="A283" s="67"/>
      <c r="B283" s="82"/>
      <c r="C283" s="86">
        <v>4210</v>
      </c>
      <c r="D283" s="38" t="s">
        <v>92</v>
      </c>
      <c r="E283" s="81">
        <f>169800+500</f>
        <v>170300</v>
      </c>
      <c r="F283" s="81"/>
      <c r="G283" s="81">
        <f t="shared" si="173"/>
        <v>170300</v>
      </c>
      <c r="H283" s="81"/>
      <c r="I283" s="81">
        <f t="shared" si="174"/>
        <v>170300</v>
      </c>
      <c r="J283" s="81"/>
      <c r="K283" s="81">
        <f t="shared" si="175"/>
        <v>170300</v>
      </c>
      <c r="L283" s="81">
        <f>300+300</f>
        <v>600</v>
      </c>
      <c r="M283" s="81">
        <f t="shared" si="176"/>
        <v>170900</v>
      </c>
      <c r="N283" s="81"/>
      <c r="O283" s="81">
        <f t="shared" si="177"/>
        <v>170900</v>
      </c>
      <c r="P283" s="81"/>
      <c r="Q283" s="81">
        <f t="shared" si="178"/>
        <v>170900</v>
      </c>
      <c r="R283" s="81"/>
      <c r="S283" s="81">
        <f t="shared" si="179"/>
        <v>170900</v>
      </c>
      <c r="T283" s="81">
        <v>-1000</v>
      </c>
      <c r="U283" s="81">
        <f t="shared" si="180"/>
        <v>169900</v>
      </c>
      <c r="V283" s="81"/>
      <c r="W283" s="81">
        <f t="shared" si="181"/>
        <v>169900</v>
      </c>
      <c r="X283" s="81"/>
      <c r="Y283" s="81">
        <f t="shared" si="182"/>
        <v>169900</v>
      </c>
      <c r="Z283" s="81"/>
      <c r="AA283" s="81">
        <f t="shared" si="183"/>
        <v>169900</v>
      </c>
    </row>
    <row r="284" spans="1:27" s="24" customFormat="1" ht="26.25" customHeight="1">
      <c r="A284" s="67"/>
      <c r="B284" s="82"/>
      <c r="C284" s="86">
        <v>4230</v>
      </c>
      <c r="D284" s="38" t="s">
        <v>247</v>
      </c>
      <c r="E284" s="81">
        <v>1600</v>
      </c>
      <c r="F284" s="81"/>
      <c r="G284" s="81">
        <f t="shared" si="173"/>
        <v>1600</v>
      </c>
      <c r="H284" s="81"/>
      <c r="I284" s="81">
        <f t="shared" si="174"/>
        <v>1600</v>
      </c>
      <c r="J284" s="81"/>
      <c r="K284" s="81">
        <f t="shared" si="175"/>
        <v>1600</v>
      </c>
      <c r="L284" s="81"/>
      <c r="M284" s="81">
        <f t="shared" si="176"/>
        <v>1600</v>
      </c>
      <c r="N284" s="81"/>
      <c r="O284" s="81">
        <f t="shared" si="177"/>
        <v>1600</v>
      </c>
      <c r="P284" s="81"/>
      <c r="Q284" s="81">
        <f t="shared" si="178"/>
        <v>1600</v>
      </c>
      <c r="R284" s="81"/>
      <c r="S284" s="81">
        <f t="shared" si="179"/>
        <v>1600</v>
      </c>
      <c r="T284" s="81"/>
      <c r="U284" s="81">
        <f t="shared" si="180"/>
        <v>1600</v>
      </c>
      <c r="V284" s="81"/>
      <c r="W284" s="81">
        <f t="shared" si="181"/>
        <v>1600</v>
      </c>
      <c r="X284" s="81"/>
      <c r="Y284" s="81">
        <f t="shared" si="182"/>
        <v>1600</v>
      </c>
      <c r="Z284" s="81"/>
      <c r="AA284" s="81">
        <f t="shared" si="183"/>
        <v>1600</v>
      </c>
    </row>
    <row r="285" spans="1:27" s="24" customFormat="1" ht="22.5">
      <c r="A285" s="67"/>
      <c r="B285" s="82"/>
      <c r="C285" s="86">
        <v>4240</v>
      </c>
      <c r="D285" s="38" t="s">
        <v>123</v>
      </c>
      <c r="E285" s="81">
        <v>9500</v>
      </c>
      <c r="F285" s="81"/>
      <c r="G285" s="81">
        <f t="shared" si="173"/>
        <v>9500</v>
      </c>
      <c r="H285" s="81"/>
      <c r="I285" s="81">
        <f t="shared" si="174"/>
        <v>9500</v>
      </c>
      <c r="J285" s="81"/>
      <c r="K285" s="81">
        <f t="shared" si="175"/>
        <v>9500</v>
      </c>
      <c r="L285" s="81"/>
      <c r="M285" s="81">
        <f t="shared" si="176"/>
        <v>9500</v>
      </c>
      <c r="N285" s="81"/>
      <c r="O285" s="81">
        <f t="shared" si="177"/>
        <v>9500</v>
      </c>
      <c r="P285" s="81"/>
      <c r="Q285" s="81">
        <f t="shared" si="178"/>
        <v>9500</v>
      </c>
      <c r="R285" s="81"/>
      <c r="S285" s="81">
        <f t="shared" si="179"/>
        <v>9500</v>
      </c>
      <c r="T285" s="81"/>
      <c r="U285" s="81">
        <f t="shared" si="180"/>
        <v>9500</v>
      </c>
      <c r="V285" s="81"/>
      <c r="W285" s="81">
        <f t="shared" si="181"/>
        <v>9500</v>
      </c>
      <c r="X285" s="81"/>
      <c r="Y285" s="81">
        <f t="shared" si="182"/>
        <v>9500</v>
      </c>
      <c r="Z285" s="81"/>
      <c r="AA285" s="81">
        <f t="shared" si="183"/>
        <v>9500</v>
      </c>
    </row>
    <row r="286" spans="1:27" s="24" customFormat="1" ht="21" customHeight="1">
      <c r="A286" s="67"/>
      <c r="B286" s="82"/>
      <c r="C286" s="86">
        <v>4260</v>
      </c>
      <c r="D286" s="38" t="s">
        <v>95</v>
      </c>
      <c r="E286" s="81">
        <v>316000</v>
      </c>
      <c r="F286" s="81"/>
      <c r="G286" s="81">
        <f t="shared" si="173"/>
        <v>316000</v>
      </c>
      <c r="H286" s="81"/>
      <c r="I286" s="81">
        <f t="shared" si="174"/>
        <v>316000</v>
      </c>
      <c r="J286" s="81"/>
      <c r="K286" s="81">
        <f t="shared" si="175"/>
        <v>316000</v>
      </c>
      <c r="L286" s="81"/>
      <c r="M286" s="81">
        <f t="shared" si="176"/>
        <v>316000</v>
      </c>
      <c r="N286" s="81"/>
      <c r="O286" s="81">
        <f t="shared" si="177"/>
        <v>316000</v>
      </c>
      <c r="P286" s="81"/>
      <c r="Q286" s="81">
        <f t="shared" si="178"/>
        <v>316000</v>
      </c>
      <c r="R286" s="81"/>
      <c r="S286" s="81">
        <f t="shared" si="179"/>
        <v>316000</v>
      </c>
      <c r="T286" s="81"/>
      <c r="U286" s="81">
        <f t="shared" si="180"/>
        <v>316000</v>
      </c>
      <c r="V286" s="81"/>
      <c r="W286" s="81">
        <f t="shared" si="181"/>
        <v>316000</v>
      </c>
      <c r="X286" s="81"/>
      <c r="Y286" s="81">
        <f t="shared" si="182"/>
        <v>316000</v>
      </c>
      <c r="Z286" s="81"/>
      <c r="AA286" s="81">
        <f t="shared" si="183"/>
        <v>316000</v>
      </c>
    </row>
    <row r="287" spans="1:27" s="24" customFormat="1" ht="21" customHeight="1">
      <c r="A287" s="67"/>
      <c r="B287" s="82"/>
      <c r="C287" s="86">
        <v>4270</v>
      </c>
      <c r="D287" s="38" t="s">
        <v>78</v>
      </c>
      <c r="E287" s="81">
        <f>59680+120000</f>
        <v>179680</v>
      </c>
      <c r="F287" s="81">
        <v>-40000</v>
      </c>
      <c r="G287" s="81">
        <f t="shared" si="173"/>
        <v>139680</v>
      </c>
      <c r="H287" s="81"/>
      <c r="I287" s="81">
        <f t="shared" si="174"/>
        <v>139680</v>
      </c>
      <c r="J287" s="81"/>
      <c r="K287" s="81">
        <f t="shared" si="175"/>
        <v>139680</v>
      </c>
      <c r="L287" s="81">
        <v>-3500</v>
      </c>
      <c r="M287" s="81">
        <f t="shared" si="176"/>
        <v>136180</v>
      </c>
      <c r="N287" s="81"/>
      <c r="O287" s="81">
        <f t="shared" si="177"/>
        <v>136180</v>
      </c>
      <c r="P287" s="81"/>
      <c r="Q287" s="81">
        <f t="shared" si="178"/>
        <v>136180</v>
      </c>
      <c r="R287" s="81"/>
      <c r="S287" s="81">
        <f t="shared" si="179"/>
        <v>136180</v>
      </c>
      <c r="T287" s="81"/>
      <c r="U287" s="81">
        <f t="shared" si="180"/>
        <v>136180</v>
      </c>
      <c r="V287" s="81"/>
      <c r="W287" s="81">
        <f t="shared" si="181"/>
        <v>136180</v>
      </c>
      <c r="X287" s="81"/>
      <c r="Y287" s="81">
        <f t="shared" si="182"/>
        <v>136180</v>
      </c>
      <c r="Z287" s="81"/>
      <c r="AA287" s="81">
        <f t="shared" si="183"/>
        <v>136180</v>
      </c>
    </row>
    <row r="288" spans="1:27" s="24" customFormat="1" ht="21" customHeight="1">
      <c r="A288" s="67"/>
      <c r="B288" s="82"/>
      <c r="C288" s="86">
        <v>4280</v>
      </c>
      <c r="D288" s="38" t="s">
        <v>197</v>
      </c>
      <c r="E288" s="81">
        <v>9700</v>
      </c>
      <c r="F288" s="81"/>
      <c r="G288" s="81">
        <f t="shared" si="173"/>
        <v>9700</v>
      </c>
      <c r="H288" s="81"/>
      <c r="I288" s="81">
        <f t="shared" si="174"/>
        <v>9700</v>
      </c>
      <c r="J288" s="81"/>
      <c r="K288" s="81">
        <f t="shared" si="175"/>
        <v>9700</v>
      </c>
      <c r="L288" s="81"/>
      <c r="M288" s="81">
        <f t="shared" si="176"/>
        <v>9700</v>
      </c>
      <c r="N288" s="81"/>
      <c r="O288" s="81">
        <f t="shared" si="177"/>
        <v>9700</v>
      </c>
      <c r="P288" s="81"/>
      <c r="Q288" s="81">
        <f t="shared" si="178"/>
        <v>9700</v>
      </c>
      <c r="R288" s="81"/>
      <c r="S288" s="81">
        <f t="shared" si="179"/>
        <v>9700</v>
      </c>
      <c r="T288" s="81"/>
      <c r="U288" s="81">
        <f t="shared" si="180"/>
        <v>9700</v>
      </c>
      <c r="V288" s="81"/>
      <c r="W288" s="81">
        <f t="shared" si="181"/>
        <v>9700</v>
      </c>
      <c r="X288" s="81"/>
      <c r="Y288" s="81">
        <f t="shared" si="182"/>
        <v>9700</v>
      </c>
      <c r="Z288" s="81"/>
      <c r="AA288" s="81">
        <f t="shared" si="183"/>
        <v>9700</v>
      </c>
    </row>
    <row r="289" spans="1:27" s="24" customFormat="1" ht="21" customHeight="1">
      <c r="A289" s="67"/>
      <c r="B289" s="82"/>
      <c r="C289" s="86">
        <v>4300</v>
      </c>
      <c r="D289" s="38" t="s">
        <v>79</v>
      </c>
      <c r="E289" s="81">
        <v>42100</v>
      </c>
      <c r="F289" s="81"/>
      <c r="G289" s="81">
        <f t="shared" si="173"/>
        <v>42100</v>
      </c>
      <c r="H289" s="81"/>
      <c r="I289" s="81">
        <f t="shared" si="174"/>
        <v>42100</v>
      </c>
      <c r="J289" s="81"/>
      <c r="K289" s="81">
        <f t="shared" si="175"/>
        <v>42100</v>
      </c>
      <c r="L289" s="81">
        <v>13500</v>
      </c>
      <c r="M289" s="81">
        <f t="shared" si="176"/>
        <v>55600</v>
      </c>
      <c r="N289" s="81"/>
      <c r="O289" s="81">
        <f t="shared" si="177"/>
        <v>55600</v>
      </c>
      <c r="P289" s="81"/>
      <c r="Q289" s="81">
        <f t="shared" si="178"/>
        <v>55600</v>
      </c>
      <c r="R289" s="81"/>
      <c r="S289" s="81">
        <f t="shared" si="179"/>
        <v>55600</v>
      </c>
      <c r="T289" s="81">
        <v>8000</v>
      </c>
      <c r="U289" s="81">
        <f t="shared" si="180"/>
        <v>63600</v>
      </c>
      <c r="V289" s="81"/>
      <c r="W289" s="81">
        <f t="shared" si="181"/>
        <v>63600</v>
      </c>
      <c r="X289" s="81"/>
      <c r="Y289" s="81">
        <f t="shared" si="182"/>
        <v>63600</v>
      </c>
      <c r="Z289" s="81"/>
      <c r="AA289" s="81">
        <f t="shared" si="183"/>
        <v>63600</v>
      </c>
    </row>
    <row r="290" spans="1:27" s="24" customFormat="1" ht="21" customHeight="1">
      <c r="A290" s="67"/>
      <c r="B290" s="82"/>
      <c r="C290" s="86">
        <v>4350</v>
      </c>
      <c r="D290" s="38" t="s">
        <v>204</v>
      </c>
      <c r="E290" s="81">
        <v>4300</v>
      </c>
      <c r="F290" s="81"/>
      <c r="G290" s="81">
        <f t="shared" si="173"/>
        <v>4300</v>
      </c>
      <c r="H290" s="81"/>
      <c r="I290" s="81">
        <f t="shared" si="174"/>
        <v>4300</v>
      </c>
      <c r="J290" s="81"/>
      <c r="K290" s="81">
        <f t="shared" si="175"/>
        <v>4300</v>
      </c>
      <c r="L290" s="81"/>
      <c r="M290" s="81">
        <f t="shared" si="176"/>
        <v>4300</v>
      </c>
      <c r="N290" s="81"/>
      <c r="O290" s="81">
        <f t="shared" si="177"/>
        <v>4300</v>
      </c>
      <c r="P290" s="81"/>
      <c r="Q290" s="81">
        <f t="shared" si="178"/>
        <v>4300</v>
      </c>
      <c r="R290" s="81"/>
      <c r="S290" s="81">
        <f t="shared" si="179"/>
        <v>4300</v>
      </c>
      <c r="T290" s="81"/>
      <c r="U290" s="81">
        <f t="shared" si="180"/>
        <v>4300</v>
      </c>
      <c r="V290" s="81"/>
      <c r="W290" s="81">
        <f t="shared" si="181"/>
        <v>4300</v>
      </c>
      <c r="X290" s="81"/>
      <c r="Y290" s="81">
        <f t="shared" si="182"/>
        <v>4300</v>
      </c>
      <c r="Z290" s="81"/>
      <c r="AA290" s="81">
        <f t="shared" si="183"/>
        <v>4300</v>
      </c>
    </row>
    <row r="291" spans="1:27" s="24" customFormat="1" ht="45">
      <c r="A291" s="67"/>
      <c r="B291" s="82"/>
      <c r="C291" s="86">
        <v>4370</v>
      </c>
      <c r="D291" s="38" t="s">
        <v>432</v>
      </c>
      <c r="E291" s="81">
        <v>7500</v>
      </c>
      <c r="F291" s="81"/>
      <c r="G291" s="81">
        <f t="shared" si="173"/>
        <v>7500</v>
      </c>
      <c r="H291" s="81"/>
      <c r="I291" s="81">
        <f t="shared" si="174"/>
        <v>7500</v>
      </c>
      <c r="J291" s="81"/>
      <c r="K291" s="81">
        <f t="shared" si="175"/>
        <v>7500</v>
      </c>
      <c r="L291" s="81"/>
      <c r="M291" s="81">
        <f t="shared" si="176"/>
        <v>7500</v>
      </c>
      <c r="N291" s="81"/>
      <c r="O291" s="81">
        <f t="shared" si="177"/>
        <v>7500</v>
      </c>
      <c r="P291" s="81"/>
      <c r="Q291" s="81">
        <f t="shared" si="178"/>
        <v>7500</v>
      </c>
      <c r="R291" s="81"/>
      <c r="S291" s="81">
        <f t="shared" si="179"/>
        <v>7500</v>
      </c>
      <c r="T291" s="81"/>
      <c r="U291" s="81">
        <f t="shared" si="180"/>
        <v>7500</v>
      </c>
      <c r="V291" s="81"/>
      <c r="W291" s="81">
        <f t="shared" si="181"/>
        <v>7500</v>
      </c>
      <c r="X291" s="81"/>
      <c r="Y291" s="81">
        <f t="shared" si="182"/>
        <v>7500</v>
      </c>
      <c r="Z291" s="81"/>
      <c r="AA291" s="81">
        <f t="shared" si="183"/>
        <v>7500</v>
      </c>
    </row>
    <row r="292" spans="1:27" s="24" customFormat="1" ht="24.75" customHeight="1">
      <c r="A292" s="67"/>
      <c r="B292" s="82"/>
      <c r="C292" s="86">
        <v>4390</v>
      </c>
      <c r="D292" s="38" t="s">
        <v>255</v>
      </c>
      <c r="E292" s="81">
        <v>2400</v>
      </c>
      <c r="F292" s="81"/>
      <c r="G292" s="81">
        <f t="shared" si="173"/>
        <v>2400</v>
      </c>
      <c r="H292" s="81"/>
      <c r="I292" s="81">
        <f t="shared" si="174"/>
        <v>2400</v>
      </c>
      <c r="J292" s="81"/>
      <c r="K292" s="81">
        <f t="shared" si="175"/>
        <v>2400</v>
      </c>
      <c r="L292" s="81"/>
      <c r="M292" s="81">
        <f t="shared" si="176"/>
        <v>2400</v>
      </c>
      <c r="N292" s="81"/>
      <c r="O292" s="81">
        <f t="shared" si="177"/>
        <v>2400</v>
      </c>
      <c r="P292" s="81"/>
      <c r="Q292" s="81">
        <f t="shared" si="178"/>
        <v>2400</v>
      </c>
      <c r="R292" s="81"/>
      <c r="S292" s="81">
        <f t="shared" si="179"/>
        <v>2400</v>
      </c>
      <c r="T292" s="81"/>
      <c r="U292" s="81">
        <f t="shared" si="180"/>
        <v>2400</v>
      </c>
      <c r="V292" s="81"/>
      <c r="W292" s="81">
        <f t="shared" si="181"/>
        <v>2400</v>
      </c>
      <c r="X292" s="81"/>
      <c r="Y292" s="81">
        <f t="shared" si="182"/>
        <v>2400</v>
      </c>
      <c r="Z292" s="81"/>
      <c r="AA292" s="81">
        <f t="shared" si="183"/>
        <v>2400</v>
      </c>
    </row>
    <row r="293" spans="1:27" s="24" customFormat="1" ht="21" customHeight="1">
      <c r="A293" s="67"/>
      <c r="B293" s="82"/>
      <c r="C293" s="86">
        <v>4410</v>
      </c>
      <c r="D293" s="38" t="s">
        <v>90</v>
      </c>
      <c r="E293" s="81">
        <v>7800</v>
      </c>
      <c r="F293" s="81"/>
      <c r="G293" s="81">
        <f t="shared" si="173"/>
        <v>7800</v>
      </c>
      <c r="H293" s="81"/>
      <c r="I293" s="81">
        <f t="shared" si="174"/>
        <v>7800</v>
      </c>
      <c r="J293" s="81"/>
      <c r="K293" s="81">
        <f t="shared" si="175"/>
        <v>7800</v>
      </c>
      <c r="L293" s="81"/>
      <c r="M293" s="81">
        <f t="shared" si="176"/>
        <v>7800</v>
      </c>
      <c r="N293" s="81"/>
      <c r="O293" s="81">
        <f t="shared" si="177"/>
        <v>7800</v>
      </c>
      <c r="P293" s="81"/>
      <c r="Q293" s="81">
        <f t="shared" si="178"/>
        <v>7800</v>
      </c>
      <c r="R293" s="81"/>
      <c r="S293" s="81">
        <f t="shared" si="179"/>
        <v>7800</v>
      </c>
      <c r="T293" s="81">
        <v>1000</v>
      </c>
      <c r="U293" s="81">
        <f t="shared" si="180"/>
        <v>8800</v>
      </c>
      <c r="V293" s="81"/>
      <c r="W293" s="81">
        <f t="shared" si="181"/>
        <v>8800</v>
      </c>
      <c r="X293" s="81"/>
      <c r="Y293" s="81">
        <f t="shared" si="182"/>
        <v>8800</v>
      </c>
      <c r="Z293" s="81"/>
      <c r="AA293" s="81">
        <f t="shared" si="183"/>
        <v>8800</v>
      </c>
    </row>
    <row r="294" spans="1:27" s="24" customFormat="1" ht="21" customHeight="1">
      <c r="A294" s="67"/>
      <c r="B294" s="82"/>
      <c r="C294" s="86">
        <v>4430</v>
      </c>
      <c r="D294" s="38" t="s">
        <v>94</v>
      </c>
      <c r="E294" s="81">
        <v>3050</v>
      </c>
      <c r="F294" s="81"/>
      <c r="G294" s="81">
        <f t="shared" si="173"/>
        <v>3050</v>
      </c>
      <c r="H294" s="81"/>
      <c r="I294" s="81">
        <f t="shared" si="174"/>
        <v>3050</v>
      </c>
      <c r="J294" s="81"/>
      <c r="K294" s="81">
        <f t="shared" si="175"/>
        <v>3050</v>
      </c>
      <c r="L294" s="81"/>
      <c r="M294" s="81">
        <f t="shared" si="176"/>
        <v>3050</v>
      </c>
      <c r="N294" s="81"/>
      <c r="O294" s="81">
        <f t="shared" si="177"/>
        <v>3050</v>
      </c>
      <c r="P294" s="81"/>
      <c r="Q294" s="81">
        <f t="shared" si="178"/>
        <v>3050</v>
      </c>
      <c r="R294" s="81"/>
      <c r="S294" s="81">
        <f t="shared" si="179"/>
        <v>3050</v>
      </c>
      <c r="T294" s="81"/>
      <c r="U294" s="81">
        <f t="shared" si="180"/>
        <v>3050</v>
      </c>
      <c r="V294" s="81"/>
      <c r="W294" s="81">
        <f t="shared" si="181"/>
        <v>3050</v>
      </c>
      <c r="X294" s="81"/>
      <c r="Y294" s="81">
        <f t="shared" si="182"/>
        <v>3050</v>
      </c>
      <c r="Z294" s="81"/>
      <c r="AA294" s="81">
        <f t="shared" si="183"/>
        <v>3050</v>
      </c>
    </row>
    <row r="295" spans="1:27" s="24" customFormat="1" ht="21" customHeight="1">
      <c r="A295" s="67"/>
      <c r="B295" s="82"/>
      <c r="C295" s="86">
        <v>4440</v>
      </c>
      <c r="D295" s="38" t="s">
        <v>88</v>
      </c>
      <c r="E295" s="81">
        <v>213124</v>
      </c>
      <c r="F295" s="81"/>
      <c r="G295" s="81">
        <f t="shared" si="173"/>
        <v>213124</v>
      </c>
      <c r="H295" s="81"/>
      <c r="I295" s="81">
        <f t="shared" si="174"/>
        <v>213124</v>
      </c>
      <c r="J295" s="81"/>
      <c r="K295" s="81">
        <f t="shared" si="175"/>
        <v>213124</v>
      </c>
      <c r="L295" s="81"/>
      <c r="M295" s="81">
        <f t="shared" si="176"/>
        <v>213124</v>
      </c>
      <c r="N295" s="81"/>
      <c r="O295" s="81">
        <f t="shared" si="177"/>
        <v>213124</v>
      </c>
      <c r="P295" s="81"/>
      <c r="Q295" s="81">
        <f t="shared" si="178"/>
        <v>213124</v>
      </c>
      <c r="R295" s="81"/>
      <c r="S295" s="81">
        <f t="shared" si="179"/>
        <v>213124</v>
      </c>
      <c r="T295" s="81"/>
      <c r="U295" s="81">
        <f t="shared" si="180"/>
        <v>213124</v>
      </c>
      <c r="V295" s="81"/>
      <c r="W295" s="81">
        <f t="shared" si="181"/>
        <v>213124</v>
      </c>
      <c r="X295" s="81"/>
      <c r="Y295" s="81">
        <f t="shared" si="182"/>
        <v>213124</v>
      </c>
      <c r="Z295" s="81"/>
      <c r="AA295" s="81">
        <f t="shared" si="183"/>
        <v>213124</v>
      </c>
    </row>
    <row r="296" spans="1:27" s="24" customFormat="1" ht="27" customHeight="1">
      <c r="A296" s="67"/>
      <c r="B296" s="82"/>
      <c r="C296" s="86">
        <v>4700</v>
      </c>
      <c r="D296" s="38" t="s">
        <v>249</v>
      </c>
      <c r="E296" s="81">
        <v>2500</v>
      </c>
      <c r="F296" s="81"/>
      <c r="G296" s="81">
        <f t="shared" si="173"/>
        <v>2500</v>
      </c>
      <c r="H296" s="81"/>
      <c r="I296" s="81">
        <f t="shared" si="174"/>
        <v>2500</v>
      </c>
      <c r="J296" s="81"/>
      <c r="K296" s="81">
        <f t="shared" si="175"/>
        <v>2500</v>
      </c>
      <c r="L296" s="81"/>
      <c r="M296" s="81">
        <f t="shared" si="176"/>
        <v>2500</v>
      </c>
      <c r="N296" s="81"/>
      <c r="O296" s="81">
        <f t="shared" si="177"/>
        <v>2500</v>
      </c>
      <c r="P296" s="81"/>
      <c r="Q296" s="81">
        <f t="shared" si="178"/>
        <v>2500</v>
      </c>
      <c r="R296" s="81"/>
      <c r="S296" s="81">
        <f t="shared" si="179"/>
        <v>2500</v>
      </c>
      <c r="T296" s="81"/>
      <c r="U296" s="81">
        <f t="shared" si="180"/>
        <v>2500</v>
      </c>
      <c r="V296" s="81"/>
      <c r="W296" s="81">
        <f t="shared" si="181"/>
        <v>2500</v>
      </c>
      <c r="X296" s="81"/>
      <c r="Y296" s="81">
        <f t="shared" si="182"/>
        <v>2500</v>
      </c>
      <c r="Z296" s="81"/>
      <c r="AA296" s="81">
        <f t="shared" si="183"/>
        <v>2500</v>
      </c>
    </row>
    <row r="297" spans="1:27" s="24" customFormat="1" ht="27" customHeight="1">
      <c r="A297" s="67"/>
      <c r="B297" s="82"/>
      <c r="C297" s="86">
        <v>4740</v>
      </c>
      <c r="D297" s="38" t="s">
        <v>267</v>
      </c>
      <c r="E297" s="81">
        <v>3000</v>
      </c>
      <c r="F297" s="81"/>
      <c r="G297" s="81">
        <f t="shared" si="173"/>
        <v>3000</v>
      </c>
      <c r="H297" s="81"/>
      <c r="I297" s="81">
        <f t="shared" si="174"/>
        <v>3000</v>
      </c>
      <c r="J297" s="81"/>
      <c r="K297" s="81">
        <f t="shared" si="175"/>
        <v>3000</v>
      </c>
      <c r="L297" s="81"/>
      <c r="M297" s="81">
        <f t="shared" si="176"/>
        <v>3000</v>
      </c>
      <c r="N297" s="81"/>
      <c r="O297" s="81">
        <f t="shared" si="177"/>
        <v>3000</v>
      </c>
      <c r="P297" s="81"/>
      <c r="Q297" s="81">
        <f t="shared" si="178"/>
        <v>3000</v>
      </c>
      <c r="R297" s="81"/>
      <c r="S297" s="81">
        <f t="shared" si="179"/>
        <v>3000</v>
      </c>
      <c r="T297" s="81"/>
      <c r="U297" s="81">
        <f t="shared" si="180"/>
        <v>3000</v>
      </c>
      <c r="V297" s="81"/>
      <c r="W297" s="81">
        <f t="shared" si="181"/>
        <v>3000</v>
      </c>
      <c r="X297" s="81"/>
      <c r="Y297" s="81">
        <f t="shared" si="182"/>
        <v>3000</v>
      </c>
      <c r="Z297" s="81"/>
      <c r="AA297" s="81">
        <f t="shared" si="183"/>
        <v>3000</v>
      </c>
    </row>
    <row r="298" spans="1:27" s="24" customFormat="1" ht="22.5">
      <c r="A298" s="67"/>
      <c r="B298" s="82"/>
      <c r="C298" s="86">
        <v>4750</v>
      </c>
      <c r="D298" s="13" t="s">
        <v>223</v>
      </c>
      <c r="E298" s="81">
        <v>13300</v>
      </c>
      <c r="F298" s="81"/>
      <c r="G298" s="81">
        <f t="shared" si="173"/>
        <v>13300</v>
      </c>
      <c r="H298" s="81"/>
      <c r="I298" s="81">
        <f t="shared" si="174"/>
        <v>13300</v>
      </c>
      <c r="J298" s="81"/>
      <c r="K298" s="81">
        <f t="shared" si="175"/>
        <v>13300</v>
      </c>
      <c r="L298" s="81"/>
      <c r="M298" s="81">
        <f t="shared" si="176"/>
        <v>13300</v>
      </c>
      <c r="N298" s="81"/>
      <c r="O298" s="81">
        <f t="shared" si="177"/>
        <v>13300</v>
      </c>
      <c r="P298" s="81"/>
      <c r="Q298" s="81">
        <f t="shared" si="178"/>
        <v>13300</v>
      </c>
      <c r="R298" s="81"/>
      <c r="S298" s="81">
        <f t="shared" si="179"/>
        <v>13300</v>
      </c>
      <c r="T298" s="81"/>
      <c r="U298" s="81">
        <f t="shared" si="180"/>
        <v>13300</v>
      </c>
      <c r="V298" s="81"/>
      <c r="W298" s="81">
        <f t="shared" si="181"/>
        <v>13300</v>
      </c>
      <c r="X298" s="81"/>
      <c r="Y298" s="81">
        <f t="shared" si="182"/>
        <v>13300</v>
      </c>
      <c r="Z298" s="81"/>
      <c r="AA298" s="81">
        <f t="shared" si="183"/>
        <v>13300</v>
      </c>
    </row>
    <row r="299" spans="1:27" s="24" customFormat="1" ht="22.5">
      <c r="A299" s="67"/>
      <c r="B299" s="82"/>
      <c r="C299" s="86">
        <v>6050</v>
      </c>
      <c r="D299" s="13" t="s">
        <v>73</v>
      </c>
      <c r="E299" s="81">
        <f>4350000+868000+600000+100000</f>
        <v>5918000</v>
      </c>
      <c r="F299" s="81">
        <f>-400000-138184-213000</f>
        <v>-751184</v>
      </c>
      <c r="G299" s="81">
        <f t="shared" si="173"/>
        <v>5166816</v>
      </c>
      <c r="H299" s="81"/>
      <c r="I299" s="81">
        <f t="shared" si="174"/>
        <v>5166816</v>
      </c>
      <c r="J299" s="81"/>
      <c r="K299" s="81">
        <f t="shared" si="175"/>
        <v>5166816</v>
      </c>
      <c r="L299" s="81">
        <f>15000</f>
        <v>15000</v>
      </c>
      <c r="M299" s="81">
        <f t="shared" si="176"/>
        <v>5181816</v>
      </c>
      <c r="N299" s="81"/>
      <c r="O299" s="81">
        <f t="shared" si="177"/>
        <v>5181816</v>
      </c>
      <c r="P299" s="81"/>
      <c r="Q299" s="81">
        <f t="shared" si="178"/>
        <v>5181816</v>
      </c>
      <c r="R299" s="81">
        <f>17400+70000</f>
        <v>87400</v>
      </c>
      <c r="S299" s="81">
        <f t="shared" si="179"/>
        <v>5269216</v>
      </c>
      <c r="T299" s="81"/>
      <c r="U299" s="81">
        <f t="shared" si="180"/>
        <v>5269216</v>
      </c>
      <c r="V299" s="81"/>
      <c r="W299" s="81">
        <f t="shared" si="181"/>
        <v>5269216</v>
      </c>
      <c r="X299" s="81"/>
      <c r="Y299" s="81">
        <f t="shared" si="182"/>
        <v>5269216</v>
      </c>
      <c r="Z299" s="81"/>
      <c r="AA299" s="81">
        <f t="shared" si="183"/>
        <v>5269216</v>
      </c>
    </row>
    <row r="300" spans="1:27" s="24" customFormat="1" ht="21" customHeight="1">
      <c r="A300" s="67"/>
      <c r="B300" s="72" t="s">
        <v>116</v>
      </c>
      <c r="C300" s="47"/>
      <c r="D300" s="13" t="s">
        <v>117</v>
      </c>
      <c r="E300" s="71">
        <f aca="true" t="shared" si="184" ref="E300:W300">SUM(E301:E306)</f>
        <v>308500</v>
      </c>
      <c r="F300" s="71">
        <f t="shared" si="184"/>
        <v>0</v>
      </c>
      <c r="G300" s="71">
        <f t="shared" si="184"/>
        <v>308500</v>
      </c>
      <c r="H300" s="71">
        <f t="shared" si="184"/>
        <v>0</v>
      </c>
      <c r="I300" s="71">
        <f t="shared" si="184"/>
        <v>308500</v>
      </c>
      <c r="J300" s="71">
        <f t="shared" si="184"/>
        <v>0</v>
      </c>
      <c r="K300" s="71">
        <f t="shared" si="184"/>
        <v>308500</v>
      </c>
      <c r="L300" s="71">
        <f t="shared" si="184"/>
        <v>0</v>
      </c>
      <c r="M300" s="71">
        <f t="shared" si="184"/>
        <v>308500</v>
      </c>
      <c r="N300" s="71">
        <f t="shared" si="184"/>
        <v>0</v>
      </c>
      <c r="O300" s="71">
        <f t="shared" si="184"/>
        <v>308500</v>
      </c>
      <c r="P300" s="71">
        <f t="shared" si="184"/>
        <v>0</v>
      </c>
      <c r="Q300" s="71">
        <f t="shared" si="184"/>
        <v>308500</v>
      </c>
      <c r="R300" s="71">
        <f t="shared" si="184"/>
        <v>0</v>
      </c>
      <c r="S300" s="71">
        <f t="shared" si="184"/>
        <v>308500</v>
      </c>
      <c r="T300" s="71">
        <f t="shared" si="184"/>
        <v>0</v>
      </c>
      <c r="U300" s="71">
        <f t="shared" si="184"/>
        <v>308500</v>
      </c>
      <c r="V300" s="71">
        <f t="shared" si="184"/>
        <v>0</v>
      </c>
      <c r="W300" s="71">
        <f t="shared" si="184"/>
        <v>308500</v>
      </c>
      <c r="X300" s="71">
        <f>SUM(X301:X306)</f>
        <v>0</v>
      </c>
      <c r="Y300" s="71">
        <f>SUM(Y301:Y306)</f>
        <v>308500</v>
      </c>
      <c r="Z300" s="71">
        <f>SUM(Z301:Z306)</f>
        <v>0</v>
      </c>
      <c r="AA300" s="71">
        <f>SUM(AA301:AA306)</f>
        <v>308500</v>
      </c>
    </row>
    <row r="301" spans="1:30" s="24" customFormat="1" ht="21" customHeight="1">
      <c r="A301" s="67"/>
      <c r="B301" s="72"/>
      <c r="C301" s="47">
        <v>4110</v>
      </c>
      <c r="D301" s="38" t="s">
        <v>86</v>
      </c>
      <c r="E301" s="71">
        <v>3110</v>
      </c>
      <c r="F301" s="71"/>
      <c r="G301" s="71">
        <f aca="true" t="shared" si="185" ref="G301:G306">SUM(E301:F301)</f>
        <v>3110</v>
      </c>
      <c r="H301" s="71"/>
      <c r="I301" s="71">
        <f aca="true" t="shared" si="186" ref="I301:I306">SUM(G301:H301)</f>
        <v>3110</v>
      </c>
      <c r="J301" s="71"/>
      <c r="K301" s="71">
        <f aca="true" t="shared" si="187" ref="K301:K306">SUM(I301:J301)</f>
        <v>3110</v>
      </c>
      <c r="L301" s="71"/>
      <c r="M301" s="71">
        <f aca="true" t="shared" si="188" ref="M301:M306">SUM(K301:L301)</f>
        <v>3110</v>
      </c>
      <c r="N301" s="71"/>
      <c r="O301" s="71">
        <f aca="true" t="shared" si="189" ref="O301:O306">SUM(M301:N301)</f>
        <v>3110</v>
      </c>
      <c r="P301" s="71"/>
      <c r="Q301" s="71">
        <f aca="true" t="shared" si="190" ref="Q301:Q306">SUM(O301:P301)</f>
        <v>3110</v>
      </c>
      <c r="R301" s="71"/>
      <c r="S301" s="71">
        <f aca="true" t="shared" si="191" ref="S301:S306">SUM(Q301:R301)</f>
        <v>3110</v>
      </c>
      <c r="T301" s="71"/>
      <c r="U301" s="71">
        <f aca="true" t="shared" si="192" ref="U301:U306">SUM(S301:T301)</f>
        <v>3110</v>
      </c>
      <c r="V301" s="71"/>
      <c r="W301" s="71">
        <f aca="true" t="shared" si="193" ref="W301:W306">SUM(U301:V301)</f>
        <v>3110</v>
      </c>
      <c r="X301" s="71"/>
      <c r="Y301" s="71">
        <f aca="true" t="shared" si="194" ref="Y301:Y306">SUM(W301:X301)</f>
        <v>3110</v>
      </c>
      <c r="Z301" s="71"/>
      <c r="AA301" s="71">
        <f aca="true" t="shared" si="195" ref="AA301:AA306">SUM(Y301:Z301)</f>
        <v>3110</v>
      </c>
      <c r="AB301" s="119"/>
      <c r="AC301" s="119"/>
      <c r="AD301" s="119"/>
    </row>
    <row r="302" spans="1:30" s="24" customFormat="1" ht="21" customHeight="1">
      <c r="A302" s="67"/>
      <c r="B302" s="72"/>
      <c r="C302" s="47">
        <v>4120</v>
      </c>
      <c r="D302" s="38" t="s">
        <v>87</v>
      </c>
      <c r="E302" s="71">
        <v>441</v>
      </c>
      <c r="F302" s="71"/>
      <c r="G302" s="71">
        <f t="shared" si="185"/>
        <v>441</v>
      </c>
      <c r="H302" s="71"/>
      <c r="I302" s="71">
        <f t="shared" si="186"/>
        <v>441</v>
      </c>
      <c r="J302" s="71"/>
      <c r="K302" s="71">
        <f t="shared" si="187"/>
        <v>441</v>
      </c>
      <c r="L302" s="71"/>
      <c r="M302" s="71">
        <f t="shared" si="188"/>
        <v>441</v>
      </c>
      <c r="N302" s="71"/>
      <c r="O302" s="71">
        <f t="shared" si="189"/>
        <v>441</v>
      </c>
      <c r="P302" s="71"/>
      <c r="Q302" s="71">
        <f t="shared" si="190"/>
        <v>441</v>
      </c>
      <c r="R302" s="71"/>
      <c r="S302" s="71">
        <f t="shared" si="191"/>
        <v>441</v>
      </c>
      <c r="T302" s="71"/>
      <c r="U302" s="71">
        <f t="shared" si="192"/>
        <v>441</v>
      </c>
      <c r="V302" s="71"/>
      <c r="W302" s="71">
        <f t="shared" si="193"/>
        <v>441</v>
      </c>
      <c r="X302" s="71"/>
      <c r="Y302" s="71">
        <f t="shared" si="194"/>
        <v>441</v>
      </c>
      <c r="Z302" s="71"/>
      <c r="AA302" s="71">
        <f t="shared" si="195"/>
        <v>441</v>
      </c>
      <c r="AB302" s="119"/>
      <c r="AC302" s="119"/>
      <c r="AD302" s="119"/>
    </row>
    <row r="303" spans="1:30" s="24" customFormat="1" ht="21" customHeight="1">
      <c r="A303" s="67"/>
      <c r="B303" s="72"/>
      <c r="C303" s="47">
        <v>4170</v>
      </c>
      <c r="D303" s="38" t="s">
        <v>190</v>
      </c>
      <c r="E303" s="71">
        <v>33000</v>
      </c>
      <c r="F303" s="71"/>
      <c r="G303" s="71">
        <f t="shared" si="185"/>
        <v>33000</v>
      </c>
      <c r="H303" s="71"/>
      <c r="I303" s="71">
        <f t="shared" si="186"/>
        <v>33000</v>
      </c>
      <c r="J303" s="71"/>
      <c r="K303" s="71">
        <f t="shared" si="187"/>
        <v>33000</v>
      </c>
      <c r="L303" s="71"/>
      <c r="M303" s="71">
        <f t="shared" si="188"/>
        <v>33000</v>
      </c>
      <c r="N303" s="71"/>
      <c r="O303" s="71">
        <f t="shared" si="189"/>
        <v>33000</v>
      </c>
      <c r="P303" s="71"/>
      <c r="Q303" s="71">
        <f t="shared" si="190"/>
        <v>33000</v>
      </c>
      <c r="R303" s="71"/>
      <c r="S303" s="71">
        <f t="shared" si="191"/>
        <v>33000</v>
      </c>
      <c r="T303" s="71"/>
      <c r="U303" s="71">
        <f t="shared" si="192"/>
        <v>33000</v>
      </c>
      <c r="V303" s="71"/>
      <c r="W303" s="71">
        <f t="shared" si="193"/>
        <v>33000</v>
      </c>
      <c r="X303" s="71"/>
      <c r="Y303" s="71">
        <f t="shared" si="194"/>
        <v>33000</v>
      </c>
      <c r="Z303" s="71"/>
      <c r="AA303" s="71">
        <f t="shared" si="195"/>
        <v>33000</v>
      </c>
      <c r="AB303" s="119"/>
      <c r="AC303" s="119"/>
      <c r="AD303" s="119"/>
    </row>
    <row r="304" spans="1:27" s="24" customFormat="1" ht="21" customHeight="1">
      <c r="A304" s="67"/>
      <c r="B304" s="72"/>
      <c r="C304" s="47">
        <v>4210</v>
      </c>
      <c r="D304" s="13" t="s">
        <v>92</v>
      </c>
      <c r="E304" s="71">
        <v>45000</v>
      </c>
      <c r="F304" s="71"/>
      <c r="G304" s="71">
        <f t="shared" si="185"/>
        <v>45000</v>
      </c>
      <c r="H304" s="71"/>
      <c r="I304" s="71">
        <f t="shared" si="186"/>
        <v>45000</v>
      </c>
      <c r="J304" s="71"/>
      <c r="K304" s="71">
        <f t="shared" si="187"/>
        <v>45000</v>
      </c>
      <c r="L304" s="71"/>
      <c r="M304" s="71">
        <f t="shared" si="188"/>
        <v>45000</v>
      </c>
      <c r="N304" s="71"/>
      <c r="O304" s="71">
        <f t="shared" si="189"/>
        <v>45000</v>
      </c>
      <c r="P304" s="71"/>
      <c r="Q304" s="71">
        <f t="shared" si="190"/>
        <v>45000</v>
      </c>
      <c r="R304" s="71"/>
      <c r="S304" s="71">
        <f t="shared" si="191"/>
        <v>45000</v>
      </c>
      <c r="T304" s="71"/>
      <c r="U304" s="71">
        <f t="shared" si="192"/>
        <v>45000</v>
      </c>
      <c r="V304" s="71"/>
      <c r="W304" s="71">
        <f t="shared" si="193"/>
        <v>45000</v>
      </c>
      <c r="X304" s="71"/>
      <c r="Y304" s="71">
        <f t="shared" si="194"/>
        <v>45000</v>
      </c>
      <c r="Z304" s="71"/>
      <c r="AA304" s="71">
        <f t="shared" si="195"/>
        <v>45000</v>
      </c>
    </row>
    <row r="305" spans="1:27" s="24" customFormat="1" ht="21" customHeight="1">
      <c r="A305" s="67"/>
      <c r="B305" s="72"/>
      <c r="C305" s="47">
        <v>4300</v>
      </c>
      <c r="D305" s="13" t="s">
        <v>79</v>
      </c>
      <c r="E305" s="71">
        <f>30000+223449-36000-1500</f>
        <v>215949</v>
      </c>
      <c r="F305" s="71"/>
      <c r="G305" s="71">
        <f t="shared" si="185"/>
        <v>215949</v>
      </c>
      <c r="H305" s="71"/>
      <c r="I305" s="71">
        <f t="shared" si="186"/>
        <v>215949</v>
      </c>
      <c r="J305" s="71"/>
      <c r="K305" s="71">
        <f t="shared" si="187"/>
        <v>215949</v>
      </c>
      <c r="L305" s="71"/>
      <c r="M305" s="71">
        <f t="shared" si="188"/>
        <v>215949</v>
      </c>
      <c r="N305" s="71"/>
      <c r="O305" s="71">
        <f t="shared" si="189"/>
        <v>215949</v>
      </c>
      <c r="P305" s="71"/>
      <c r="Q305" s="71">
        <f t="shared" si="190"/>
        <v>215949</v>
      </c>
      <c r="R305" s="71"/>
      <c r="S305" s="71">
        <f t="shared" si="191"/>
        <v>215949</v>
      </c>
      <c r="T305" s="71"/>
      <c r="U305" s="71">
        <f t="shared" si="192"/>
        <v>215949</v>
      </c>
      <c r="V305" s="71"/>
      <c r="W305" s="71">
        <f t="shared" si="193"/>
        <v>215949</v>
      </c>
      <c r="X305" s="71"/>
      <c r="Y305" s="71">
        <f t="shared" si="194"/>
        <v>215949</v>
      </c>
      <c r="Z305" s="71"/>
      <c r="AA305" s="71">
        <f t="shared" si="195"/>
        <v>215949</v>
      </c>
    </row>
    <row r="306" spans="1:27" s="24" customFormat="1" ht="21" customHeight="1">
      <c r="A306" s="67"/>
      <c r="B306" s="72"/>
      <c r="C306" s="47">
        <v>4430</v>
      </c>
      <c r="D306" s="38" t="s">
        <v>94</v>
      </c>
      <c r="E306" s="71">
        <f>11000</f>
        <v>11000</v>
      </c>
      <c r="F306" s="71"/>
      <c r="G306" s="71">
        <f t="shared" si="185"/>
        <v>11000</v>
      </c>
      <c r="H306" s="71"/>
      <c r="I306" s="71">
        <f t="shared" si="186"/>
        <v>11000</v>
      </c>
      <c r="J306" s="71"/>
      <c r="K306" s="71">
        <f t="shared" si="187"/>
        <v>11000</v>
      </c>
      <c r="L306" s="71"/>
      <c r="M306" s="71">
        <f t="shared" si="188"/>
        <v>11000</v>
      </c>
      <c r="N306" s="71"/>
      <c r="O306" s="71">
        <f t="shared" si="189"/>
        <v>11000</v>
      </c>
      <c r="P306" s="71"/>
      <c r="Q306" s="71">
        <f t="shared" si="190"/>
        <v>11000</v>
      </c>
      <c r="R306" s="71"/>
      <c r="S306" s="71">
        <f t="shared" si="191"/>
        <v>11000</v>
      </c>
      <c r="T306" s="71"/>
      <c r="U306" s="71">
        <f t="shared" si="192"/>
        <v>11000</v>
      </c>
      <c r="V306" s="71"/>
      <c r="W306" s="71">
        <f t="shared" si="193"/>
        <v>11000</v>
      </c>
      <c r="X306" s="71"/>
      <c r="Y306" s="71">
        <f t="shared" si="194"/>
        <v>11000</v>
      </c>
      <c r="Z306" s="71"/>
      <c r="AA306" s="71">
        <f t="shared" si="195"/>
        <v>11000</v>
      </c>
    </row>
    <row r="307" spans="1:27" s="24" customFormat="1" ht="21" customHeight="1">
      <c r="A307" s="67"/>
      <c r="B307" s="87">
        <v>80146</v>
      </c>
      <c r="C307" s="70"/>
      <c r="D307" s="38" t="s">
        <v>146</v>
      </c>
      <c r="E307" s="81">
        <f aca="true" t="shared" si="196" ref="E307:W307">SUM(E308:E311)</f>
        <v>117315</v>
      </c>
      <c r="F307" s="81">
        <f t="shared" si="196"/>
        <v>0</v>
      </c>
      <c r="G307" s="81">
        <f t="shared" si="196"/>
        <v>117315</v>
      </c>
      <c r="H307" s="81">
        <f t="shared" si="196"/>
        <v>0</v>
      </c>
      <c r="I307" s="81">
        <f t="shared" si="196"/>
        <v>117315</v>
      </c>
      <c r="J307" s="81">
        <f t="shared" si="196"/>
        <v>0</v>
      </c>
      <c r="K307" s="81">
        <f t="shared" si="196"/>
        <v>117315</v>
      </c>
      <c r="L307" s="81">
        <f t="shared" si="196"/>
        <v>0</v>
      </c>
      <c r="M307" s="81">
        <f t="shared" si="196"/>
        <v>117315</v>
      </c>
      <c r="N307" s="81">
        <f t="shared" si="196"/>
        <v>0</v>
      </c>
      <c r="O307" s="81">
        <f t="shared" si="196"/>
        <v>117315</v>
      </c>
      <c r="P307" s="81">
        <f t="shared" si="196"/>
        <v>0</v>
      </c>
      <c r="Q307" s="81">
        <f t="shared" si="196"/>
        <v>117315</v>
      </c>
      <c r="R307" s="81">
        <f t="shared" si="196"/>
        <v>821</v>
      </c>
      <c r="S307" s="81">
        <f t="shared" si="196"/>
        <v>118136</v>
      </c>
      <c r="T307" s="81">
        <f t="shared" si="196"/>
        <v>0</v>
      </c>
      <c r="U307" s="81">
        <f t="shared" si="196"/>
        <v>118136</v>
      </c>
      <c r="V307" s="81">
        <f t="shared" si="196"/>
        <v>0</v>
      </c>
      <c r="W307" s="81">
        <f t="shared" si="196"/>
        <v>118136</v>
      </c>
      <c r="X307" s="81">
        <f>SUM(X308:X311)</f>
        <v>0</v>
      </c>
      <c r="Y307" s="81">
        <f>SUM(Y308:Y311)</f>
        <v>118136</v>
      </c>
      <c r="Z307" s="81">
        <f>SUM(Z308:Z311)</f>
        <v>0</v>
      </c>
      <c r="AA307" s="81">
        <f>SUM(AA308:AA311)</f>
        <v>118136</v>
      </c>
    </row>
    <row r="308" spans="1:27" s="24" customFormat="1" ht="22.5">
      <c r="A308" s="67"/>
      <c r="B308" s="87"/>
      <c r="C308" s="70">
        <v>2510</v>
      </c>
      <c r="D308" s="38" t="s">
        <v>125</v>
      </c>
      <c r="E308" s="81">
        <v>15642</v>
      </c>
      <c r="F308" s="81"/>
      <c r="G308" s="81">
        <f>SUM(E308:F308)</f>
        <v>15642</v>
      </c>
      <c r="H308" s="81"/>
      <c r="I308" s="81">
        <f>SUM(G308:H308)</f>
        <v>15642</v>
      </c>
      <c r="J308" s="81"/>
      <c r="K308" s="81">
        <f>SUM(I308:J308)</f>
        <v>15642</v>
      </c>
      <c r="L308" s="81"/>
      <c r="M308" s="81">
        <f>SUM(K308:L308)</f>
        <v>15642</v>
      </c>
      <c r="N308" s="81"/>
      <c r="O308" s="81">
        <f>SUM(M308:N308)</f>
        <v>15642</v>
      </c>
      <c r="P308" s="81"/>
      <c r="Q308" s="81">
        <f>SUM(O308:P308)</f>
        <v>15642</v>
      </c>
      <c r="R308" s="81"/>
      <c r="S308" s="81">
        <f>SUM(Q308:R308)</f>
        <v>15642</v>
      </c>
      <c r="T308" s="81"/>
      <c r="U308" s="81">
        <f>SUM(S308:T308)</f>
        <v>15642</v>
      </c>
      <c r="V308" s="81"/>
      <c r="W308" s="81">
        <f>SUM(U308:V308)</f>
        <v>15642</v>
      </c>
      <c r="X308" s="81"/>
      <c r="Y308" s="81">
        <f>SUM(W308:X308)</f>
        <v>15642</v>
      </c>
      <c r="Z308" s="81"/>
      <c r="AA308" s="81">
        <f>SUM(Y308:Z308)</f>
        <v>15642</v>
      </c>
    </row>
    <row r="309" spans="1:27" s="24" customFormat="1" ht="21" customHeight="1">
      <c r="A309" s="67"/>
      <c r="B309" s="87"/>
      <c r="C309" s="70">
        <v>4300</v>
      </c>
      <c r="D309" s="38" t="s">
        <v>79</v>
      </c>
      <c r="E309" s="81">
        <v>68259</v>
      </c>
      <c r="F309" s="81"/>
      <c r="G309" s="81">
        <f>SUM(E309:F309)</f>
        <v>68259</v>
      </c>
      <c r="H309" s="81"/>
      <c r="I309" s="81">
        <f>SUM(G309:H309)</f>
        <v>68259</v>
      </c>
      <c r="J309" s="81"/>
      <c r="K309" s="81">
        <f>SUM(I309:J309)</f>
        <v>68259</v>
      </c>
      <c r="L309" s="81">
        <v>-47303</v>
      </c>
      <c r="M309" s="81">
        <f>SUM(K309:L309)</f>
        <v>20956</v>
      </c>
      <c r="N309" s="81"/>
      <c r="O309" s="81">
        <f>SUM(M309:N309)</f>
        <v>20956</v>
      </c>
      <c r="P309" s="81"/>
      <c r="Q309" s="81">
        <f>SUM(O309:P309)</f>
        <v>20956</v>
      </c>
      <c r="R309" s="81">
        <v>-500</v>
      </c>
      <c r="S309" s="81">
        <f>SUM(Q309:R309)</f>
        <v>20456</v>
      </c>
      <c r="T309" s="81"/>
      <c r="U309" s="81">
        <f>SUM(S309:T309)</f>
        <v>20456</v>
      </c>
      <c r="V309" s="81"/>
      <c r="W309" s="81">
        <f>SUM(U309:V309)</f>
        <v>20456</v>
      </c>
      <c r="X309" s="81"/>
      <c r="Y309" s="81">
        <f>SUM(W309:X309)</f>
        <v>20456</v>
      </c>
      <c r="Z309" s="81"/>
      <c r="AA309" s="81">
        <f>SUM(Y309:Z309)</f>
        <v>20456</v>
      </c>
    </row>
    <row r="310" spans="1:27" s="24" customFormat="1" ht="21" customHeight="1">
      <c r="A310" s="67"/>
      <c r="B310" s="87"/>
      <c r="C310" s="70">
        <v>4410</v>
      </c>
      <c r="D310" s="38" t="s">
        <v>90</v>
      </c>
      <c r="E310" s="81"/>
      <c r="F310" s="81"/>
      <c r="G310" s="81"/>
      <c r="H310" s="81"/>
      <c r="I310" s="81"/>
      <c r="J310" s="81"/>
      <c r="K310" s="81">
        <v>0</v>
      </c>
      <c r="L310" s="81">
        <v>28494</v>
      </c>
      <c r="M310" s="81">
        <f>SUM(K310:L310)</f>
        <v>28494</v>
      </c>
      <c r="N310" s="81"/>
      <c r="O310" s="81">
        <f>SUM(M310:N310)</f>
        <v>28494</v>
      </c>
      <c r="P310" s="81"/>
      <c r="Q310" s="81">
        <f>SUM(O310:P310)</f>
        <v>28494</v>
      </c>
      <c r="R310" s="81">
        <v>5321</v>
      </c>
      <c r="S310" s="81">
        <f>SUM(Q310:R310)</f>
        <v>33815</v>
      </c>
      <c r="T310" s="81"/>
      <c r="U310" s="81">
        <f>SUM(S310:T310)</f>
        <v>33815</v>
      </c>
      <c r="V310" s="81"/>
      <c r="W310" s="81">
        <f>SUM(U310:V310)</f>
        <v>33815</v>
      </c>
      <c r="X310" s="81"/>
      <c r="Y310" s="81">
        <f>SUM(W310:X310)</f>
        <v>33815</v>
      </c>
      <c r="Z310" s="81"/>
      <c r="AA310" s="81">
        <f>SUM(Y310:Z310)</f>
        <v>33815</v>
      </c>
    </row>
    <row r="311" spans="1:27" s="24" customFormat="1" ht="22.5">
      <c r="A311" s="67"/>
      <c r="B311" s="87"/>
      <c r="C311" s="70">
        <v>4700</v>
      </c>
      <c r="D311" s="38" t="s">
        <v>249</v>
      </c>
      <c r="E311" s="81">
        <v>33414</v>
      </c>
      <c r="F311" s="81"/>
      <c r="G311" s="81">
        <f>SUM(E311:F311)</f>
        <v>33414</v>
      </c>
      <c r="H311" s="81"/>
      <c r="I311" s="81">
        <f>SUM(G311:H311)</f>
        <v>33414</v>
      </c>
      <c r="J311" s="81"/>
      <c r="K311" s="81">
        <f>SUM(I311:J311)</f>
        <v>33414</v>
      </c>
      <c r="L311" s="81">
        <v>18809</v>
      </c>
      <c r="M311" s="81">
        <f>SUM(K311:L311)</f>
        <v>52223</v>
      </c>
      <c r="N311" s="81"/>
      <c r="O311" s="81">
        <f>SUM(M311:N311)</f>
        <v>52223</v>
      </c>
      <c r="P311" s="81"/>
      <c r="Q311" s="81">
        <f>SUM(O311:P311)</f>
        <v>52223</v>
      </c>
      <c r="R311" s="81">
        <v>-4000</v>
      </c>
      <c r="S311" s="81">
        <f>SUM(Q311:R311)</f>
        <v>48223</v>
      </c>
      <c r="T311" s="81"/>
      <c r="U311" s="81">
        <f>SUM(S311:T311)</f>
        <v>48223</v>
      </c>
      <c r="V311" s="81"/>
      <c r="W311" s="81">
        <f>SUM(U311:V311)</f>
        <v>48223</v>
      </c>
      <c r="X311" s="81"/>
      <c r="Y311" s="81">
        <f>SUM(W311:X311)</f>
        <v>48223</v>
      </c>
      <c r="Z311" s="81"/>
      <c r="AA311" s="81">
        <f>SUM(Y311:Z311)</f>
        <v>48223</v>
      </c>
    </row>
    <row r="312" spans="1:27" s="24" customFormat="1" ht="21" customHeight="1">
      <c r="A312" s="67"/>
      <c r="B312" s="87">
        <v>80148</v>
      </c>
      <c r="C312" s="70"/>
      <c r="D312" s="38" t="s">
        <v>429</v>
      </c>
      <c r="E312" s="81">
        <f aca="true" t="shared" si="197" ref="E312:W312">SUM(E313:E326)</f>
        <v>293509</v>
      </c>
      <c r="F312" s="81">
        <f t="shared" si="197"/>
        <v>0</v>
      </c>
      <c r="G312" s="81">
        <f t="shared" si="197"/>
        <v>293509</v>
      </c>
      <c r="H312" s="81">
        <f t="shared" si="197"/>
        <v>0</v>
      </c>
      <c r="I312" s="81">
        <f t="shared" si="197"/>
        <v>293509</v>
      </c>
      <c r="J312" s="81">
        <f t="shared" si="197"/>
        <v>0</v>
      </c>
      <c r="K312" s="81">
        <f t="shared" si="197"/>
        <v>293509</v>
      </c>
      <c r="L312" s="81">
        <f t="shared" si="197"/>
        <v>0</v>
      </c>
      <c r="M312" s="81">
        <f t="shared" si="197"/>
        <v>293509</v>
      </c>
      <c r="N312" s="81">
        <f t="shared" si="197"/>
        <v>0</v>
      </c>
      <c r="O312" s="81">
        <f t="shared" si="197"/>
        <v>293509</v>
      </c>
      <c r="P312" s="81">
        <f t="shared" si="197"/>
        <v>0</v>
      </c>
      <c r="Q312" s="81">
        <f t="shared" si="197"/>
        <v>293509</v>
      </c>
      <c r="R312" s="81">
        <f t="shared" si="197"/>
        <v>0</v>
      </c>
      <c r="S312" s="81">
        <f t="shared" si="197"/>
        <v>293509</v>
      </c>
      <c r="T312" s="81">
        <f t="shared" si="197"/>
        <v>0</v>
      </c>
      <c r="U312" s="81">
        <f t="shared" si="197"/>
        <v>293509</v>
      </c>
      <c r="V312" s="81">
        <f t="shared" si="197"/>
        <v>0</v>
      </c>
      <c r="W312" s="81">
        <f t="shared" si="197"/>
        <v>293509</v>
      </c>
      <c r="X312" s="81">
        <f>SUM(X313:X326)</f>
        <v>0</v>
      </c>
      <c r="Y312" s="81">
        <f>SUM(Y313:Y326)</f>
        <v>293509</v>
      </c>
      <c r="Z312" s="81">
        <f>SUM(Z313:Z326)</f>
        <v>0</v>
      </c>
      <c r="AA312" s="81">
        <f>SUM(AA313:AA326)</f>
        <v>293509</v>
      </c>
    </row>
    <row r="313" spans="1:27" s="24" customFormat="1" ht="22.5">
      <c r="A313" s="67"/>
      <c r="B313" s="87"/>
      <c r="C313" s="86">
        <v>3020</v>
      </c>
      <c r="D313" s="38" t="s">
        <v>188</v>
      </c>
      <c r="E313" s="81">
        <v>1045</v>
      </c>
      <c r="F313" s="81"/>
      <c r="G313" s="81">
        <f>SUM(E313:F313)</f>
        <v>1045</v>
      </c>
      <c r="H313" s="81"/>
      <c r="I313" s="81">
        <f>SUM(G313:H313)</f>
        <v>1045</v>
      </c>
      <c r="J313" s="81"/>
      <c r="K313" s="81">
        <f>SUM(I313:J313)</f>
        <v>1045</v>
      </c>
      <c r="L313" s="81"/>
      <c r="M313" s="81">
        <f>SUM(K313:L313)</f>
        <v>1045</v>
      </c>
      <c r="N313" s="81"/>
      <c r="O313" s="81">
        <f>SUM(M313:N313)</f>
        <v>1045</v>
      </c>
      <c r="P313" s="81"/>
      <c r="Q313" s="81">
        <f>SUM(O313:P313)</f>
        <v>1045</v>
      </c>
      <c r="R313" s="81"/>
      <c r="S313" s="81">
        <f>SUM(Q313:R313)</f>
        <v>1045</v>
      </c>
      <c r="T313" s="81"/>
      <c r="U313" s="81">
        <f>SUM(S313:T313)</f>
        <v>1045</v>
      </c>
      <c r="V313" s="81"/>
      <c r="W313" s="81">
        <f>SUM(U313:V313)</f>
        <v>1045</v>
      </c>
      <c r="X313" s="81"/>
      <c r="Y313" s="81">
        <f>SUM(W313:X313)</f>
        <v>1045</v>
      </c>
      <c r="Z313" s="81"/>
      <c r="AA313" s="81">
        <f>SUM(Y313:Z313)</f>
        <v>1045</v>
      </c>
    </row>
    <row r="314" spans="1:30" s="24" customFormat="1" ht="21" customHeight="1">
      <c r="A314" s="67"/>
      <c r="B314" s="87"/>
      <c r="C314" s="86">
        <v>4010</v>
      </c>
      <c r="D314" s="38" t="s">
        <v>84</v>
      </c>
      <c r="E314" s="81">
        <v>115014</v>
      </c>
      <c r="F314" s="81"/>
      <c r="G314" s="81">
        <f aca="true" t="shared" si="198" ref="G314:G326">SUM(E314:F314)</f>
        <v>115014</v>
      </c>
      <c r="H314" s="81"/>
      <c r="I314" s="81">
        <f aca="true" t="shared" si="199" ref="I314:I326">SUM(G314:H314)</f>
        <v>115014</v>
      </c>
      <c r="J314" s="81"/>
      <c r="K314" s="81">
        <f aca="true" t="shared" si="200" ref="K314:K326">SUM(I314:J314)</f>
        <v>115014</v>
      </c>
      <c r="L314" s="81">
        <v>443</v>
      </c>
      <c r="M314" s="81">
        <f aca="true" t="shared" si="201" ref="M314:M326">SUM(K314:L314)</f>
        <v>115457</v>
      </c>
      <c r="N314" s="81"/>
      <c r="O314" s="81">
        <f aca="true" t="shared" si="202" ref="O314:O326">SUM(M314:N314)</f>
        <v>115457</v>
      </c>
      <c r="P314" s="81"/>
      <c r="Q314" s="81">
        <f aca="true" t="shared" si="203" ref="Q314:Q326">SUM(O314:P314)</f>
        <v>115457</v>
      </c>
      <c r="R314" s="81"/>
      <c r="S314" s="81">
        <f aca="true" t="shared" si="204" ref="S314:S326">SUM(Q314:R314)</f>
        <v>115457</v>
      </c>
      <c r="T314" s="81"/>
      <c r="U314" s="81">
        <f aca="true" t="shared" si="205" ref="U314:U326">SUM(S314:T314)</f>
        <v>115457</v>
      </c>
      <c r="V314" s="81"/>
      <c r="W314" s="81">
        <f aca="true" t="shared" si="206" ref="W314:W326">SUM(U314:V314)</f>
        <v>115457</v>
      </c>
      <c r="X314" s="81"/>
      <c r="Y314" s="81">
        <f aca="true" t="shared" si="207" ref="Y314:Y326">SUM(W314:X314)</f>
        <v>115457</v>
      </c>
      <c r="Z314" s="81"/>
      <c r="AA314" s="81">
        <f aca="true" t="shared" si="208" ref="AA314:AA326">SUM(Y314:Z314)</f>
        <v>115457</v>
      </c>
      <c r="AB314" s="119"/>
      <c r="AC314" s="119"/>
      <c r="AD314" s="119"/>
    </row>
    <row r="315" spans="1:30" s="24" customFormat="1" ht="21" customHeight="1">
      <c r="A315" s="67"/>
      <c r="B315" s="87"/>
      <c r="C315" s="86">
        <v>4040</v>
      </c>
      <c r="D315" s="38" t="s">
        <v>85</v>
      </c>
      <c r="E315" s="81">
        <v>8743</v>
      </c>
      <c r="F315" s="81"/>
      <c r="G315" s="81">
        <f t="shared" si="198"/>
        <v>8743</v>
      </c>
      <c r="H315" s="81"/>
      <c r="I315" s="81">
        <f t="shared" si="199"/>
        <v>8743</v>
      </c>
      <c r="J315" s="81"/>
      <c r="K315" s="81">
        <f t="shared" si="200"/>
        <v>8743</v>
      </c>
      <c r="L315" s="81">
        <v>-443</v>
      </c>
      <c r="M315" s="81">
        <f t="shared" si="201"/>
        <v>8300</v>
      </c>
      <c r="N315" s="81"/>
      <c r="O315" s="81">
        <f t="shared" si="202"/>
        <v>8300</v>
      </c>
      <c r="P315" s="81"/>
      <c r="Q315" s="81">
        <f t="shared" si="203"/>
        <v>8300</v>
      </c>
      <c r="R315" s="81"/>
      <c r="S315" s="81">
        <f t="shared" si="204"/>
        <v>8300</v>
      </c>
      <c r="T315" s="81"/>
      <c r="U315" s="81">
        <f t="shared" si="205"/>
        <v>8300</v>
      </c>
      <c r="V315" s="81"/>
      <c r="W315" s="81">
        <f t="shared" si="206"/>
        <v>8300</v>
      </c>
      <c r="X315" s="81"/>
      <c r="Y315" s="81">
        <f t="shared" si="207"/>
        <v>8300</v>
      </c>
      <c r="Z315" s="81"/>
      <c r="AA315" s="81">
        <f t="shared" si="208"/>
        <v>8300</v>
      </c>
      <c r="AB315" s="119"/>
      <c r="AC315" s="119"/>
      <c r="AD315" s="119"/>
    </row>
    <row r="316" spans="1:30" s="24" customFormat="1" ht="21" customHeight="1">
      <c r="A316" s="67"/>
      <c r="B316" s="87"/>
      <c r="C316" s="86">
        <v>4110</v>
      </c>
      <c r="D316" s="38" t="s">
        <v>86</v>
      </c>
      <c r="E316" s="81">
        <v>18184</v>
      </c>
      <c r="F316" s="81"/>
      <c r="G316" s="81">
        <f t="shared" si="198"/>
        <v>18184</v>
      </c>
      <c r="H316" s="81"/>
      <c r="I316" s="81">
        <f t="shared" si="199"/>
        <v>18184</v>
      </c>
      <c r="J316" s="81"/>
      <c r="K316" s="81">
        <f t="shared" si="200"/>
        <v>18184</v>
      </c>
      <c r="L316" s="81"/>
      <c r="M316" s="81">
        <f t="shared" si="201"/>
        <v>18184</v>
      </c>
      <c r="N316" s="81"/>
      <c r="O316" s="81">
        <f t="shared" si="202"/>
        <v>18184</v>
      </c>
      <c r="P316" s="81"/>
      <c r="Q316" s="81">
        <f t="shared" si="203"/>
        <v>18184</v>
      </c>
      <c r="R316" s="81"/>
      <c r="S316" s="81">
        <f t="shared" si="204"/>
        <v>18184</v>
      </c>
      <c r="T316" s="81"/>
      <c r="U316" s="81">
        <f t="shared" si="205"/>
        <v>18184</v>
      </c>
      <c r="V316" s="81"/>
      <c r="W316" s="81">
        <f t="shared" si="206"/>
        <v>18184</v>
      </c>
      <c r="X316" s="81"/>
      <c r="Y316" s="81">
        <f t="shared" si="207"/>
        <v>18184</v>
      </c>
      <c r="Z316" s="81"/>
      <c r="AA316" s="81">
        <f t="shared" si="208"/>
        <v>18184</v>
      </c>
      <c r="AB316" s="119"/>
      <c r="AC316" s="119"/>
      <c r="AD316" s="119"/>
    </row>
    <row r="317" spans="1:30" s="24" customFormat="1" ht="21" customHeight="1">
      <c r="A317" s="67"/>
      <c r="B317" s="87"/>
      <c r="C317" s="86">
        <v>4120</v>
      </c>
      <c r="D317" s="38" t="s">
        <v>87</v>
      </c>
      <c r="E317" s="81">
        <v>2852</v>
      </c>
      <c r="F317" s="81"/>
      <c r="G317" s="81">
        <f t="shared" si="198"/>
        <v>2852</v>
      </c>
      <c r="H317" s="81"/>
      <c r="I317" s="81">
        <f t="shared" si="199"/>
        <v>2852</v>
      </c>
      <c r="J317" s="81"/>
      <c r="K317" s="81">
        <f t="shared" si="200"/>
        <v>2852</v>
      </c>
      <c r="L317" s="81"/>
      <c r="M317" s="81">
        <f t="shared" si="201"/>
        <v>2852</v>
      </c>
      <c r="N317" s="81"/>
      <c r="O317" s="81">
        <f t="shared" si="202"/>
        <v>2852</v>
      </c>
      <c r="P317" s="81"/>
      <c r="Q317" s="81">
        <f t="shared" si="203"/>
        <v>2852</v>
      </c>
      <c r="R317" s="81"/>
      <c r="S317" s="81">
        <f t="shared" si="204"/>
        <v>2852</v>
      </c>
      <c r="T317" s="81"/>
      <c r="U317" s="81">
        <f t="shared" si="205"/>
        <v>2852</v>
      </c>
      <c r="V317" s="81"/>
      <c r="W317" s="81">
        <f t="shared" si="206"/>
        <v>2852</v>
      </c>
      <c r="X317" s="81"/>
      <c r="Y317" s="81">
        <f t="shared" si="207"/>
        <v>2852</v>
      </c>
      <c r="Z317" s="81"/>
      <c r="AA317" s="81">
        <f t="shared" si="208"/>
        <v>2852</v>
      </c>
      <c r="AB317" s="119"/>
      <c r="AC317" s="119"/>
      <c r="AD317" s="119"/>
    </row>
    <row r="318" spans="1:30" s="24" customFormat="1" ht="21" customHeight="1">
      <c r="A318" s="67"/>
      <c r="B318" s="87"/>
      <c r="C318" s="86">
        <v>4170</v>
      </c>
      <c r="D318" s="38" t="s">
        <v>190</v>
      </c>
      <c r="E318" s="81">
        <v>4000</v>
      </c>
      <c r="F318" s="81"/>
      <c r="G318" s="81">
        <f t="shared" si="198"/>
        <v>4000</v>
      </c>
      <c r="H318" s="81"/>
      <c r="I318" s="81">
        <f t="shared" si="199"/>
        <v>4000</v>
      </c>
      <c r="J318" s="81"/>
      <c r="K318" s="81">
        <f t="shared" si="200"/>
        <v>4000</v>
      </c>
      <c r="L318" s="81"/>
      <c r="M318" s="81">
        <f t="shared" si="201"/>
        <v>4000</v>
      </c>
      <c r="N318" s="81"/>
      <c r="O318" s="81">
        <f t="shared" si="202"/>
        <v>4000</v>
      </c>
      <c r="P318" s="81"/>
      <c r="Q318" s="81">
        <f t="shared" si="203"/>
        <v>4000</v>
      </c>
      <c r="R318" s="81"/>
      <c r="S318" s="81">
        <f t="shared" si="204"/>
        <v>4000</v>
      </c>
      <c r="T318" s="81"/>
      <c r="U318" s="81">
        <f t="shared" si="205"/>
        <v>4000</v>
      </c>
      <c r="V318" s="81"/>
      <c r="W318" s="81">
        <f t="shared" si="206"/>
        <v>4000</v>
      </c>
      <c r="X318" s="81"/>
      <c r="Y318" s="81">
        <f t="shared" si="207"/>
        <v>4000</v>
      </c>
      <c r="Z318" s="81"/>
      <c r="AA318" s="81">
        <f t="shared" si="208"/>
        <v>4000</v>
      </c>
      <c r="AB318" s="119"/>
      <c r="AC318" s="119"/>
      <c r="AD318" s="119"/>
    </row>
    <row r="319" spans="1:27" s="24" customFormat="1" ht="21" customHeight="1">
      <c r="A319" s="67"/>
      <c r="B319" s="87"/>
      <c r="C319" s="86">
        <v>4210</v>
      </c>
      <c r="D319" s="38" t="s">
        <v>72</v>
      </c>
      <c r="E319" s="81">
        <v>8960</v>
      </c>
      <c r="F319" s="81"/>
      <c r="G319" s="81">
        <f t="shared" si="198"/>
        <v>8960</v>
      </c>
      <c r="H319" s="81"/>
      <c r="I319" s="81">
        <f t="shared" si="199"/>
        <v>8960</v>
      </c>
      <c r="J319" s="81"/>
      <c r="K319" s="81">
        <f t="shared" si="200"/>
        <v>8960</v>
      </c>
      <c r="L319" s="81"/>
      <c r="M319" s="81">
        <f t="shared" si="201"/>
        <v>8960</v>
      </c>
      <c r="N319" s="81"/>
      <c r="O319" s="81">
        <f t="shared" si="202"/>
        <v>8960</v>
      </c>
      <c r="P319" s="81"/>
      <c r="Q319" s="81">
        <f t="shared" si="203"/>
        <v>8960</v>
      </c>
      <c r="R319" s="81"/>
      <c r="S319" s="81">
        <f t="shared" si="204"/>
        <v>8960</v>
      </c>
      <c r="T319" s="81"/>
      <c r="U319" s="81">
        <f t="shared" si="205"/>
        <v>8960</v>
      </c>
      <c r="V319" s="81"/>
      <c r="W319" s="81">
        <f t="shared" si="206"/>
        <v>8960</v>
      </c>
      <c r="X319" s="81"/>
      <c r="Y319" s="81">
        <f t="shared" si="207"/>
        <v>8960</v>
      </c>
      <c r="Z319" s="81"/>
      <c r="AA319" s="81">
        <f t="shared" si="208"/>
        <v>8960</v>
      </c>
    </row>
    <row r="320" spans="1:27" s="24" customFormat="1" ht="21" customHeight="1">
      <c r="A320" s="67"/>
      <c r="B320" s="87"/>
      <c r="C320" s="86">
        <v>4220</v>
      </c>
      <c r="D320" s="13" t="s">
        <v>179</v>
      </c>
      <c r="E320" s="81">
        <v>122700</v>
      </c>
      <c r="F320" s="81"/>
      <c r="G320" s="81">
        <f t="shared" si="198"/>
        <v>122700</v>
      </c>
      <c r="H320" s="81"/>
      <c r="I320" s="81">
        <f t="shared" si="199"/>
        <v>122700</v>
      </c>
      <c r="J320" s="81"/>
      <c r="K320" s="81">
        <f t="shared" si="200"/>
        <v>122700</v>
      </c>
      <c r="L320" s="81"/>
      <c r="M320" s="81">
        <f t="shared" si="201"/>
        <v>122700</v>
      </c>
      <c r="N320" s="81"/>
      <c r="O320" s="81">
        <f t="shared" si="202"/>
        <v>122700</v>
      </c>
      <c r="P320" s="81"/>
      <c r="Q320" s="81">
        <f t="shared" si="203"/>
        <v>122700</v>
      </c>
      <c r="R320" s="81"/>
      <c r="S320" s="81">
        <f t="shared" si="204"/>
        <v>122700</v>
      </c>
      <c r="T320" s="81"/>
      <c r="U320" s="81">
        <f t="shared" si="205"/>
        <v>122700</v>
      </c>
      <c r="V320" s="81"/>
      <c r="W320" s="81">
        <f t="shared" si="206"/>
        <v>122700</v>
      </c>
      <c r="X320" s="81"/>
      <c r="Y320" s="81">
        <f t="shared" si="207"/>
        <v>122700</v>
      </c>
      <c r="Z320" s="81"/>
      <c r="AA320" s="81">
        <f t="shared" si="208"/>
        <v>122700</v>
      </c>
    </row>
    <row r="321" spans="1:27" s="24" customFormat="1" ht="22.5">
      <c r="A321" s="67"/>
      <c r="B321" s="87"/>
      <c r="C321" s="86">
        <v>4230</v>
      </c>
      <c r="D321" s="38" t="s">
        <v>247</v>
      </c>
      <c r="E321" s="81">
        <v>100</v>
      </c>
      <c r="F321" s="81"/>
      <c r="G321" s="81">
        <f t="shared" si="198"/>
        <v>100</v>
      </c>
      <c r="H321" s="81"/>
      <c r="I321" s="81">
        <f t="shared" si="199"/>
        <v>100</v>
      </c>
      <c r="J321" s="81"/>
      <c r="K321" s="81">
        <f t="shared" si="200"/>
        <v>100</v>
      </c>
      <c r="L321" s="81"/>
      <c r="M321" s="81">
        <f t="shared" si="201"/>
        <v>100</v>
      </c>
      <c r="N321" s="81"/>
      <c r="O321" s="81">
        <f t="shared" si="202"/>
        <v>100</v>
      </c>
      <c r="P321" s="81"/>
      <c r="Q321" s="81">
        <f t="shared" si="203"/>
        <v>100</v>
      </c>
      <c r="R321" s="81"/>
      <c r="S321" s="81">
        <f t="shared" si="204"/>
        <v>100</v>
      </c>
      <c r="T321" s="81"/>
      <c r="U321" s="81">
        <f t="shared" si="205"/>
        <v>100</v>
      </c>
      <c r="V321" s="81"/>
      <c r="W321" s="81">
        <f t="shared" si="206"/>
        <v>100</v>
      </c>
      <c r="X321" s="81"/>
      <c r="Y321" s="81">
        <f t="shared" si="207"/>
        <v>100</v>
      </c>
      <c r="Z321" s="81"/>
      <c r="AA321" s="81">
        <f t="shared" si="208"/>
        <v>100</v>
      </c>
    </row>
    <row r="322" spans="1:27" s="24" customFormat="1" ht="21" customHeight="1">
      <c r="A322" s="67"/>
      <c r="B322" s="87"/>
      <c r="C322" s="86">
        <v>4270</v>
      </c>
      <c r="D322" s="13" t="s">
        <v>78</v>
      </c>
      <c r="E322" s="81">
        <v>1300</v>
      </c>
      <c r="F322" s="81"/>
      <c r="G322" s="81">
        <f t="shared" si="198"/>
        <v>1300</v>
      </c>
      <c r="H322" s="81"/>
      <c r="I322" s="81">
        <f t="shared" si="199"/>
        <v>1300</v>
      </c>
      <c r="J322" s="81"/>
      <c r="K322" s="81">
        <f t="shared" si="200"/>
        <v>1300</v>
      </c>
      <c r="L322" s="81"/>
      <c r="M322" s="81">
        <f t="shared" si="201"/>
        <v>1300</v>
      </c>
      <c r="N322" s="81"/>
      <c r="O322" s="81">
        <f t="shared" si="202"/>
        <v>1300</v>
      </c>
      <c r="P322" s="81"/>
      <c r="Q322" s="81">
        <f t="shared" si="203"/>
        <v>1300</v>
      </c>
      <c r="R322" s="81"/>
      <c r="S322" s="81">
        <f t="shared" si="204"/>
        <v>1300</v>
      </c>
      <c r="T322" s="81"/>
      <c r="U322" s="81">
        <f t="shared" si="205"/>
        <v>1300</v>
      </c>
      <c r="V322" s="81"/>
      <c r="W322" s="81">
        <f t="shared" si="206"/>
        <v>1300</v>
      </c>
      <c r="X322" s="81"/>
      <c r="Y322" s="81">
        <f t="shared" si="207"/>
        <v>1300</v>
      </c>
      <c r="Z322" s="81"/>
      <c r="AA322" s="81">
        <f t="shared" si="208"/>
        <v>1300</v>
      </c>
    </row>
    <row r="323" spans="1:27" s="24" customFormat="1" ht="21" customHeight="1">
      <c r="A323" s="67"/>
      <c r="B323" s="87"/>
      <c r="C323" s="86">
        <v>4280</v>
      </c>
      <c r="D323" s="38" t="s">
        <v>197</v>
      </c>
      <c r="E323" s="81">
        <v>560</v>
      </c>
      <c r="F323" s="81"/>
      <c r="G323" s="81">
        <f t="shared" si="198"/>
        <v>560</v>
      </c>
      <c r="H323" s="81"/>
      <c r="I323" s="81">
        <f t="shared" si="199"/>
        <v>560</v>
      </c>
      <c r="J323" s="81"/>
      <c r="K323" s="81">
        <f t="shared" si="200"/>
        <v>560</v>
      </c>
      <c r="L323" s="81"/>
      <c r="M323" s="81">
        <f t="shared" si="201"/>
        <v>560</v>
      </c>
      <c r="N323" s="81"/>
      <c r="O323" s="81">
        <f t="shared" si="202"/>
        <v>560</v>
      </c>
      <c r="P323" s="81"/>
      <c r="Q323" s="81">
        <f t="shared" si="203"/>
        <v>560</v>
      </c>
      <c r="R323" s="81"/>
      <c r="S323" s="81">
        <f t="shared" si="204"/>
        <v>560</v>
      </c>
      <c r="T323" s="81"/>
      <c r="U323" s="81">
        <f t="shared" si="205"/>
        <v>560</v>
      </c>
      <c r="V323" s="81"/>
      <c r="W323" s="81">
        <f t="shared" si="206"/>
        <v>560</v>
      </c>
      <c r="X323" s="81"/>
      <c r="Y323" s="81">
        <f t="shared" si="207"/>
        <v>560</v>
      </c>
      <c r="Z323" s="81"/>
      <c r="AA323" s="81">
        <f t="shared" si="208"/>
        <v>560</v>
      </c>
    </row>
    <row r="324" spans="1:27" s="24" customFormat="1" ht="21" customHeight="1">
      <c r="A324" s="67"/>
      <c r="B324" s="87"/>
      <c r="C324" s="86">
        <v>4300</v>
      </c>
      <c r="D324" s="38" t="s">
        <v>79</v>
      </c>
      <c r="E324" s="81">
        <v>600</v>
      </c>
      <c r="F324" s="81"/>
      <c r="G324" s="81">
        <f t="shared" si="198"/>
        <v>600</v>
      </c>
      <c r="H324" s="81"/>
      <c r="I324" s="81">
        <f t="shared" si="199"/>
        <v>600</v>
      </c>
      <c r="J324" s="81"/>
      <c r="K324" s="81">
        <f t="shared" si="200"/>
        <v>600</v>
      </c>
      <c r="L324" s="81"/>
      <c r="M324" s="81">
        <f t="shared" si="201"/>
        <v>600</v>
      </c>
      <c r="N324" s="81"/>
      <c r="O324" s="81">
        <f t="shared" si="202"/>
        <v>600</v>
      </c>
      <c r="P324" s="81"/>
      <c r="Q324" s="81">
        <f t="shared" si="203"/>
        <v>600</v>
      </c>
      <c r="R324" s="81"/>
      <c r="S324" s="81">
        <f t="shared" si="204"/>
        <v>600</v>
      </c>
      <c r="T324" s="81"/>
      <c r="U324" s="81">
        <f t="shared" si="205"/>
        <v>600</v>
      </c>
      <c r="V324" s="81"/>
      <c r="W324" s="81">
        <f t="shared" si="206"/>
        <v>600</v>
      </c>
      <c r="X324" s="81"/>
      <c r="Y324" s="81">
        <f t="shared" si="207"/>
        <v>600</v>
      </c>
      <c r="Z324" s="81"/>
      <c r="AA324" s="81">
        <f t="shared" si="208"/>
        <v>600</v>
      </c>
    </row>
    <row r="325" spans="1:27" s="24" customFormat="1" ht="22.5">
      <c r="A325" s="67"/>
      <c r="B325" s="87"/>
      <c r="C325" s="86">
        <v>4440</v>
      </c>
      <c r="D325" s="38" t="s">
        <v>88</v>
      </c>
      <c r="E325" s="81">
        <v>5451</v>
      </c>
      <c r="F325" s="81"/>
      <c r="G325" s="81">
        <f t="shared" si="198"/>
        <v>5451</v>
      </c>
      <c r="H325" s="81"/>
      <c r="I325" s="81">
        <f t="shared" si="199"/>
        <v>5451</v>
      </c>
      <c r="J325" s="81"/>
      <c r="K325" s="81">
        <f t="shared" si="200"/>
        <v>5451</v>
      </c>
      <c r="L325" s="81"/>
      <c r="M325" s="81">
        <f t="shared" si="201"/>
        <v>5451</v>
      </c>
      <c r="N325" s="81"/>
      <c r="O325" s="81">
        <f t="shared" si="202"/>
        <v>5451</v>
      </c>
      <c r="P325" s="81"/>
      <c r="Q325" s="81">
        <f t="shared" si="203"/>
        <v>5451</v>
      </c>
      <c r="R325" s="81"/>
      <c r="S325" s="81">
        <f t="shared" si="204"/>
        <v>5451</v>
      </c>
      <c r="T325" s="81"/>
      <c r="U325" s="81">
        <f t="shared" si="205"/>
        <v>5451</v>
      </c>
      <c r="V325" s="81"/>
      <c r="W325" s="81">
        <f t="shared" si="206"/>
        <v>5451</v>
      </c>
      <c r="X325" s="81"/>
      <c r="Y325" s="81">
        <f t="shared" si="207"/>
        <v>5451</v>
      </c>
      <c r="Z325" s="81"/>
      <c r="AA325" s="81">
        <f t="shared" si="208"/>
        <v>5451</v>
      </c>
    </row>
    <row r="326" spans="1:27" s="24" customFormat="1" ht="22.5">
      <c r="A326" s="67"/>
      <c r="B326" s="87"/>
      <c r="C326" s="86">
        <v>6060</v>
      </c>
      <c r="D326" s="38" t="s">
        <v>96</v>
      </c>
      <c r="E326" s="81">
        <v>4000</v>
      </c>
      <c r="F326" s="81"/>
      <c r="G326" s="81">
        <f t="shared" si="198"/>
        <v>4000</v>
      </c>
      <c r="H326" s="81"/>
      <c r="I326" s="81">
        <f t="shared" si="199"/>
        <v>4000</v>
      </c>
      <c r="J326" s="81"/>
      <c r="K326" s="81">
        <f t="shared" si="200"/>
        <v>4000</v>
      </c>
      <c r="L326" s="81"/>
      <c r="M326" s="81">
        <f t="shared" si="201"/>
        <v>4000</v>
      </c>
      <c r="N326" s="81"/>
      <c r="O326" s="81">
        <f t="shared" si="202"/>
        <v>4000</v>
      </c>
      <c r="P326" s="81"/>
      <c r="Q326" s="81">
        <f t="shared" si="203"/>
        <v>4000</v>
      </c>
      <c r="R326" s="81"/>
      <c r="S326" s="81">
        <f t="shared" si="204"/>
        <v>4000</v>
      </c>
      <c r="T326" s="81"/>
      <c r="U326" s="81">
        <f t="shared" si="205"/>
        <v>4000</v>
      </c>
      <c r="V326" s="81"/>
      <c r="W326" s="81">
        <f t="shared" si="206"/>
        <v>4000</v>
      </c>
      <c r="X326" s="81"/>
      <c r="Y326" s="81">
        <f t="shared" si="207"/>
        <v>4000</v>
      </c>
      <c r="Z326" s="81"/>
      <c r="AA326" s="81">
        <f t="shared" si="208"/>
        <v>4000</v>
      </c>
    </row>
    <row r="327" spans="1:27" s="24" customFormat="1" ht="21" customHeight="1">
      <c r="A327" s="67"/>
      <c r="B327" s="82">
        <v>80195</v>
      </c>
      <c r="C327" s="67"/>
      <c r="D327" s="38" t="s">
        <v>6</v>
      </c>
      <c r="E327" s="81">
        <f aca="true" t="shared" si="209" ref="E327:W327">SUM(E328:E331)</f>
        <v>185941</v>
      </c>
      <c r="F327" s="81">
        <f t="shared" si="209"/>
        <v>0</v>
      </c>
      <c r="G327" s="81">
        <f t="shared" si="209"/>
        <v>185941</v>
      </c>
      <c r="H327" s="81">
        <f t="shared" si="209"/>
        <v>0</v>
      </c>
      <c r="I327" s="81">
        <f t="shared" si="209"/>
        <v>185941</v>
      </c>
      <c r="J327" s="81">
        <f t="shared" si="209"/>
        <v>0</v>
      </c>
      <c r="K327" s="81">
        <f t="shared" si="209"/>
        <v>185941</v>
      </c>
      <c r="L327" s="81">
        <f t="shared" si="209"/>
        <v>0</v>
      </c>
      <c r="M327" s="81">
        <f t="shared" si="209"/>
        <v>185941</v>
      </c>
      <c r="N327" s="81">
        <f t="shared" si="209"/>
        <v>0</v>
      </c>
      <c r="O327" s="81">
        <f t="shared" si="209"/>
        <v>185941</v>
      </c>
      <c r="P327" s="81">
        <f t="shared" si="209"/>
        <v>0</v>
      </c>
      <c r="Q327" s="81">
        <f t="shared" si="209"/>
        <v>185941</v>
      </c>
      <c r="R327" s="81">
        <f t="shared" si="209"/>
        <v>0</v>
      </c>
      <c r="S327" s="81">
        <f t="shared" si="209"/>
        <v>185941</v>
      </c>
      <c r="T327" s="81">
        <f t="shared" si="209"/>
        <v>0</v>
      </c>
      <c r="U327" s="81">
        <f t="shared" si="209"/>
        <v>185941</v>
      </c>
      <c r="V327" s="81">
        <f t="shared" si="209"/>
        <v>0</v>
      </c>
      <c r="W327" s="81">
        <f t="shared" si="209"/>
        <v>185941</v>
      </c>
      <c r="X327" s="81">
        <f>SUM(X328:X331)</f>
        <v>0</v>
      </c>
      <c r="Y327" s="81">
        <f>SUM(Y328:Y331)</f>
        <v>185941</v>
      </c>
      <c r="Z327" s="81">
        <f>SUM(Z328:Z331)</f>
        <v>0</v>
      </c>
      <c r="AA327" s="81">
        <f>SUM(AA328:AA331)</f>
        <v>185941</v>
      </c>
    </row>
    <row r="328" spans="1:30" s="24" customFormat="1" ht="21" customHeight="1">
      <c r="A328" s="67"/>
      <c r="B328" s="82"/>
      <c r="C328" s="67">
        <v>4170</v>
      </c>
      <c r="D328" s="38" t="s">
        <v>190</v>
      </c>
      <c r="E328" s="81">
        <v>1060</v>
      </c>
      <c r="F328" s="81"/>
      <c r="G328" s="81">
        <f>SUM(E328:F328)</f>
        <v>1060</v>
      </c>
      <c r="H328" s="81"/>
      <c r="I328" s="81">
        <f>SUM(G328:H328)</f>
        <v>1060</v>
      </c>
      <c r="J328" s="81"/>
      <c r="K328" s="81">
        <f>SUM(I328:J328)</f>
        <v>1060</v>
      </c>
      <c r="L328" s="81"/>
      <c r="M328" s="81">
        <f>SUM(K328:L328)</f>
        <v>1060</v>
      </c>
      <c r="N328" s="81"/>
      <c r="O328" s="81">
        <f>SUM(M328:N328)</f>
        <v>1060</v>
      </c>
      <c r="P328" s="81"/>
      <c r="Q328" s="81">
        <f>SUM(O328:P328)</f>
        <v>1060</v>
      </c>
      <c r="R328" s="81"/>
      <c r="S328" s="81">
        <f>SUM(Q328:R328)</f>
        <v>1060</v>
      </c>
      <c r="T328" s="81"/>
      <c r="U328" s="81">
        <f>SUM(S328:T328)</f>
        <v>1060</v>
      </c>
      <c r="V328" s="81"/>
      <c r="W328" s="81">
        <f>SUM(U328:V328)</f>
        <v>1060</v>
      </c>
      <c r="X328" s="81"/>
      <c r="Y328" s="81">
        <f>SUM(W328:X328)</f>
        <v>1060</v>
      </c>
      <c r="Z328" s="81"/>
      <c r="AA328" s="81">
        <f>SUM(Y328:Z328)</f>
        <v>1060</v>
      </c>
      <c r="AB328" s="119"/>
      <c r="AC328" s="119"/>
      <c r="AD328" s="119"/>
    </row>
    <row r="329" spans="1:27" s="24" customFormat="1" ht="21" customHeight="1">
      <c r="A329" s="67"/>
      <c r="B329" s="82"/>
      <c r="C329" s="67">
        <v>4210</v>
      </c>
      <c r="D329" s="38" t="s">
        <v>72</v>
      </c>
      <c r="E329" s="81">
        <v>1200</v>
      </c>
      <c r="F329" s="81"/>
      <c r="G329" s="81">
        <f>SUM(E329:F329)</f>
        <v>1200</v>
      </c>
      <c r="H329" s="81"/>
      <c r="I329" s="81">
        <f>SUM(G329:H329)</f>
        <v>1200</v>
      </c>
      <c r="J329" s="81"/>
      <c r="K329" s="81">
        <f>SUM(I329:J329)</f>
        <v>1200</v>
      </c>
      <c r="L329" s="81"/>
      <c r="M329" s="81">
        <f>SUM(K329:L329)</f>
        <v>1200</v>
      </c>
      <c r="N329" s="81"/>
      <c r="O329" s="81">
        <f>SUM(M329:N329)</f>
        <v>1200</v>
      </c>
      <c r="P329" s="81"/>
      <c r="Q329" s="81">
        <f>SUM(O329:P329)</f>
        <v>1200</v>
      </c>
      <c r="R329" s="81"/>
      <c r="S329" s="81">
        <f>SUM(Q329:R329)</f>
        <v>1200</v>
      </c>
      <c r="T329" s="81"/>
      <c r="U329" s="81">
        <f>SUM(S329:T329)</f>
        <v>1200</v>
      </c>
      <c r="V329" s="81"/>
      <c r="W329" s="81">
        <f>SUM(U329:V329)</f>
        <v>1200</v>
      </c>
      <c r="X329" s="81"/>
      <c r="Y329" s="81">
        <f>SUM(W329:X329)</f>
        <v>1200</v>
      </c>
      <c r="Z329" s="81"/>
      <c r="AA329" s="81">
        <f>SUM(Y329:Z329)</f>
        <v>1200</v>
      </c>
    </row>
    <row r="330" spans="1:27" s="24" customFormat="1" ht="21" customHeight="1">
      <c r="A330" s="67"/>
      <c r="B330" s="82"/>
      <c r="C330" s="67">
        <v>4430</v>
      </c>
      <c r="D330" s="38" t="s">
        <v>304</v>
      </c>
      <c r="E330" s="81">
        <v>1500</v>
      </c>
      <c r="F330" s="81"/>
      <c r="G330" s="81">
        <f>SUM(E330:F330)</f>
        <v>1500</v>
      </c>
      <c r="H330" s="81"/>
      <c r="I330" s="81">
        <f>SUM(G330:H330)</f>
        <v>1500</v>
      </c>
      <c r="J330" s="81"/>
      <c r="K330" s="81">
        <f>SUM(I330:J330)</f>
        <v>1500</v>
      </c>
      <c r="L330" s="81"/>
      <c r="M330" s="81">
        <f>SUM(K330:L330)</f>
        <v>1500</v>
      </c>
      <c r="N330" s="81"/>
      <c r="O330" s="81">
        <f>SUM(M330:N330)</f>
        <v>1500</v>
      </c>
      <c r="P330" s="81"/>
      <c r="Q330" s="81">
        <f>SUM(O330:P330)</f>
        <v>1500</v>
      </c>
      <c r="R330" s="81"/>
      <c r="S330" s="81">
        <f>SUM(Q330:R330)</f>
        <v>1500</v>
      </c>
      <c r="T330" s="81"/>
      <c r="U330" s="81">
        <f>SUM(S330:T330)</f>
        <v>1500</v>
      </c>
      <c r="V330" s="81"/>
      <c r="W330" s="81">
        <f>SUM(U330:V330)</f>
        <v>1500</v>
      </c>
      <c r="X330" s="81"/>
      <c r="Y330" s="81">
        <f>SUM(W330:X330)</f>
        <v>1500</v>
      </c>
      <c r="Z330" s="81"/>
      <c r="AA330" s="81">
        <f>SUM(Y330:Z330)</f>
        <v>1500</v>
      </c>
    </row>
    <row r="331" spans="1:27" s="24" customFormat="1" ht="22.5">
      <c r="A331" s="67"/>
      <c r="B331" s="82"/>
      <c r="C331" s="67">
        <v>4440</v>
      </c>
      <c r="D331" s="38" t="s">
        <v>88</v>
      </c>
      <c r="E331" s="81">
        <v>182181</v>
      </c>
      <c r="F331" s="81"/>
      <c r="G331" s="81">
        <f>SUM(E331:F331)</f>
        <v>182181</v>
      </c>
      <c r="H331" s="81"/>
      <c r="I331" s="81">
        <f>SUM(G331:H331)</f>
        <v>182181</v>
      </c>
      <c r="J331" s="81"/>
      <c r="K331" s="81">
        <f>SUM(I331:J331)</f>
        <v>182181</v>
      </c>
      <c r="L331" s="81"/>
      <c r="M331" s="81">
        <f>SUM(K331:L331)</f>
        <v>182181</v>
      </c>
      <c r="N331" s="81"/>
      <c r="O331" s="81">
        <f>SUM(M331:N331)</f>
        <v>182181</v>
      </c>
      <c r="P331" s="81"/>
      <c r="Q331" s="81">
        <f>SUM(O331:P331)</f>
        <v>182181</v>
      </c>
      <c r="R331" s="81"/>
      <c r="S331" s="81">
        <f>SUM(Q331:R331)</f>
        <v>182181</v>
      </c>
      <c r="T331" s="81"/>
      <c r="U331" s="81">
        <f>SUM(S331:T331)</f>
        <v>182181</v>
      </c>
      <c r="V331" s="81"/>
      <c r="W331" s="81">
        <f>SUM(U331:V331)</f>
        <v>182181</v>
      </c>
      <c r="X331" s="81"/>
      <c r="Y331" s="81">
        <f>SUM(W331:X331)</f>
        <v>182181</v>
      </c>
      <c r="Z331" s="81"/>
      <c r="AA331" s="81">
        <f>SUM(Y331:Z331)</f>
        <v>182181</v>
      </c>
    </row>
    <row r="332" spans="1:27" s="6" customFormat="1" ht="21" customHeight="1">
      <c r="A332" s="33" t="s">
        <v>118</v>
      </c>
      <c r="B332" s="34"/>
      <c r="C332" s="35"/>
      <c r="D332" s="36" t="s">
        <v>53</v>
      </c>
      <c r="E332" s="37">
        <f aca="true" t="shared" si="210" ref="E332:W332">SUM(E335,E347,E333)</f>
        <v>123603</v>
      </c>
      <c r="F332" s="37">
        <f t="shared" si="210"/>
        <v>0</v>
      </c>
      <c r="G332" s="37">
        <f t="shared" si="210"/>
        <v>123603</v>
      </c>
      <c r="H332" s="37">
        <f t="shared" si="210"/>
        <v>0</v>
      </c>
      <c r="I332" s="37">
        <f t="shared" si="210"/>
        <v>123603</v>
      </c>
      <c r="J332" s="37">
        <f t="shared" si="210"/>
        <v>47545</v>
      </c>
      <c r="K332" s="37">
        <f t="shared" si="210"/>
        <v>171148</v>
      </c>
      <c r="L332" s="37">
        <f t="shared" si="210"/>
        <v>0</v>
      </c>
      <c r="M332" s="37">
        <f t="shared" si="210"/>
        <v>171148</v>
      </c>
      <c r="N332" s="37">
        <f t="shared" si="210"/>
        <v>0</v>
      </c>
      <c r="O332" s="37">
        <f t="shared" si="210"/>
        <v>171148</v>
      </c>
      <c r="P332" s="37">
        <f t="shared" si="210"/>
        <v>0</v>
      </c>
      <c r="Q332" s="37">
        <f t="shared" si="210"/>
        <v>171148</v>
      </c>
      <c r="R332" s="37">
        <f t="shared" si="210"/>
        <v>14930</v>
      </c>
      <c r="S332" s="37">
        <f t="shared" si="210"/>
        <v>186078</v>
      </c>
      <c r="T332" s="37">
        <f t="shared" si="210"/>
        <v>0</v>
      </c>
      <c r="U332" s="37">
        <f t="shared" si="210"/>
        <v>186078</v>
      </c>
      <c r="V332" s="37">
        <f t="shared" si="210"/>
        <v>0</v>
      </c>
      <c r="W332" s="37">
        <f t="shared" si="210"/>
        <v>186078</v>
      </c>
      <c r="X332" s="37">
        <f>SUM(X335,X347,X333)</f>
        <v>0</v>
      </c>
      <c r="Y332" s="37">
        <f>SUM(Y335,Y347,Y333)</f>
        <v>186078</v>
      </c>
      <c r="Z332" s="37">
        <f>SUM(Z335,Z347,Z333)</f>
        <v>0</v>
      </c>
      <c r="AA332" s="37">
        <f>SUM(AA335,AA347,AA333)</f>
        <v>186078</v>
      </c>
    </row>
    <row r="333" spans="1:27" s="6" customFormat="1" ht="21" customHeight="1">
      <c r="A333" s="33"/>
      <c r="B333" s="87">
        <v>85153</v>
      </c>
      <c r="C333" s="86"/>
      <c r="D333" s="38" t="s">
        <v>220</v>
      </c>
      <c r="E333" s="81">
        <f aca="true" t="shared" si="211" ref="E333:AA333">SUM(E334:E334)</f>
        <v>5600</v>
      </c>
      <c r="F333" s="81">
        <f t="shared" si="211"/>
        <v>0</v>
      </c>
      <c r="G333" s="81">
        <f t="shared" si="211"/>
        <v>5600</v>
      </c>
      <c r="H333" s="81">
        <f t="shared" si="211"/>
        <v>0</v>
      </c>
      <c r="I333" s="81">
        <f t="shared" si="211"/>
        <v>5600</v>
      </c>
      <c r="J333" s="81">
        <f t="shared" si="211"/>
        <v>0</v>
      </c>
      <c r="K333" s="81">
        <f t="shared" si="211"/>
        <v>5600</v>
      </c>
      <c r="L333" s="81">
        <f t="shared" si="211"/>
        <v>0</v>
      </c>
      <c r="M333" s="81">
        <f t="shared" si="211"/>
        <v>5600</v>
      </c>
      <c r="N333" s="81">
        <f t="shared" si="211"/>
        <v>0</v>
      </c>
      <c r="O333" s="81">
        <f t="shared" si="211"/>
        <v>5600</v>
      </c>
      <c r="P333" s="81">
        <f t="shared" si="211"/>
        <v>0</v>
      </c>
      <c r="Q333" s="81">
        <f t="shared" si="211"/>
        <v>5600</v>
      </c>
      <c r="R333" s="81">
        <f t="shared" si="211"/>
        <v>0</v>
      </c>
      <c r="S333" s="81">
        <f t="shared" si="211"/>
        <v>5600</v>
      </c>
      <c r="T333" s="81">
        <f t="shared" si="211"/>
        <v>0</v>
      </c>
      <c r="U333" s="81">
        <f t="shared" si="211"/>
        <v>5600</v>
      </c>
      <c r="V333" s="81">
        <f t="shared" si="211"/>
        <v>0</v>
      </c>
      <c r="W333" s="81">
        <f t="shared" si="211"/>
        <v>5600</v>
      </c>
      <c r="X333" s="81">
        <f t="shared" si="211"/>
        <v>0</v>
      </c>
      <c r="Y333" s="81">
        <f t="shared" si="211"/>
        <v>5600</v>
      </c>
      <c r="Z333" s="81">
        <f t="shared" si="211"/>
        <v>0</v>
      </c>
      <c r="AA333" s="81">
        <f t="shared" si="211"/>
        <v>5600</v>
      </c>
    </row>
    <row r="334" spans="1:27" s="6" customFormat="1" ht="21" customHeight="1">
      <c r="A334" s="33"/>
      <c r="B334" s="87"/>
      <c r="C334" s="86">
        <v>4300</v>
      </c>
      <c r="D334" s="38" t="s">
        <v>79</v>
      </c>
      <c r="E334" s="81">
        <v>5600</v>
      </c>
      <c r="F334" s="81"/>
      <c r="G334" s="81">
        <f>SUM(E334:F334)</f>
        <v>5600</v>
      </c>
      <c r="H334" s="81"/>
      <c r="I334" s="81">
        <f>SUM(G334:H334)</f>
        <v>5600</v>
      </c>
      <c r="J334" s="81"/>
      <c r="K334" s="81">
        <f>SUM(I334:J334)</f>
        <v>5600</v>
      </c>
      <c r="L334" s="81"/>
      <c r="M334" s="81">
        <f>SUM(K334:L334)</f>
        <v>5600</v>
      </c>
      <c r="N334" s="81"/>
      <c r="O334" s="81">
        <f>SUM(M334:N334)</f>
        <v>5600</v>
      </c>
      <c r="P334" s="81"/>
      <c r="Q334" s="81">
        <f>SUM(O334:P334)</f>
        <v>5600</v>
      </c>
      <c r="R334" s="81"/>
      <c r="S334" s="81">
        <f>SUM(Q334:R334)</f>
        <v>5600</v>
      </c>
      <c r="T334" s="81"/>
      <c r="U334" s="81">
        <f>SUM(S334:T334)</f>
        <v>5600</v>
      </c>
      <c r="V334" s="81"/>
      <c r="W334" s="81">
        <f>SUM(U334:V334)</f>
        <v>5600</v>
      </c>
      <c r="X334" s="81"/>
      <c r="Y334" s="81">
        <f>SUM(W334:X334)</f>
        <v>5600</v>
      </c>
      <c r="Z334" s="81"/>
      <c r="AA334" s="81">
        <f>SUM(Y334:Z334)</f>
        <v>5600</v>
      </c>
    </row>
    <row r="335" spans="1:27" s="24" customFormat="1" ht="21" customHeight="1">
      <c r="A335" s="67"/>
      <c r="B335" s="82" t="s">
        <v>119</v>
      </c>
      <c r="C335" s="86"/>
      <c r="D335" s="38" t="s">
        <v>54</v>
      </c>
      <c r="E335" s="81">
        <f>SUM(E338:E345)</f>
        <v>108003</v>
      </c>
      <c r="F335" s="81">
        <f>SUM(F338:F345)</f>
        <v>0</v>
      </c>
      <c r="G335" s="81">
        <f>SUM(G338:G345)</f>
        <v>108003</v>
      </c>
      <c r="H335" s="81">
        <f>SUM(H338:H345)</f>
        <v>0</v>
      </c>
      <c r="I335" s="81">
        <f aca="true" t="shared" si="212" ref="I335:O335">SUM(I337:I345)</f>
        <v>108003</v>
      </c>
      <c r="J335" s="81">
        <f t="shared" si="212"/>
        <v>47545</v>
      </c>
      <c r="K335" s="81">
        <f t="shared" si="212"/>
        <v>155548</v>
      </c>
      <c r="L335" s="81">
        <f t="shared" si="212"/>
        <v>0</v>
      </c>
      <c r="M335" s="81">
        <f t="shared" si="212"/>
        <v>155548</v>
      </c>
      <c r="N335" s="81">
        <f t="shared" si="212"/>
        <v>0</v>
      </c>
      <c r="O335" s="81">
        <f t="shared" si="212"/>
        <v>155548</v>
      </c>
      <c r="P335" s="81">
        <f>SUM(P337:P345)</f>
        <v>0</v>
      </c>
      <c r="Q335" s="81">
        <f aca="true" t="shared" si="213" ref="Q335:W335">SUM(Q336:Q345)</f>
        <v>155548</v>
      </c>
      <c r="R335" s="81">
        <f t="shared" si="213"/>
        <v>14930</v>
      </c>
      <c r="S335" s="81">
        <f t="shared" si="213"/>
        <v>170478</v>
      </c>
      <c r="T335" s="81">
        <f t="shared" si="213"/>
        <v>0</v>
      </c>
      <c r="U335" s="81">
        <f t="shared" si="213"/>
        <v>170478</v>
      </c>
      <c r="V335" s="81">
        <f t="shared" si="213"/>
        <v>0</v>
      </c>
      <c r="W335" s="81">
        <f t="shared" si="213"/>
        <v>170478</v>
      </c>
      <c r="X335" s="81">
        <f>SUM(X336:X345)</f>
        <v>0</v>
      </c>
      <c r="Y335" s="81">
        <f>SUM(Y336:Y346)</f>
        <v>170478</v>
      </c>
      <c r="Z335" s="81">
        <f>SUM(Z336:Z346)</f>
        <v>0</v>
      </c>
      <c r="AA335" s="81">
        <f>SUM(AA336:AA346)</f>
        <v>170478</v>
      </c>
    </row>
    <row r="336" spans="1:27" s="24" customFormat="1" ht="45">
      <c r="A336" s="67"/>
      <c r="B336" s="82"/>
      <c r="C336" s="86">
        <v>2710</v>
      </c>
      <c r="D336" s="13" t="s">
        <v>471</v>
      </c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>
        <v>0</v>
      </c>
      <c r="R336" s="81">
        <v>20930</v>
      </c>
      <c r="S336" s="81">
        <f>SUM(Q336:R336)</f>
        <v>20930</v>
      </c>
      <c r="T336" s="81"/>
      <c r="U336" s="81">
        <f>SUM(S336:T336)</f>
        <v>20930</v>
      </c>
      <c r="V336" s="81"/>
      <c r="W336" s="81">
        <f>SUM(U336:V336)</f>
        <v>20930</v>
      </c>
      <c r="X336" s="81"/>
      <c r="Y336" s="81">
        <f>SUM(W336:X336)</f>
        <v>20930</v>
      </c>
      <c r="Z336" s="81"/>
      <c r="AA336" s="81">
        <f>SUM(Y336:Z336)</f>
        <v>20930</v>
      </c>
    </row>
    <row r="337" spans="1:27" s="24" customFormat="1" ht="56.25">
      <c r="A337" s="67"/>
      <c r="B337" s="82"/>
      <c r="C337" s="86">
        <v>2830</v>
      </c>
      <c r="D337" s="13" t="s">
        <v>314</v>
      </c>
      <c r="E337" s="81"/>
      <c r="F337" s="81"/>
      <c r="G337" s="81"/>
      <c r="H337" s="81"/>
      <c r="I337" s="81">
        <v>0</v>
      </c>
      <c r="J337" s="81">
        <v>47545</v>
      </c>
      <c r="K337" s="81">
        <f>SUM(I337:J337)</f>
        <v>47545</v>
      </c>
      <c r="L337" s="81"/>
      <c r="M337" s="81">
        <f>SUM(K337:L337)</f>
        <v>47545</v>
      </c>
      <c r="N337" s="81"/>
      <c r="O337" s="81">
        <f>SUM(M337:N337)</f>
        <v>47545</v>
      </c>
      <c r="P337" s="81"/>
      <c r="Q337" s="81">
        <f>SUM(O337:P337)</f>
        <v>47545</v>
      </c>
      <c r="R337" s="81"/>
      <c r="S337" s="81">
        <f>SUM(Q337:R337)</f>
        <v>47545</v>
      </c>
      <c r="T337" s="81"/>
      <c r="U337" s="81">
        <f>SUM(S337:T337)</f>
        <v>47545</v>
      </c>
      <c r="V337" s="81"/>
      <c r="W337" s="81">
        <f>SUM(U337:V337)</f>
        <v>47545</v>
      </c>
      <c r="X337" s="81"/>
      <c r="Y337" s="81">
        <f>SUM(W337:X337)</f>
        <v>47545</v>
      </c>
      <c r="Z337" s="81"/>
      <c r="AA337" s="81">
        <f>SUM(Y337:Z337)</f>
        <v>47545</v>
      </c>
    </row>
    <row r="338" spans="1:30" s="24" customFormat="1" ht="21" customHeight="1">
      <c r="A338" s="67"/>
      <c r="B338" s="87"/>
      <c r="C338" s="86">
        <v>4110</v>
      </c>
      <c r="D338" s="13" t="s">
        <v>86</v>
      </c>
      <c r="E338" s="81">
        <v>1858</v>
      </c>
      <c r="F338" s="81"/>
      <c r="G338" s="81">
        <f>SUM(E338:F338)</f>
        <v>1858</v>
      </c>
      <c r="H338" s="81"/>
      <c r="I338" s="81">
        <f>SUM(G338:H338)</f>
        <v>1858</v>
      </c>
      <c r="J338" s="81"/>
      <c r="K338" s="81">
        <f>SUM(I338:J338)</f>
        <v>1858</v>
      </c>
      <c r="L338" s="81"/>
      <c r="M338" s="81">
        <f>SUM(K338:L338)</f>
        <v>1858</v>
      </c>
      <c r="N338" s="81"/>
      <c r="O338" s="81">
        <f>SUM(M338:N338)</f>
        <v>1858</v>
      </c>
      <c r="P338" s="81"/>
      <c r="Q338" s="81">
        <f>SUM(O338:P338)</f>
        <v>1858</v>
      </c>
      <c r="R338" s="81"/>
      <c r="S338" s="81">
        <f>SUM(Q338:R338)</f>
        <v>1858</v>
      </c>
      <c r="T338" s="81"/>
      <c r="U338" s="81">
        <f>SUM(S338:T338)</f>
        <v>1858</v>
      </c>
      <c r="V338" s="81"/>
      <c r="W338" s="81">
        <f>SUM(U338:V338)</f>
        <v>1858</v>
      </c>
      <c r="X338" s="81"/>
      <c r="Y338" s="81">
        <f>SUM(W338:X338)</f>
        <v>1858</v>
      </c>
      <c r="Z338" s="81">
        <v>175</v>
      </c>
      <c r="AA338" s="81">
        <f>SUM(Y338:Z338)</f>
        <v>2033</v>
      </c>
      <c r="AB338" s="119"/>
      <c r="AC338" s="119"/>
      <c r="AD338" s="119"/>
    </row>
    <row r="339" spans="1:30" s="24" customFormat="1" ht="21" customHeight="1">
      <c r="A339" s="67"/>
      <c r="B339" s="87"/>
      <c r="C339" s="86">
        <v>4170</v>
      </c>
      <c r="D339" s="38" t="s">
        <v>190</v>
      </c>
      <c r="E339" s="81">
        <v>44600</v>
      </c>
      <c r="F339" s="81"/>
      <c r="G339" s="81">
        <f aca="true" t="shared" si="214" ref="G339:G345">SUM(E339:F339)</f>
        <v>44600</v>
      </c>
      <c r="H339" s="81"/>
      <c r="I339" s="81">
        <f aca="true" t="shared" si="215" ref="I339:I345">SUM(G339:H339)</f>
        <v>44600</v>
      </c>
      <c r="J339" s="81"/>
      <c r="K339" s="81">
        <f aca="true" t="shared" si="216" ref="K339:K345">SUM(I339:J339)</f>
        <v>44600</v>
      </c>
      <c r="L339" s="81"/>
      <c r="M339" s="81">
        <f aca="true" t="shared" si="217" ref="M339:M345">SUM(K339:L339)</f>
        <v>44600</v>
      </c>
      <c r="N339" s="81"/>
      <c r="O339" s="81">
        <f aca="true" t="shared" si="218" ref="O339:O345">SUM(M339:N339)</f>
        <v>44600</v>
      </c>
      <c r="P339" s="81"/>
      <c r="Q339" s="81">
        <f aca="true" t="shared" si="219" ref="Q339:Q345">SUM(O339:P339)</f>
        <v>44600</v>
      </c>
      <c r="R339" s="81"/>
      <c r="S339" s="81">
        <f aca="true" t="shared" si="220" ref="S339:S345">SUM(Q339:R339)</f>
        <v>44600</v>
      </c>
      <c r="T339" s="81"/>
      <c r="U339" s="81">
        <f aca="true" t="shared" si="221" ref="U339:U345">SUM(S339:T339)</f>
        <v>44600</v>
      </c>
      <c r="V339" s="81"/>
      <c r="W339" s="81">
        <f aca="true" t="shared" si="222" ref="W339:W345">SUM(U339:V339)</f>
        <v>44600</v>
      </c>
      <c r="X339" s="81"/>
      <c r="Y339" s="81">
        <f aca="true" t="shared" si="223" ref="Y339:Y345">SUM(W339:X339)</f>
        <v>44600</v>
      </c>
      <c r="Z339" s="81">
        <v>-6830</v>
      </c>
      <c r="AA339" s="81">
        <f aca="true" t="shared" si="224" ref="AA339:AA346">SUM(Y339:Z339)</f>
        <v>37770</v>
      </c>
      <c r="AB339" s="119"/>
      <c r="AC339" s="119"/>
      <c r="AD339" s="119"/>
    </row>
    <row r="340" spans="1:27" s="24" customFormat="1" ht="21" customHeight="1">
      <c r="A340" s="67"/>
      <c r="B340" s="87"/>
      <c r="C340" s="86">
        <v>4210</v>
      </c>
      <c r="D340" s="13" t="s">
        <v>92</v>
      </c>
      <c r="E340" s="81">
        <v>12800</v>
      </c>
      <c r="F340" s="81"/>
      <c r="G340" s="81">
        <f t="shared" si="214"/>
        <v>12800</v>
      </c>
      <c r="H340" s="81"/>
      <c r="I340" s="81">
        <f t="shared" si="215"/>
        <v>12800</v>
      </c>
      <c r="J340" s="81"/>
      <c r="K340" s="81">
        <f t="shared" si="216"/>
        <v>12800</v>
      </c>
      <c r="L340" s="81"/>
      <c r="M340" s="81">
        <f t="shared" si="217"/>
        <v>12800</v>
      </c>
      <c r="N340" s="81"/>
      <c r="O340" s="81">
        <f t="shared" si="218"/>
        <v>12800</v>
      </c>
      <c r="P340" s="81"/>
      <c r="Q340" s="81">
        <f t="shared" si="219"/>
        <v>12800</v>
      </c>
      <c r="R340" s="81"/>
      <c r="S340" s="81">
        <f t="shared" si="220"/>
        <v>12800</v>
      </c>
      <c r="T340" s="81"/>
      <c r="U340" s="81">
        <f t="shared" si="221"/>
        <v>12800</v>
      </c>
      <c r="V340" s="81"/>
      <c r="W340" s="81">
        <f t="shared" si="222"/>
        <v>12800</v>
      </c>
      <c r="X340" s="81"/>
      <c r="Y340" s="81">
        <f t="shared" si="223"/>
        <v>12800</v>
      </c>
      <c r="Z340" s="81">
        <v>4370</v>
      </c>
      <c r="AA340" s="81">
        <f t="shared" si="224"/>
        <v>17170</v>
      </c>
    </row>
    <row r="341" spans="1:27" s="24" customFormat="1" ht="21" customHeight="1">
      <c r="A341" s="67"/>
      <c r="B341" s="87"/>
      <c r="C341" s="86">
        <v>4220</v>
      </c>
      <c r="D341" s="13" t="s">
        <v>179</v>
      </c>
      <c r="E341" s="81">
        <v>13500</v>
      </c>
      <c r="F341" s="81"/>
      <c r="G341" s="81">
        <f t="shared" si="214"/>
        <v>13500</v>
      </c>
      <c r="H341" s="81"/>
      <c r="I341" s="81">
        <f t="shared" si="215"/>
        <v>13500</v>
      </c>
      <c r="J341" s="81"/>
      <c r="K341" s="81">
        <f t="shared" si="216"/>
        <v>13500</v>
      </c>
      <c r="L341" s="81"/>
      <c r="M341" s="81">
        <f t="shared" si="217"/>
        <v>13500</v>
      </c>
      <c r="N341" s="81"/>
      <c r="O341" s="81">
        <f t="shared" si="218"/>
        <v>13500</v>
      </c>
      <c r="P341" s="81"/>
      <c r="Q341" s="81">
        <f t="shared" si="219"/>
        <v>13500</v>
      </c>
      <c r="R341" s="81"/>
      <c r="S341" s="81">
        <f t="shared" si="220"/>
        <v>13500</v>
      </c>
      <c r="T341" s="81"/>
      <c r="U341" s="81">
        <f t="shared" si="221"/>
        <v>13500</v>
      </c>
      <c r="V341" s="81"/>
      <c r="W341" s="81">
        <f t="shared" si="222"/>
        <v>13500</v>
      </c>
      <c r="X341" s="81"/>
      <c r="Y341" s="81">
        <f t="shared" si="223"/>
        <v>13500</v>
      </c>
      <c r="Z341" s="81">
        <v>2030</v>
      </c>
      <c r="AA341" s="81">
        <f t="shared" si="224"/>
        <v>15530</v>
      </c>
    </row>
    <row r="342" spans="1:27" s="24" customFormat="1" ht="21" customHeight="1">
      <c r="A342" s="67"/>
      <c r="B342" s="87"/>
      <c r="C342" s="86">
        <v>4300</v>
      </c>
      <c r="D342" s="38" t="s">
        <v>79</v>
      </c>
      <c r="E342" s="81">
        <v>32245</v>
      </c>
      <c r="F342" s="81"/>
      <c r="G342" s="81">
        <f t="shared" si="214"/>
        <v>32245</v>
      </c>
      <c r="H342" s="81"/>
      <c r="I342" s="81">
        <f t="shared" si="215"/>
        <v>32245</v>
      </c>
      <c r="J342" s="81"/>
      <c r="K342" s="81">
        <f t="shared" si="216"/>
        <v>32245</v>
      </c>
      <c r="L342" s="81"/>
      <c r="M342" s="81">
        <f t="shared" si="217"/>
        <v>32245</v>
      </c>
      <c r="N342" s="81"/>
      <c r="O342" s="81">
        <f t="shared" si="218"/>
        <v>32245</v>
      </c>
      <c r="P342" s="81"/>
      <c r="Q342" s="81">
        <f t="shared" si="219"/>
        <v>32245</v>
      </c>
      <c r="R342" s="81">
        <v>-6000</v>
      </c>
      <c r="S342" s="81">
        <f t="shared" si="220"/>
        <v>26245</v>
      </c>
      <c r="T342" s="81"/>
      <c r="U342" s="81">
        <f t="shared" si="221"/>
        <v>26245</v>
      </c>
      <c r="V342" s="81"/>
      <c r="W342" s="81">
        <f t="shared" si="222"/>
        <v>26245</v>
      </c>
      <c r="X342" s="81"/>
      <c r="Y342" s="81">
        <f t="shared" si="223"/>
        <v>26245</v>
      </c>
      <c r="Z342" s="81">
        <v>55</v>
      </c>
      <c r="AA342" s="81">
        <f t="shared" si="224"/>
        <v>26300</v>
      </c>
    </row>
    <row r="343" spans="1:27" s="24" customFormat="1" ht="21" customHeight="1">
      <c r="A343" s="67"/>
      <c r="B343" s="87"/>
      <c r="C343" s="86">
        <v>4350</v>
      </c>
      <c r="D343" s="38" t="s">
        <v>204</v>
      </c>
      <c r="E343" s="81">
        <v>1200</v>
      </c>
      <c r="F343" s="81"/>
      <c r="G343" s="81">
        <f t="shared" si="214"/>
        <v>1200</v>
      </c>
      <c r="H343" s="81"/>
      <c r="I343" s="81">
        <f t="shared" si="215"/>
        <v>1200</v>
      </c>
      <c r="J343" s="81"/>
      <c r="K343" s="81">
        <f t="shared" si="216"/>
        <v>1200</v>
      </c>
      <c r="L343" s="81"/>
      <c r="M343" s="81">
        <f t="shared" si="217"/>
        <v>1200</v>
      </c>
      <c r="N343" s="81"/>
      <c r="O343" s="81">
        <f t="shared" si="218"/>
        <v>1200</v>
      </c>
      <c r="P343" s="81"/>
      <c r="Q343" s="81">
        <f t="shared" si="219"/>
        <v>1200</v>
      </c>
      <c r="R343" s="81"/>
      <c r="S343" s="81">
        <f t="shared" si="220"/>
        <v>1200</v>
      </c>
      <c r="T343" s="81"/>
      <c r="U343" s="81">
        <f t="shared" si="221"/>
        <v>1200</v>
      </c>
      <c r="V343" s="81"/>
      <c r="W343" s="81">
        <f t="shared" si="222"/>
        <v>1200</v>
      </c>
      <c r="X343" s="81"/>
      <c r="Y343" s="81">
        <f t="shared" si="223"/>
        <v>1200</v>
      </c>
      <c r="Z343" s="81"/>
      <c r="AA343" s="81">
        <f t="shared" si="224"/>
        <v>1200</v>
      </c>
    </row>
    <row r="344" spans="1:27" s="24" customFormat="1" ht="21" customHeight="1">
      <c r="A344" s="67"/>
      <c r="B344" s="87"/>
      <c r="C344" s="86">
        <v>4410</v>
      </c>
      <c r="D344" s="38" t="s">
        <v>90</v>
      </c>
      <c r="E344" s="81">
        <v>1200</v>
      </c>
      <c r="F344" s="81"/>
      <c r="G344" s="81">
        <f t="shared" si="214"/>
        <v>1200</v>
      </c>
      <c r="H344" s="81"/>
      <c r="I344" s="81">
        <f t="shared" si="215"/>
        <v>1200</v>
      </c>
      <c r="J344" s="81"/>
      <c r="K344" s="81">
        <f t="shared" si="216"/>
        <v>1200</v>
      </c>
      <c r="L344" s="81"/>
      <c r="M344" s="81">
        <f t="shared" si="217"/>
        <v>1200</v>
      </c>
      <c r="N344" s="81"/>
      <c r="O344" s="81">
        <f t="shared" si="218"/>
        <v>1200</v>
      </c>
      <c r="P344" s="81"/>
      <c r="Q344" s="81">
        <f t="shared" si="219"/>
        <v>1200</v>
      </c>
      <c r="R344" s="81"/>
      <c r="S344" s="81">
        <f t="shared" si="220"/>
        <v>1200</v>
      </c>
      <c r="T344" s="81"/>
      <c r="U344" s="81">
        <f t="shared" si="221"/>
        <v>1200</v>
      </c>
      <c r="V344" s="81"/>
      <c r="W344" s="81">
        <f t="shared" si="222"/>
        <v>1200</v>
      </c>
      <c r="X344" s="81"/>
      <c r="Y344" s="81">
        <f t="shared" si="223"/>
        <v>1200</v>
      </c>
      <c r="Z344" s="81"/>
      <c r="AA344" s="81">
        <f t="shared" si="224"/>
        <v>1200</v>
      </c>
    </row>
    <row r="345" spans="1:27" s="24" customFormat="1" ht="26.25" customHeight="1">
      <c r="A345" s="67"/>
      <c r="B345" s="87"/>
      <c r="C345" s="86">
        <v>4700</v>
      </c>
      <c r="D345" s="38" t="s">
        <v>249</v>
      </c>
      <c r="E345" s="81">
        <v>600</v>
      </c>
      <c r="F345" s="81"/>
      <c r="G345" s="81">
        <f t="shared" si="214"/>
        <v>600</v>
      </c>
      <c r="H345" s="81"/>
      <c r="I345" s="81">
        <f t="shared" si="215"/>
        <v>600</v>
      </c>
      <c r="J345" s="81"/>
      <c r="K345" s="81">
        <f t="shared" si="216"/>
        <v>600</v>
      </c>
      <c r="L345" s="81"/>
      <c r="M345" s="81">
        <f t="shared" si="217"/>
        <v>600</v>
      </c>
      <c r="N345" s="81"/>
      <c r="O345" s="81">
        <f t="shared" si="218"/>
        <v>600</v>
      </c>
      <c r="P345" s="81"/>
      <c r="Q345" s="81">
        <f t="shared" si="219"/>
        <v>600</v>
      </c>
      <c r="R345" s="81"/>
      <c r="S345" s="81">
        <f t="shared" si="220"/>
        <v>600</v>
      </c>
      <c r="T345" s="81"/>
      <c r="U345" s="81">
        <f t="shared" si="221"/>
        <v>600</v>
      </c>
      <c r="V345" s="81"/>
      <c r="W345" s="81">
        <f t="shared" si="222"/>
        <v>600</v>
      </c>
      <c r="X345" s="81"/>
      <c r="Y345" s="81">
        <f t="shared" si="223"/>
        <v>600</v>
      </c>
      <c r="Z345" s="81"/>
      <c r="AA345" s="81">
        <f t="shared" si="224"/>
        <v>600</v>
      </c>
    </row>
    <row r="346" spans="1:27" s="24" customFormat="1" ht="33.75">
      <c r="A346" s="67"/>
      <c r="B346" s="87"/>
      <c r="C346" s="86">
        <v>4740</v>
      </c>
      <c r="D346" s="38" t="s">
        <v>267</v>
      </c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>
        <v>0</v>
      </c>
      <c r="Z346" s="81">
        <v>200</v>
      </c>
      <c r="AA346" s="81">
        <f t="shared" si="224"/>
        <v>200</v>
      </c>
    </row>
    <row r="347" spans="1:27" s="24" customFormat="1" ht="21" customHeight="1">
      <c r="A347" s="67"/>
      <c r="B347" s="87">
        <v>85195</v>
      </c>
      <c r="C347" s="86"/>
      <c r="D347" s="38" t="s">
        <v>6</v>
      </c>
      <c r="E347" s="81">
        <f aca="true" t="shared" si="225" ref="E347:AA347">SUM(E348)</f>
        <v>10000</v>
      </c>
      <c r="F347" s="81">
        <f t="shared" si="225"/>
        <v>0</v>
      </c>
      <c r="G347" s="81">
        <f t="shared" si="225"/>
        <v>10000</v>
      </c>
      <c r="H347" s="81">
        <f t="shared" si="225"/>
        <v>0</v>
      </c>
      <c r="I347" s="81">
        <f t="shared" si="225"/>
        <v>10000</v>
      </c>
      <c r="J347" s="81">
        <f t="shared" si="225"/>
        <v>0</v>
      </c>
      <c r="K347" s="81">
        <f t="shared" si="225"/>
        <v>10000</v>
      </c>
      <c r="L347" s="81">
        <f t="shared" si="225"/>
        <v>0</v>
      </c>
      <c r="M347" s="81">
        <f t="shared" si="225"/>
        <v>10000</v>
      </c>
      <c r="N347" s="81">
        <f t="shared" si="225"/>
        <v>0</v>
      </c>
      <c r="O347" s="81">
        <f t="shared" si="225"/>
        <v>10000</v>
      </c>
      <c r="P347" s="81">
        <f t="shared" si="225"/>
        <v>0</v>
      </c>
      <c r="Q347" s="81">
        <f t="shared" si="225"/>
        <v>10000</v>
      </c>
      <c r="R347" s="81">
        <f t="shared" si="225"/>
        <v>0</v>
      </c>
      <c r="S347" s="81">
        <f t="shared" si="225"/>
        <v>10000</v>
      </c>
      <c r="T347" s="81">
        <f t="shared" si="225"/>
        <v>0</v>
      </c>
      <c r="U347" s="81">
        <f t="shared" si="225"/>
        <v>10000</v>
      </c>
      <c r="V347" s="81">
        <f t="shared" si="225"/>
        <v>0</v>
      </c>
      <c r="W347" s="81">
        <f t="shared" si="225"/>
        <v>10000</v>
      </c>
      <c r="X347" s="81">
        <f t="shared" si="225"/>
        <v>0</v>
      </c>
      <c r="Y347" s="81">
        <f t="shared" si="225"/>
        <v>10000</v>
      </c>
      <c r="Z347" s="81">
        <f t="shared" si="225"/>
        <v>0</v>
      </c>
      <c r="AA347" s="81">
        <f t="shared" si="225"/>
        <v>10000</v>
      </c>
    </row>
    <row r="348" spans="1:27" s="24" customFormat="1" ht="21" customHeight="1">
      <c r="A348" s="67"/>
      <c r="B348" s="87"/>
      <c r="C348" s="86">
        <v>4430</v>
      </c>
      <c r="D348" s="38" t="s">
        <v>94</v>
      </c>
      <c r="E348" s="81">
        <v>10000</v>
      </c>
      <c r="F348" s="81"/>
      <c r="G348" s="81">
        <f>SUM(E348:F348)</f>
        <v>10000</v>
      </c>
      <c r="H348" s="81"/>
      <c r="I348" s="81">
        <f>SUM(G348:H348)</f>
        <v>10000</v>
      </c>
      <c r="J348" s="81"/>
      <c r="K348" s="81">
        <f>SUM(I348:J348)</f>
        <v>10000</v>
      </c>
      <c r="L348" s="81"/>
      <c r="M348" s="81">
        <f>SUM(K348:L348)</f>
        <v>10000</v>
      </c>
      <c r="N348" s="81"/>
      <c r="O348" s="81">
        <f>SUM(M348:N348)</f>
        <v>10000</v>
      </c>
      <c r="P348" s="81"/>
      <c r="Q348" s="81">
        <f>SUM(O348:P348)</f>
        <v>10000</v>
      </c>
      <c r="R348" s="81"/>
      <c r="S348" s="81">
        <f>SUM(Q348:R348)</f>
        <v>10000</v>
      </c>
      <c r="T348" s="81"/>
      <c r="U348" s="81">
        <f>SUM(S348:T348)</f>
        <v>10000</v>
      </c>
      <c r="V348" s="81"/>
      <c r="W348" s="81">
        <f>SUM(U348:V348)</f>
        <v>10000</v>
      </c>
      <c r="X348" s="81"/>
      <c r="Y348" s="81">
        <f>SUM(W348:X348)</f>
        <v>10000</v>
      </c>
      <c r="Z348" s="81"/>
      <c r="AA348" s="81">
        <f>SUM(Y348:Z348)</f>
        <v>10000</v>
      </c>
    </row>
    <row r="349" spans="1:27" s="6" customFormat="1" ht="24.75" customHeight="1">
      <c r="A349" s="61">
        <v>852</v>
      </c>
      <c r="B349" s="34"/>
      <c r="C349" s="35"/>
      <c r="D349" s="36" t="s">
        <v>186</v>
      </c>
      <c r="E349" s="37">
        <f aca="true" t="shared" si="226" ref="E349:W349">SUM(E350,E374,E376,E379,E383,E408,E410,E381)</f>
        <v>11262797</v>
      </c>
      <c r="F349" s="37">
        <f t="shared" si="226"/>
        <v>0</v>
      </c>
      <c r="G349" s="37">
        <f t="shared" si="226"/>
        <v>11262797</v>
      </c>
      <c r="H349" s="37">
        <f t="shared" si="226"/>
        <v>530000</v>
      </c>
      <c r="I349" s="37">
        <f t="shared" si="226"/>
        <v>11792797</v>
      </c>
      <c r="J349" s="37">
        <f t="shared" si="226"/>
        <v>-73</v>
      </c>
      <c r="K349" s="37">
        <f t="shared" si="226"/>
        <v>11792724</v>
      </c>
      <c r="L349" s="37">
        <f t="shared" si="226"/>
        <v>5500</v>
      </c>
      <c r="M349" s="37">
        <f t="shared" si="226"/>
        <v>11798224</v>
      </c>
      <c r="N349" s="37">
        <f t="shared" si="226"/>
        <v>0</v>
      </c>
      <c r="O349" s="37">
        <f t="shared" si="226"/>
        <v>11798224</v>
      </c>
      <c r="P349" s="37">
        <f t="shared" si="226"/>
        <v>82751</v>
      </c>
      <c r="Q349" s="37">
        <f t="shared" si="226"/>
        <v>11880975</v>
      </c>
      <c r="R349" s="37">
        <f t="shared" si="226"/>
        <v>0</v>
      </c>
      <c r="S349" s="37">
        <f t="shared" si="226"/>
        <v>11880975</v>
      </c>
      <c r="T349" s="37">
        <f t="shared" si="226"/>
        <v>0</v>
      </c>
      <c r="U349" s="37">
        <f t="shared" si="226"/>
        <v>11880975</v>
      </c>
      <c r="V349" s="37">
        <f t="shared" si="226"/>
        <v>0</v>
      </c>
      <c r="W349" s="37">
        <f t="shared" si="226"/>
        <v>11880975</v>
      </c>
      <c r="X349" s="37">
        <f>SUM(X350,X374,X376,X379,X383,X408,X410,X381)</f>
        <v>88119</v>
      </c>
      <c r="Y349" s="37">
        <f>SUM(Y350,Y374,Y376,Y379,Y383,Y408,Y410,Y381)</f>
        <v>11969094</v>
      </c>
      <c r="Z349" s="37">
        <f>SUM(Z350,Z374,Z376,Z379,Z383,Z408,Z410,Z381)</f>
        <v>17765</v>
      </c>
      <c r="AA349" s="37">
        <f>SUM(AA350,AA374,AA376,AA379,AA383,AA408,AA410,AA381)</f>
        <v>11986859</v>
      </c>
    </row>
    <row r="350" spans="1:27" s="24" customFormat="1" ht="45">
      <c r="A350" s="97"/>
      <c r="B350" s="47">
        <v>85212</v>
      </c>
      <c r="C350" s="79"/>
      <c r="D350" s="77" t="s">
        <v>270</v>
      </c>
      <c r="E350" s="71">
        <f aca="true" t="shared" si="227" ref="E350:W350">SUM(E351:E373)</f>
        <v>6664636</v>
      </c>
      <c r="F350" s="71">
        <f t="shared" si="227"/>
        <v>0</v>
      </c>
      <c r="G350" s="71">
        <f t="shared" si="227"/>
        <v>6664636</v>
      </c>
      <c r="H350" s="71">
        <f t="shared" si="227"/>
        <v>0</v>
      </c>
      <c r="I350" s="71">
        <f t="shared" si="227"/>
        <v>6664636</v>
      </c>
      <c r="J350" s="71">
        <f t="shared" si="227"/>
        <v>0</v>
      </c>
      <c r="K350" s="71">
        <f t="shared" si="227"/>
        <v>6664636</v>
      </c>
      <c r="L350" s="71">
        <f t="shared" si="227"/>
        <v>0</v>
      </c>
      <c r="M350" s="71">
        <f t="shared" si="227"/>
        <v>6664636</v>
      </c>
      <c r="N350" s="71">
        <f t="shared" si="227"/>
        <v>0</v>
      </c>
      <c r="O350" s="71">
        <f t="shared" si="227"/>
        <v>6664636</v>
      </c>
      <c r="P350" s="71">
        <f t="shared" si="227"/>
        <v>0</v>
      </c>
      <c r="Q350" s="71">
        <f t="shared" si="227"/>
        <v>6664636</v>
      </c>
      <c r="R350" s="71">
        <f t="shared" si="227"/>
        <v>0</v>
      </c>
      <c r="S350" s="71">
        <f t="shared" si="227"/>
        <v>6664636</v>
      </c>
      <c r="T350" s="71">
        <f t="shared" si="227"/>
        <v>0</v>
      </c>
      <c r="U350" s="71">
        <f t="shared" si="227"/>
        <v>6664636</v>
      </c>
      <c r="V350" s="71">
        <f t="shared" si="227"/>
        <v>0</v>
      </c>
      <c r="W350" s="71">
        <f t="shared" si="227"/>
        <v>6664636</v>
      </c>
      <c r="X350" s="71">
        <f>SUM(X351:X373)</f>
        <v>0</v>
      </c>
      <c r="Y350" s="71">
        <f>SUM(Y351:Y373)</f>
        <v>6664636</v>
      </c>
      <c r="Z350" s="71">
        <f>SUM(Z351:Z373)</f>
        <v>0</v>
      </c>
      <c r="AA350" s="71">
        <f>SUM(AA351:AA373)</f>
        <v>6664636</v>
      </c>
    </row>
    <row r="351" spans="1:27" s="24" customFormat="1" ht="22.5">
      <c r="A351" s="97"/>
      <c r="B351" s="47"/>
      <c r="C351" s="79">
        <v>3020</v>
      </c>
      <c r="D351" s="38" t="s">
        <v>188</v>
      </c>
      <c r="E351" s="71">
        <v>1400</v>
      </c>
      <c r="F351" s="71"/>
      <c r="G351" s="71">
        <f>SUM(E351:F351)</f>
        <v>1400</v>
      </c>
      <c r="H351" s="71"/>
      <c r="I351" s="71">
        <f>SUM(G351:H351)</f>
        <v>1400</v>
      </c>
      <c r="J351" s="71"/>
      <c r="K351" s="71">
        <f>SUM(I351:J351)</f>
        <v>1400</v>
      </c>
      <c r="L351" s="71"/>
      <c r="M351" s="71">
        <f>SUM(K351:L351)</f>
        <v>1400</v>
      </c>
      <c r="N351" s="71"/>
      <c r="O351" s="71">
        <f>SUM(M351:N351)</f>
        <v>1400</v>
      </c>
      <c r="P351" s="71"/>
      <c r="Q351" s="71">
        <f>SUM(O351:P351)</f>
        <v>1400</v>
      </c>
      <c r="R351" s="71"/>
      <c r="S351" s="71">
        <f>SUM(Q351:R351)</f>
        <v>1400</v>
      </c>
      <c r="T351" s="71"/>
      <c r="U351" s="71">
        <f>SUM(S351:T351)</f>
        <v>1400</v>
      </c>
      <c r="V351" s="71"/>
      <c r="W351" s="71">
        <f>SUM(U351:V351)</f>
        <v>1400</v>
      </c>
      <c r="X351" s="71"/>
      <c r="Y351" s="71">
        <f>SUM(W351:X351)</f>
        <v>1400</v>
      </c>
      <c r="Z351" s="71"/>
      <c r="AA351" s="71">
        <f>SUM(Y351:Z351)</f>
        <v>1400</v>
      </c>
    </row>
    <row r="352" spans="1:27" s="24" customFormat="1" ht="21" customHeight="1">
      <c r="A352" s="97"/>
      <c r="B352" s="47"/>
      <c r="C352" s="79">
        <v>3110</v>
      </c>
      <c r="D352" s="77" t="s">
        <v>112</v>
      </c>
      <c r="E352" s="71">
        <f>6354761-50000</f>
        <v>6304761</v>
      </c>
      <c r="F352" s="71"/>
      <c r="G352" s="71">
        <f aca="true" t="shared" si="228" ref="G352:G373">SUM(E352:F352)</f>
        <v>6304761</v>
      </c>
      <c r="H352" s="71"/>
      <c r="I352" s="71">
        <f aca="true" t="shared" si="229" ref="I352:I373">SUM(G352:H352)</f>
        <v>6304761</v>
      </c>
      <c r="J352" s="71"/>
      <c r="K352" s="71">
        <f aca="true" t="shared" si="230" ref="K352:K373">SUM(I352:J352)</f>
        <v>6304761</v>
      </c>
      <c r="L352" s="71"/>
      <c r="M352" s="71">
        <f aca="true" t="shared" si="231" ref="M352:M373">SUM(K352:L352)</f>
        <v>6304761</v>
      </c>
      <c r="N352" s="71"/>
      <c r="O352" s="71">
        <f aca="true" t="shared" si="232" ref="O352:O373">SUM(M352:N352)</f>
        <v>6304761</v>
      </c>
      <c r="P352" s="71"/>
      <c r="Q352" s="71">
        <f aca="true" t="shared" si="233" ref="Q352:Q373">SUM(O352:P352)</f>
        <v>6304761</v>
      </c>
      <c r="R352" s="71"/>
      <c r="S352" s="71">
        <f aca="true" t="shared" si="234" ref="S352:S373">SUM(Q352:R352)</f>
        <v>6304761</v>
      </c>
      <c r="T352" s="71"/>
      <c r="U352" s="71">
        <f aca="true" t="shared" si="235" ref="U352:U373">SUM(S352:T352)</f>
        <v>6304761</v>
      </c>
      <c r="V352" s="71"/>
      <c r="W352" s="71">
        <f aca="true" t="shared" si="236" ref="W352:W373">SUM(U352:V352)</f>
        <v>6304761</v>
      </c>
      <c r="X352" s="71"/>
      <c r="Y352" s="71">
        <f aca="true" t="shared" si="237" ref="Y352:Y373">SUM(W352:X352)</f>
        <v>6304761</v>
      </c>
      <c r="Z352" s="71"/>
      <c r="AA352" s="71">
        <f aca="true" t="shared" si="238" ref="AA352:AA373">SUM(Y352:Z352)</f>
        <v>6304761</v>
      </c>
    </row>
    <row r="353" spans="1:30" s="24" customFormat="1" ht="21" customHeight="1">
      <c r="A353" s="97"/>
      <c r="B353" s="47"/>
      <c r="C353" s="47">
        <v>4010</v>
      </c>
      <c r="D353" s="13" t="s">
        <v>84</v>
      </c>
      <c r="E353" s="71">
        <v>193600</v>
      </c>
      <c r="F353" s="71"/>
      <c r="G353" s="71">
        <f t="shared" si="228"/>
        <v>193600</v>
      </c>
      <c r="H353" s="71"/>
      <c r="I353" s="71">
        <f t="shared" si="229"/>
        <v>193600</v>
      </c>
      <c r="J353" s="71"/>
      <c r="K353" s="71">
        <f t="shared" si="230"/>
        <v>193600</v>
      </c>
      <c r="L353" s="71"/>
      <c r="M353" s="71">
        <f t="shared" si="231"/>
        <v>193600</v>
      </c>
      <c r="N353" s="71"/>
      <c r="O353" s="71">
        <f t="shared" si="232"/>
        <v>193600</v>
      </c>
      <c r="P353" s="71">
        <v>-471</v>
      </c>
      <c r="Q353" s="71">
        <f t="shared" si="233"/>
        <v>193129</v>
      </c>
      <c r="R353" s="71"/>
      <c r="S353" s="71">
        <f t="shared" si="234"/>
        <v>193129</v>
      </c>
      <c r="T353" s="71"/>
      <c r="U353" s="71">
        <f t="shared" si="235"/>
        <v>193129</v>
      </c>
      <c r="V353" s="71"/>
      <c r="W353" s="71">
        <f t="shared" si="236"/>
        <v>193129</v>
      </c>
      <c r="X353" s="71"/>
      <c r="Y353" s="71">
        <f t="shared" si="237"/>
        <v>193129</v>
      </c>
      <c r="Z353" s="71"/>
      <c r="AA353" s="71">
        <f t="shared" si="238"/>
        <v>193129</v>
      </c>
      <c r="AB353" s="119"/>
      <c r="AC353" s="119"/>
      <c r="AD353" s="119"/>
    </row>
    <row r="354" spans="1:30" s="24" customFormat="1" ht="21" customHeight="1">
      <c r="A354" s="97"/>
      <c r="B354" s="47"/>
      <c r="C354" s="47">
        <v>4040</v>
      </c>
      <c r="D354" s="13" t="s">
        <v>85</v>
      </c>
      <c r="E354" s="71">
        <v>15400</v>
      </c>
      <c r="F354" s="71"/>
      <c r="G354" s="71">
        <f t="shared" si="228"/>
        <v>15400</v>
      </c>
      <c r="H354" s="71"/>
      <c r="I354" s="71">
        <f t="shared" si="229"/>
        <v>15400</v>
      </c>
      <c r="J354" s="71"/>
      <c r="K354" s="71">
        <f t="shared" si="230"/>
        <v>15400</v>
      </c>
      <c r="L354" s="71"/>
      <c r="M354" s="71">
        <f t="shared" si="231"/>
        <v>15400</v>
      </c>
      <c r="N354" s="71"/>
      <c r="O354" s="71">
        <f t="shared" si="232"/>
        <v>15400</v>
      </c>
      <c r="P354" s="71">
        <v>-2094</v>
      </c>
      <c r="Q354" s="71">
        <f t="shared" si="233"/>
        <v>13306</v>
      </c>
      <c r="R354" s="71"/>
      <c r="S354" s="71">
        <f t="shared" si="234"/>
        <v>13306</v>
      </c>
      <c r="T354" s="71"/>
      <c r="U354" s="71">
        <f t="shared" si="235"/>
        <v>13306</v>
      </c>
      <c r="V354" s="71"/>
      <c r="W354" s="71">
        <f t="shared" si="236"/>
        <v>13306</v>
      </c>
      <c r="X354" s="71"/>
      <c r="Y354" s="71">
        <f t="shared" si="237"/>
        <v>13306</v>
      </c>
      <c r="Z354" s="71"/>
      <c r="AA354" s="71">
        <f t="shared" si="238"/>
        <v>13306</v>
      </c>
      <c r="AB354" s="119"/>
      <c r="AC354" s="119"/>
      <c r="AD354" s="119"/>
    </row>
    <row r="355" spans="1:30" s="24" customFormat="1" ht="21" customHeight="1">
      <c r="A355" s="97"/>
      <c r="B355" s="47"/>
      <c r="C355" s="47">
        <v>4110</v>
      </c>
      <c r="D355" s="13" t="s">
        <v>86</v>
      </c>
      <c r="E355" s="71">
        <f>32400+50000</f>
        <v>82400</v>
      </c>
      <c r="F355" s="71"/>
      <c r="G355" s="71">
        <f t="shared" si="228"/>
        <v>82400</v>
      </c>
      <c r="H355" s="71"/>
      <c r="I355" s="71">
        <f t="shared" si="229"/>
        <v>82400</v>
      </c>
      <c r="J355" s="71"/>
      <c r="K355" s="71">
        <f t="shared" si="230"/>
        <v>82400</v>
      </c>
      <c r="L355" s="71"/>
      <c r="M355" s="71">
        <f t="shared" si="231"/>
        <v>82400</v>
      </c>
      <c r="N355" s="71"/>
      <c r="O355" s="71">
        <f t="shared" si="232"/>
        <v>82400</v>
      </c>
      <c r="P355" s="71">
        <v>2865</v>
      </c>
      <c r="Q355" s="71">
        <f t="shared" si="233"/>
        <v>85265</v>
      </c>
      <c r="R355" s="71">
        <v>-365</v>
      </c>
      <c r="S355" s="71">
        <f t="shared" si="234"/>
        <v>84900</v>
      </c>
      <c r="T355" s="71"/>
      <c r="U355" s="71">
        <f t="shared" si="235"/>
        <v>84900</v>
      </c>
      <c r="V355" s="71"/>
      <c r="W355" s="71">
        <f t="shared" si="236"/>
        <v>84900</v>
      </c>
      <c r="X355" s="71"/>
      <c r="Y355" s="71">
        <f t="shared" si="237"/>
        <v>84900</v>
      </c>
      <c r="Z355" s="71"/>
      <c r="AA355" s="71">
        <f t="shared" si="238"/>
        <v>84900</v>
      </c>
      <c r="AB355" s="119"/>
      <c r="AC355" s="119"/>
      <c r="AD355" s="119"/>
    </row>
    <row r="356" spans="1:30" s="24" customFormat="1" ht="21" customHeight="1">
      <c r="A356" s="97"/>
      <c r="B356" s="47"/>
      <c r="C356" s="47">
        <v>4120</v>
      </c>
      <c r="D356" s="13" t="s">
        <v>87</v>
      </c>
      <c r="E356" s="71">
        <v>5300</v>
      </c>
      <c r="F356" s="71"/>
      <c r="G356" s="71">
        <f t="shared" si="228"/>
        <v>5300</v>
      </c>
      <c r="H356" s="71"/>
      <c r="I356" s="71">
        <f t="shared" si="229"/>
        <v>5300</v>
      </c>
      <c r="J356" s="71"/>
      <c r="K356" s="71">
        <f t="shared" si="230"/>
        <v>5300</v>
      </c>
      <c r="L356" s="71"/>
      <c r="M356" s="71">
        <f t="shared" si="231"/>
        <v>5300</v>
      </c>
      <c r="N356" s="71"/>
      <c r="O356" s="71">
        <f t="shared" si="232"/>
        <v>5300</v>
      </c>
      <c r="P356" s="71">
        <v>-300</v>
      </c>
      <c r="Q356" s="71">
        <f t="shared" si="233"/>
        <v>5000</v>
      </c>
      <c r="R356" s="71"/>
      <c r="S356" s="71">
        <f t="shared" si="234"/>
        <v>5000</v>
      </c>
      <c r="T356" s="71"/>
      <c r="U356" s="71">
        <f t="shared" si="235"/>
        <v>5000</v>
      </c>
      <c r="V356" s="71"/>
      <c r="W356" s="71">
        <f t="shared" si="236"/>
        <v>5000</v>
      </c>
      <c r="X356" s="71"/>
      <c r="Y356" s="71">
        <f t="shared" si="237"/>
        <v>5000</v>
      </c>
      <c r="Z356" s="71"/>
      <c r="AA356" s="71">
        <f t="shared" si="238"/>
        <v>5000</v>
      </c>
      <c r="AB356" s="119"/>
      <c r="AC356" s="119"/>
      <c r="AD356" s="119"/>
    </row>
    <row r="357" spans="1:30" s="24" customFormat="1" ht="21" customHeight="1">
      <c r="A357" s="97"/>
      <c r="B357" s="78"/>
      <c r="C357" s="47">
        <v>4170</v>
      </c>
      <c r="D357" s="38" t="s">
        <v>190</v>
      </c>
      <c r="E357" s="71">
        <v>3000</v>
      </c>
      <c r="F357" s="71"/>
      <c r="G357" s="71">
        <f t="shared" si="228"/>
        <v>3000</v>
      </c>
      <c r="H357" s="71"/>
      <c r="I357" s="71">
        <f t="shared" si="229"/>
        <v>3000</v>
      </c>
      <c r="J357" s="71"/>
      <c r="K357" s="71">
        <f t="shared" si="230"/>
        <v>3000</v>
      </c>
      <c r="L357" s="71"/>
      <c r="M357" s="71">
        <f t="shared" si="231"/>
        <v>3000</v>
      </c>
      <c r="N357" s="71"/>
      <c r="O357" s="71">
        <f t="shared" si="232"/>
        <v>3000</v>
      </c>
      <c r="P357" s="71"/>
      <c r="Q357" s="71">
        <f t="shared" si="233"/>
        <v>3000</v>
      </c>
      <c r="R357" s="71"/>
      <c r="S357" s="71">
        <f t="shared" si="234"/>
        <v>3000</v>
      </c>
      <c r="T357" s="71"/>
      <c r="U357" s="71">
        <f t="shared" si="235"/>
        <v>3000</v>
      </c>
      <c r="V357" s="71"/>
      <c r="W357" s="71">
        <f t="shared" si="236"/>
        <v>3000</v>
      </c>
      <c r="X357" s="71"/>
      <c r="Y357" s="71">
        <f t="shared" si="237"/>
        <v>3000</v>
      </c>
      <c r="Z357" s="71"/>
      <c r="AA357" s="71">
        <f t="shared" si="238"/>
        <v>3000</v>
      </c>
      <c r="AB357" s="119"/>
      <c r="AC357" s="119"/>
      <c r="AD357" s="119"/>
    </row>
    <row r="358" spans="1:27" s="24" customFormat="1" ht="21" customHeight="1">
      <c r="A358" s="97"/>
      <c r="B358" s="78"/>
      <c r="C358" s="47">
        <v>4210</v>
      </c>
      <c r="D358" s="13" t="s">
        <v>92</v>
      </c>
      <c r="E358" s="71">
        <v>8350</v>
      </c>
      <c r="F358" s="71"/>
      <c r="G358" s="71">
        <f t="shared" si="228"/>
        <v>8350</v>
      </c>
      <c r="H358" s="71"/>
      <c r="I358" s="71">
        <f t="shared" si="229"/>
        <v>8350</v>
      </c>
      <c r="J358" s="71"/>
      <c r="K358" s="71">
        <f t="shared" si="230"/>
        <v>8350</v>
      </c>
      <c r="L358" s="71"/>
      <c r="M358" s="71">
        <f t="shared" si="231"/>
        <v>8350</v>
      </c>
      <c r="N358" s="71"/>
      <c r="O358" s="71">
        <f t="shared" si="232"/>
        <v>8350</v>
      </c>
      <c r="P358" s="71"/>
      <c r="Q358" s="71">
        <f t="shared" si="233"/>
        <v>8350</v>
      </c>
      <c r="R358" s="71"/>
      <c r="S358" s="71">
        <f t="shared" si="234"/>
        <v>8350</v>
      </c>
      <c r="T358" s="71"/>
      <c r="U358" s="71">
        <f t="shared" si="235"/>
        <v>8350</v>
      </c>
      <c r="V358" s="71"/>
      <c r="W358" s="71">
        <f t="shared" si="236"/>
        <v>8350</v>
      </c>
      <c r="X358" s="71"/>
      <c r="Y358" s="71">
        <f t="shared" si="237"/>
        <v>8350</v>
      </c>
      <c r="Z358" s="71"/>
      <c r="AA358" s="71">
        <f t="shared" si="238"/>
        <v>8350</v>
      </c>
    </row>
    <row r="359" spans="1:27" s="24" customFormat="1" ht="21" customHeight="1">
      <c r="A359" s="97"/>
      <c r="B359" s="78"/>
      <c r="C359" s="47">
        <v>4260</v>
      </c>
      <c r="D359" s="38" t="s">
        <v>95</v>
      </c>
      <c r="E359" s="71">
        <v>14000</v>
      </c>
      <c r="F359" s="71"/>
      <c r="G359" s="71">
        <f t="shared" si="228"/>
        <v>14000</v>
      </c>
      <c r="H359" s="71"/>
      <c r="I359" s="71">
        <f t="shared" si="229"/>
        <v>14000</v>
      </c>
      <c r="J359" s="71"/>
      <c r="K359" s="71">
        <f t="shared" si="230"/>
        <v>14000</v>
      </c>
      <c r="L359" s="71"/>
      <c r="M359" s="71">
        <f t="shared" si="231"/>
        <v>14000</v>
      </c>
      <c r="N359" s="71"/>
      <c r="O359" s="71">
        <f t="shared" si="232"/>
        <v>14000</v>
      </c>
      <c r="P359" s="71"/>
      <c r="Q359" s="71">
        <f t="shared" si="233"/>
        <v>14000</v>
      </c>
      <c r="R359" s="71"/>
      <c r="S359" s="71">
        <f t="shared" si="234"/>
        <v>14000</v>
      </c>
      <c r="T359" s="71"/>
      <c r="U359" s="71">
        <f t="shared" si="235"/>
        <v>14000</v>
      </c>
      <c r="V359" s="71"/>
      <c r="W359" s="71">
        <f t="shared" si="236"/>
        <v>14000</v>
      </c>
      <c r="X359" s="71"/>
      <c r="Y359" s="71">
        <f t="shared" si="237"/>
        <v>14000</v>
      </c>
      <c r="Z359" s="71"/>
      <c r="AA359" s="71">
        <f t="shared" si="238"/>
        <v>14000</v>
      </c>
    </row>
    <row r="360" spans="1:27" s="24" customFormat="1" ht="21" customHeight="1">
      <c r="A360" s="97"/>
      <c r="B360" s="78"/>
      <c r="C360" s="47">
        <v>4270</v>
      </c>
      <c r="D360" s="38" t="s">
        <v>78</v>
      </c>
      <c r="E360" s="71">
        <v>1000</v>
      </c>
      <c r="F360" s="71"/>
      <c r="G360" s="71">
        <f t="shared" si="228"/>
        <v>1000</v>
      </c>
      <c r="H360" s="71"/>
      <c r="I360" s="71">
        <f t="shared" si="229"/>
        <v>1000</v>
      </c>
      <c r="J360" s="71"/>
      <c r="K360" s="71">
        <f t="shared" si="230"/>
        <v>1000</v>
      </c>
      <c r="L360" s="71"/>
      <c r="M360" s="71">
        <f t="shared" si="231"/>
        <v>1000</v>
      </c>
      <c r="N360" s="71"/>
      <c r="O360" s="71">
        <f t="shared" si="232"/>
        <v>1000</v>
      </c>
      <c r="P360" s="71"/>
      <c r="Q360" s="71">
        <f t="shared" si="233"/>
        <v>1000</v>
      </c>
      <c r="R360" s="71"/>
      <c r="S360" s="71">
        <f t="shared" si="234"/>
        <v>1000</v>
      </c>
      <c r="T360" s="71"/>
      <c r="U360" s="71">
        <f t="shared" si="235"/>
        <v>1000</v>
      </c>
      <c r="V360" s="71"/>
      <c r="W360" s="71">
        <f t="shared" si="236"/>
        <v>1000</v>
      </c>
      <c r="X360" s="71"/>
      <c r="Y360" s="71">
        <f t="shared" si="237"/>
        <v>1000</v>
      </c>
      <c r="Z360" s="71"/>
      <c r="AA360" s="71">
        <f t="shared" si="238"/>
        <v>1000</v>
      </c>
    </row>
    <row r="361" spans="1:27" s="24" customFormat="1" ht="21" customHeight="1">
      <c r="A361" s="97"/>
      <c r="B361" s="78"/>
      <c r="C361" s="47">
        <v>4280</v>
      </c>
      <c r="D361" s="38" t="s">
        <v>197</v>
      </c>
      <c r="E361" s="71">
        <v>800</v>
      </c>
      <c r="F361" s="71"/>
      <c r="G361" s="71">
        <f t="shared" si="228"/>
        <v>800</v>
      </c>
      <c r="H361" s="71"/>
      <c r="I361" s="71">
        <f t="shared" si="229"/>
        <v>800</v>
      </c>
      <c r="J361" s="71"/>
      <c r="K361" s="71">
        <f t="shared" si="230"/>
        <v>800</v>
      </c>
      <c r="L361" s="71"/>
      <c r="M361" s="71">
        <f t="shared" si="231"/>
        <v>800</v>
      </c>
      <c r="N361" s="71"/>
      <c r="O361" s="71">
        <f t="shared" si="232"/>
        <v>800</v>
      </c>
      <c r="P361" s="71"/>
      <c r="Q361" s="71">
        <f t="shared" si="233"/>
        <v>800</v>
      </c>
      <c r="R361" s="71"/>
      <c r="S361" s="71">
        <f t="shared" si="234"/>
        <v>800</v>
      </c>
      <c r="T361" s="71"/>
      <c r="U361" s="71">
        <f t="shared" si="235"/>
        <v>800</v>
      </c>
      <c r="V361" s="71"/>
      <c r="W361" s="71">
        <f t="shared" si="236"/>
        <v>800</v>
      </c>
      <c r="X361" s="71"/>
      <c r="Y361" s="71">
        <f t="shared" si="237"/>
        <v>800</v>
      </c>
      <c r="Z361" s="71"/>
      <c r="AA361" s="71">
        <f t="shared" si="238"/>
        <v>800</v>
      </c>
    </row>
    <row r="362" spans="1:27" s="24" customFormat="1" ht="21" customHeight="1">
      <c r="A362" s="97"/>
      <c r="B362" s="78"/>
      <c r="C362" s="47">
        <v>4300</v>
      </c>
      <c r="D362" s="13" t="s">
        <v>79</v>
      </c>
      <c r="E362" s="71">
        <v>6150</v>
      </c>
      <c r="F362" s="71"/>
      <c r="G362" s="71">
        <f t="shared" si="228"/>
        <v>6150</v>
      </c>
      <c r="H362" s="71"/>
      <c r="I362" s="71">
        <f t="shared" si="229"/>
        <v>6150</v>
      </c>
      <c r="J362" s="71"/>
      <c r="K362" s="71">
        <f t="shared" si="230"/>
        <v>6150</v>
      </c>
      <c r="L362" s="71"/>
      <c r="M362" s="71">
        <f t="shared" si="231"/>
        <v>6150</v>
      </c>
      <c r="N362" s="71"/>
      <c r="O362" s="71">
        <f t="shared" si="232"/>
        <v>6150</v>
      </c>
      <c r="P362" s="71"/>
      <c r="Q362" s="71">
        <f t="shared" si="233"/>
        <v>6150</v>
      </c>
      <c r="R362" s="71"/>
      <c r="S362" s="71">
        <f t="shared" si="234"/>
        <v>6150</v>
      </c>
      <c r="T362" s="71"/>
      <c r="U362" s="71">
        <f t="shared" si="235"/>
        <v>6150</v>
      </c>
      <c r="V362" s="71"/>
      <c r="W362" s="71">
        <f t="shared" si="236"/>
        <v>6150</v>
      </c>
      <c r="X362" s="71"/>
      <c r="Y362" s="71">
        <f t="shared" si="237"/>
        <v>6150</v>
      </c>
      <c r="Z362" s="71"/>
      <c r="AA362" s="71">
        <f t="shared" si="238"/>
        <v>6150</v>
      </c>
    </row>
    <row r="363" spans="1:27" s="24" customFormat="1" ht="21" customHeight="1">
      <c r="A363" s="97"/>
      <c r="B363" s="78"/>
      <c r="C363" s="47">
        <v>4350</v>
      </c>
      <c r="D363" s="38" t="s">
        <v>204</v>
      </c>
      <c r="E363" s="71">
        <v>1600</v>
      </c>
      <c r="F363" s="71"/>
      <c r="G363" s="71">
        <f t="shared" si="228"/>
        <v>1600</v>
      </c>
      <c r="H363" s="71"/>
      <c r="I363" s="71">
        <f t="shared" si="229"/>
        <v>1600</v>
      </c>
      <c r="J363" s="71">
        <v>1200</v>
      </c>
      <c r="K363" s="71">
        <f t="shared" si="230"/>
        <v>2800</v>
      </c>
      <c r="L363" s="71"/>
      <c r="M363" s="71">
        <f t="shared" si="231"/>
        <v>2800</v>
      </c>
      <c r="N363" s="71"/>
      <c r="O363" s="71">
        <f t="shared" si="232"/>
        <v>2800</v>
      </c>
      <c r="P363" s="71"/>
      <c r="Q363" s="71">
        <f t="shared" si="233"/>
        <v>2800</v>
      </c>
      <c r="R363" s="71"/>
      <c r="S363" s="71">
        <f t="shared" si="234"/>
        <v>2800</v>
      </c>
      <c r="T363" s="71"/>
      <c r="U363" s="71">
        <f t="shared" si="235"/>
        <v>2800</v>
      </c>
      <c r="V363" s="71"/>
      <c r="W363" s="71">
        <f t="shared" si="236"/>
        <v>2800</v>
      </c>
      <c r="X363" s="71"/>
      <c r="Y363" s="71">
        <f t="shared" si="237"/>
        <v>2800</v>
      </c>
      <c r="Z363" s="71"/>
      <c r="AA363" s="71">
        <f t="shared" si="238"/>
        <v>2800</v>
      </c>
    </row>
    <row r="364" spans="1:27" s="24" customFormat="1" ht="33.75">
      <c r="A364" s="97"/>
      <c r="B364" s="78"/>
      <c r="C364" s="47">
        <v>4360</v>
      </c>
      <c r="D364" s="38" t="s">
        <v>433</v>
      </c>
      <c r="E364" s="71">
        <v>1200</v>
      </c>
      <c r="F364" s="71"/>
      <c r="G364" s="71">
        <f t="shared" si="228"/>
        <v>1200</v>
      </c>
      <c r="H364" s="71"/>
      <c r="I364" s="71">
        <f t="shared" si="229"/>
        <v>1200</v>
      </c>
      <c r="J364" s="71"/>
      <c r="K364" s="71">
        <f t="shared" si="230"/>
        <v>1200</v>
      </c>
      <c r="L364" s="71"/>
      <c r="M364" s="71">
        <f t="shared" si="231"/>
        <v>1200</v>
      </c>
      <c r="N364" s="71"/>
      <c r="O364" s="71">
        <f t="shared" si="232"/>
        <v>1200</v>
      </c>
      <c r="P364" s="71"/>
      <c r="Q364" s="71">
        <f t="shared" si="233"/>
        <v>1200</v>
      </c>
      <c r="R364" s="71"/>
      <c r="S364" s="71">
        <f t="shared" si="234"/>
        <v>1200</v>
      </c>
      <c r="T364" s="71"/>
      <c r="U364" s="71">
        <f t="shared" si="235"/>
        <v>1200</v>
      </c>
      <c r="V364" s="71"/>
      <c r="W364" s="71">
        <f t="shared" si="236"/>
        <v>1200</v>
      </c>
      <c r="X364" s="71"/>
      <c r="Y364" s="71">
        <f t="shared" si="237"/>
        <v>1200</v>
      </c>
      <c r="Z364" s="71"/>
      <c r="AA364" s="71">
        <f t="shared" si="238"/>
        <v>1200</v>
      </c>
    </row>
    <row r="365" spans="1:27" s="24" customFormat="1" ht="45">
      <c r="A365" s="97"/>
      <c r="B365" s="78"/>
      <c r="C365" s="47">
        <v>4370</v>
      </c>
      <c r="D365" s="38" t="s">
        <v>432</v>
      </c>
      <c r="E365" s="71">
        <v>4800</v>
      </c>
      <c r="F365" s="71"/>
      <c r="G365" s="71">
        <f t="shared" si="228"/>
        <v>4800</v>
      </c>
      <c r="H365" s="71"/>
      <c r="I365" s="71">
        <f t="shared" si="229"/>
        <v>4800</v>
      </c>
      <c r="J365" s="71">
        <v>-1200</v>
      </c>
      <c r="K365" s="71">
        <f t="shared" si="230"/>
        <v>3600</v>
      </c>
      <c r="L365" s="71"/>
      <c r="M365" s="71">
        <f t="shared" si="231"/>
        <v>3600</v>
      </c>
      <c r="N365" s="71"/>
      <c r="O365" s="71">
        <f t="shared" si="232"/>
        <v>3600</v>
      </c>
      <c r="P365" s="71"/>
      <c r="Q365" s="71">
        <f t="shared" si="233"/>
        <v>3600</v>
      </c>
      <c r="R365" s="71"/>
      <c r="S365" s="71">
        <f t="shared" si="234"/>
        <v>3600</v>
      </c>
      <c r="T365" s="71"/>
      <c r="U365" s="71">
        <f t="shared" si="235"/>
        <v>3600</v>
      </c>
      <c r="V365" s="71"/>
      <c r="W365" s="71">
        <f t="shared" si="236"/>
        <v>3600</v>
      </c>
      <c r="X365" s="71"/>
      <c r="Y365" s="71">
        <f t="shared" si="237"/>
        <v>3600</v>
      </c>
      <c r="Z365" s="71"/>
      <c r="AA365" s="71">
        <f t="shared" si="238"/>
        <v>3600</v>
      </c>
    </row>
    <row r="366" spans="1:27" s="24" customFormat="1" ht="21" customHeight="1">
      <c r="A366" s="97"/>
      <c r="B366" s="78"/>
      <c r="C366" s="47">
        <v>4410</v>
      </c>
      <c r="D366" s="38" t="s">
        <v>90</v>
      </c>
      <c r="E366" s="71">
        <v>2000</v>
      </c>
      <c r="F366" s="71"/>
      <c r="G366" s="71">
        <f t="shared" si="228"/>
        <v>2000</v>
      </c>
      <c r="H366" s="71"/>
      <c r="I366" s="71">
        <f t="shared" si="229"/>
        <v>2000</v>
      </c>
      <c r="J366" s="71"/>
      <c r="K366" s="71">
        <f t="shared" si="230"/>
        <v>2000</v>
      </c>
      <c r="L366" s="71"/>
      <c r="M366" s="71">
        <f t="shared" si="231"/>
        <v>2000</v>
      </c>
      <c r="N366" s="71">
        <v>1000</v>
      </c>
      <c r="O366" s="71">
        <f t="shared" si="232"/>
        <v>3000</v>
      </c>
      <c r="P366" s="71"/>
      <c r="Q366" s="71">
        <f t="shared" si="233"/>
        <v>3000</v>
      </c>
      <c r="R366" s="71"/>
      <c r="S366" s="71">
        <f t="shared" si="234"/>
        <v>3000</v>
      </c>
      <c r="T366" s="71"/>
      <c r="U366" s="71">
        <f t="shared" si="235"/>
        <v>3000</v>
      </c>
      <c r="V366" s="71"/>
      <c r="W366" s="71">
        <f t="shared" si="236"/>
        <v>3000</v>
      </c>
      <c r="X366" s="71"/>
      <c r="Y366" s="71">
        <f t="shared" si="237"/>
        <v>3000</v>
      </c>
      <c r="Z366" s="71"/>
      <c r="AA366" s="71">
        <f t="shared" si="238"/>
        <v>3000</v>
      </c>
    </row>
    <row r="367" spans="1:27" s="24" customFormat="1" ht="21" customHeight="1">
      <c r="A367" s="97"/>
      <c r="B367" s="78"/>
      <c r="C367" s="47">
        <v>4430</v>
      </c>
      <c r="D367" s="38" t="s">
        <v>94</v>
      </c>
      <c r="E367" s="71">
        <v>3000</v>
      </c>
      <c r="F367" s="71"/>
      <c r="G367" s="71">
        <f t="shared" si="228"/>
        <v>3000</v>
      </c>
      <c r="H367" s="71"/>
      <c r="I367" s="71">
        <f t="shared" si="229"/>
        <v>3000</v>
      </c>
      <c r="J367" s="71"/>
      <c r="K367" s="71">
        <f t="shared" si="230"/>
        <v>3000</v>
      </c>
      <c r="L367" s="71">
        <v>-284</v>
      </c>
      <c r="M367" s="71">
        <f t="shared" si="231"/>
        <v>2716</v>
      </c>
      <c r="N367" s="71"/>
      <c r="O367" s="71">
        <f t="shared" si="232"/>
        <v>2716</v>
      </c>
      <c r="P367" s="71"/>
      <c r="Q367" s="71">
        <f t="shared" si="233"/>
        <v>2716</v>
      </c>
      <c r="R367" s="71"/>
      <c r="S367" s="71">
        <f t="shared" si="234"/>
        <v>2716</v>
      </c>
      <c r="T367" s="71"/>
      <c r="U367" s="71">
        <f t="shared" si="235"/>
        <v>2716</v>
      </c>
      <c r="V367" s="71"/>
      <c r="W367" s="71">
        <f t="shared" si="236"/>
        <v>2716</v>
      </c>
      <c r="X367" s="71"/>
      <c r="Y367" s="71">
        <f t="shared" si="237"/>
        <v>2716</v>
      </c>
      <c r="Z367" s="71"/>
      <c r="AA367" s="71">
        <f t="shared" si="238"/>
        <v>2716</v>
      </c>
    </row>
    <row r="368" spans="1:27" s="24" customFormat="1" ht="22.5">
      <c r="A368" s="97"/>
      <c r="B368" s="78"/>
      <c r="C368" s="47">
        <v>4440</v>
      </c>
      <c r="D368" s="13" t="s">
        <v>88</v>
      </c>
      <c r="E368" s="71">
        <v>4875</v>
      </c>
      <c r="F368" s="71"/>
      <c r="G368" s="71">
        <f t="shared" si="228"/>
        <v>4875</v>
      </c>
      <c r="H368" s="71"/>
      <c r="I368" s="71">
        <f t="shared" si="229"/>
        <v>4875</v>
      </c>
      <c r="J368" s="71"/>
      <c r="K368" s="71">
        <f t="shared" si="230"/>
        <v>4875</v>
      </c>
      <c r="L368" s="71"/>
      <c r="M368" s="71">
        <f t="shared" si="231"/>
        <v>4875</v>
      </c>
      <c r="N368" s="71"/>
      <c r="O368" s="71">
        <f t="shared" si="232"/>
        <v>4875</v>
      </c>
      <c r="P368" s="71"/>
      <c r="Q368" s="71">
        <f t="shared" si="233"/>
        <v>4875</v>
      </c>
      <c r="R368" s="71">
        <v>365</v>
      </c>
      <c r="S368" s="71">
        <f t="shared" si="234"/>
        <v>5240</v>
      </c>
      <c r="T368" s="71"/>
      <c r="U368" s="71">
        <f t="shared" si="235"/>
        <v>5240</v>
      </c>
      <c r="V368" s="71"/>
      <c r="W368" s="71">
        <f t="shared" si="236"/>
        <v>5240</v>
      </c>
      <c r="X368" s="71"/>
      <c r="Y368" s="71">
        <f t="shared" si="237"/>
        <v>5240</v>
      </c>
      <c r="Z368" s="71"/>
      <c r="AA368" s="71">
        <f t="shared" si="238"/>
        <v>5240</v>
      </c>
    </row>
    <row r="369" spans="1:27" s="24" customFormat="1" ht="23.25" customHeight="1">
      <c r="A369" s="97"/>
      <c r="B369" s="78"/>
      <c r="C369" s="47">
        <v>4580</v>
      </c>
      <c r="D369" s="13" t="s">
        <v>11</v>
      </c>
      <c r="E369" s="71"/>
      <c r="F369" s="71"/>
      <c r="G369" s="71"/>
      <c r="H369" s="71"/>
      <c r="I369" s="71"/>
      <c r="J369" s="71"/>
      <c r="K369" s="71">
        <v>0</v>
      </c>
      <c r="L369" s="71">
        <v>284</v>
      </c>
      <c r="M369" s="71">
        <f t="shared" si="231"/>
        <v>284</v>
      </c>
      <c r="N369" s="71"/>
      <c r="O369" s="71">
        <f t="shared" si="232"/>
        <v>284</v>
      </c>
      <c r="P369" s="71"/>
      <c r="Q369" s="71">
        <f t="shared" si="233"/>
        <v>284</v>
      </c>
      <c r="R369" s="71"/>
      <c r="S369" s="71">
        <f t="shared" si="234"/>
        <v>284</v>
      </c>
      <c r="T369" s="71"/>
      <c r="U369" s="71">
        <f t="shared" si="235"/>
        <v>284</v>
      </c>
      <c r="V369" s="71"/>
      <c r="W369" s="71">
        <f t="shared" si="236"/>
        <v>284</v>
      </c>
      <c r="X369" s="71"/>
      <c r="Y369" s="71">
        <f t="shared" si="237"/>
        <v>284</v>
      </c>
      <c r="Z369" s="71"/>
      <c r="AA369" s="71">
        <f t="shared" si="238"/>
        <v>284</v>
      </c>
    </row>
    <row r="370" spans="1:27" s="24" customFormat="1" ht="22.5">
      <c r="A370" s="97"/>
      <c r="B370" s="78"/>
      <c r="C370" s="47">
        <v>4610</v>
      </c>
      <c r="D370" s="38" t="s">
        <v>181</v>
      </c>
      <c r="E370" s="71">
        <v>1000</v>
      </c>
      <c r="F370" s="71"/>
      <c r="G370" s="71">
        <f t="shared" si="228"/>
        <v>1000</v>
      </c>
      <c r="H370" s="71"/>
      <c r="I370" s="71">
        <f t="shared" si="229"/>
        <v>1000</v>
      </c>
      <c r="J370" s="71"/>
      <c r="K370" s="71">
        <f t="shared" si="230"/>
        <v>1000</v>
      </c>
      <c r="L370" s="71"/>
      <c r="M370" s="71">
        <f t="shared" si="231"/>
        <v>1000</v>
      </c>
      <c r="N370" s="71"/>
      <c r="O370" s="71">
        <f t="shared" si="232"/>
        <v>1000</v>
      </c>
      <c r="P370" s="71"/>
      <c r="Q370" s="71">
        <f t="shared" si="233"/>
        <v>1000</v>
      </c>
      <c r="R370" s="71"/>
      <c r="S370" s="71">
        <f t="shared" si="234"/>
        <v>1000</v>
      </c>
      <c r="T370" s="71"/>
      <c r="U370" s="71">
        <f t="shared" si="235"/>
        <v>1000</v>
      </c>
      <c r="V370" s="71"/>
      <c r="W370" s="71">
        <f t="shared" si="236"/>
        <v>1000</v>
      </c>
      <c r="X370" s="71"/>
      <c r="Y370" s="71">
        <f t="shared" si="237"/>
        <v>1000</v>
      </c>
      <c r="Z370" s="71"/>
      <c r="AA370" s="71">
        <f t="shared" si="238"/>
        <v>1000</v>
      </c>
    </row>
    <row r="371" spans="1:27" s="24" customFormat="1" ht="22.5">
      <c r="A371" s="97"/>
      <c r="B371" s="78"/>
      <c r="C371" s="47">
        <v>4700</v>
      </c>
      <c r="D371" s="38" t="s">
        <v>249</v>
      </c>
      <c r="E371" s="71">
        <v>3000</v>
      </c>
      <c r="F371" s="71"/>
      <c r="G371" s="71">
        <f t="shared" si="228"/>
        <v>3000</v>
      </c>
      <c r="H371" s="71"/>
      <c r="I371" s="71">
        <f t="shared" si="229"/>
        <v>3000</v>
      </c>
      <c r="J371" s="71"/>
      <c r="K371" s="71">
        <f t="shared" si="230"/>
        <v>3000</v>
      </c>
      <c r="L371" s="71"/>
      <c r="M371" s="71">
        <f t="shared" si="231"/>
        <v>3000</v>
      </c>
      <c r="N371" s="71"/>
      <c r="O371" s="71">
        <f t="shared" si="232"/>
        <v>3000</v>
      </c>
      <c r="P371" s="71"/>
      <c r="Q371" s="71">
        <f t="shared" si="233"/>
        <v>3000</v>
      </c>
      <c r="R371" s="71"/>
      <c r="S371" s="71">
        <f t="shared" si="234"/>
        <v>3000</v>
      </c>
      <c r="T371" s="71"/>
      <c r="U371" s="71">
        <f t="shared" si="235"/>
        <v>3000</v>
      </c>
      <c r="V371" s="71"/>
      <c r="W371" s="71">
        <f t="shared" si="236"/>
        <v>3000</v>
      </c>
      <c r="X371" s="71"/>
      <c r="Y371" s="71">
        <f t="shared" si="237"/>
        <v>3000</v>
      </c>
      <c r="Z371" s="71"/>
      <c r="AA371" s="71">
        <f t="shared" si="238"/>
        <v>3000</v>
      </c>
    </row>
    <row r="372" spans="1:27" s="24" customFormat="1" ht="28.5" customHeight="1">
      <c r="A372" s="97"/>
      <c r="B372" s="78"/>
      <c r="C372" s="47">
        <v>4740</v>
      </c>
      <c r="D372" s="38" t="s">
        <v>267</v>
      </c>
      <c r="E372" s="71">
        <v>2000</v>
      </c>
      <c r="F372" s="71"/>
      <c r="G372" s="71">
        <f t="shared" si="228"/>
        <v>2000</v>
      </c>
      <c r="H372" s="71"/>
      <c r="I372" s="71">
        <f t="shared" si="229"/>
        <v>2000</v>
      </c>
      <c r="J372" s="71"/>
      <c r="K372" s="71">
        <f t="shared" si="230"/>
        <v>2000</v>
      </c>
      <c r="L372" s="71"/>
      <c r="M372" s="71">
        <f t="shared" si="231"/>
        <v>2000</v>
      </c>
      <c r="N372" s="71"/>
      <c r="O372" s="71">
        <f t="shared" si="232"/>
        <v>2000</v>
      </c>
      <c r="P372" s="71"/>
      <c r="Q372" s="71">
        <f t="shared" si="233"/>
        <v>2000</v>
      </c>
      <c r="R372" s="71"/>
      <c r="S372" s="71">
        <f t="shared" si="234"/>
        <v>2000</v>
      </c>
      <c r="T372" s="71"/>
      <c r="U372" s="71">
        <f t="shared" si="235"/>
        <v>2000</v>
      </c>
      <c r="V372" s="71"/>
      <c r="W372" s="71">
        <f t="shared" si="236"/>
        <v>2000</v>
      </c>
      <c r="X372" s="71"/>
      <c r="Y372" s="71">
        <f t="shared" si="237"/>
        <v>2000</v>
      </c>
      <c r="Z372" s="71"/>
      <c r="AA372" s="71">
        <f t="shared" si="238"/>
        <v>2000</v>
      </c>
    </row>
    <row r="373" spans="1:27" s="24" customFormat="1" ht="28.5" customHeight="1">
      <c r="A373" s="97"/>
      <c r="B373" s="78"/>
      <c r="C373" s="47">
        <v>4750</v>
      </c>
      <c r="D373" s="38" t="s">
        <v>253</v>
      </c>
      <c r="E373" s="71">
        <v>5000</v>
      </c>
      <c r="F373" s="71"/>
      <c r="G373" s="71">
        <f t="shared" si="228"/>
        <v>5000</v>
      </c>
      <c r="H373" s="71"/>
      <c r="I373" s="71">
        <f t="shared" si="229"/>
        <v>5000</v>
      </c>
      <c r="J373" s="71"/>
      <c r="K373" s="71">
        <f t="shared" si="230"/>
        <v>5000</v>
      </c>
      <c r="L373" s="71"/>
      <c r="M373" s="71">
        <f t="shared" si="231"/>
        <v>5000</v>
      </c>
      <c r="N373" s="71">
        <v>-1000</v>
      </c>
      <c r="O373" s="71">
        <f t="shared" si="232"/>
        <v>4000</v>
      </c>
      <c r="P373" s="71"/>
      <c r="Q373" s="71">
        <f t="shared" si="233"/>
        <v>4000</v>
      </c>
      <c r="R373" s="71"/>
      <c r="S373" s="71">
        <f t="shared" si="234"/>
        <v>4000</v>
      </c>
      <c r="T373" s="71"/>
      <c r="U373" s="71">
        <f t="shared" si="235"/>
        <v>4000</v>
      </c>
      <c r="V373" s="71"/>
      <c r="W373" s="71">
        <f t="shared" si="236"/>
        <v>4000</v>
      </c>
      <c r="X373" s="71"/>
      <c r="Y373" s="71">
        <f t="shared" si="237"/>
        <v>4000</v>
      </c>
      <c r="Z373" s="71"/>
      <c r="AA373" s="71">
        <f t="shared" si="238"/>
        <v>4000</v>
      </c>
    </row>
    <row r="374" spans="1:27" s="24" customFormat="1" ht="67.5">
      <c r="A374" s="67"/>
      <c r="B374" s="87">
        <v>85213</v>
      </c>
      <c r="C374" s="86"/>
      <c r="D374" s="77" t="s">
        <v>268</v>
      </c>
      <c r="E374" s="81">
        <f aca="true" t="shared" si="239" ref="E374:AA374">SUM(E375)</f>
        <v>49134</v>
      </c>
      <c r="F374" s="81">
        <f t="shared" si="239"/>
        <v>0</v>
      </c>
      <c r="G374" s="81">
        <f t="shared" si="239"/>
        <v>49134</v>
      </c>
      <c r="H374" s="81">
        <f t="shared" si="239"/>
        <v>0</v>
      </c>
      <c r="I374" s="81">
        <f t="shared" si="239"/>
        <v>49134</v>
      </c>
      <c r="J374" s="81">
        <f t="shared" si="239"/>
        <v>-73</v>
      </c>
      <c r="K374" s="81">
        <f t="shared" si="239"/>
        <v>49061</v>
      </c>
      <c r="L374" s="81">
        <f t="shared" si="239"/>
        <v>0</v>
      </c>
      <c r="M374" s="81">
        <f t="shared" si="239"/>
        <v>49061</v>
      </c>
      <c r="N374" s="81">
        <f t="shared" si="239"/>
        <v>0</v>
      </c>
      <c r="O374" s="81">
        <f t="shared" si="239"/>
        <v>49061</v>
      </c>
      <c r="P374" s="81">
        <f t="shared" si="239"/>
        <v>0</v>
      </c>
      <c r="Q374" s="81">
        <f t="shared" si="239"/>
        <v>49061</v>
      </c>
      <c r="R374" s="81">
        <f t="shared" si="239"/>
        <v>0</v>
      </c>
      <c r="S374" s="81">
        <f t="shared" si="239"/>
        <v>49061</v>
      </c>
      <c r="T374" s="81">
        <f t="shared" si="239"/>
        <v>0</v>
      </c>
      <c r="U374" s="81">
        <f t="shared" si="239"/>
        <v>49061</v>
      </c>
      <c r="V374" s="81">
        <f t="shared" si="239"/>
        <v>0</v>
      </c>
      <c r="W374" s="81">
        <f t="shared" si="239"/>
        <v>49061</v>
      </c>
      <c r="X374" s="81">
        <f t="shared" si="239"/>
        <v>3673</v>
      </c>
      <c r="Y374" s="81">
        <f t="shared" si="239"/>
        <v>52734</v>
      </c>
      <c r="Z374" s="81">
        <f t="shared" si="239"/>
        <v>0</v>
      </c>
      <c r="AA374" s="81">
        <f t="shared" si="239"/>
        <v>52734</v>
      </c>
    </row>
    <row r="375" spans="1:30" s="24" customFormat="1" ht="21" customHeight="1">
      <c r="A375" s="67"/>
      <c r="B375" s="87"/>
      <c r="C375" s="86">
        <v>4130</v>
      </c>
      <c r="D375" s="38" t="s">
        <v>120</v>
      </c>
      <c r="E375" s="71">
        <f>12000+37134</f>
        <v>49134</v>
      </c>
      <c r="F375" s="71"/>
      <c r="G375" s="71">
        <f>SUM(E375:F375)</f>
        <v>49134</v>
      </c>
      <c r="H375" s="71"/>
      <c r="I375" s="71">
        <f>SUM(G375:H375)</f>
        <v>49134</v>
      </c>
      <c r="J375" s="71">
        <v>-73</v>
      </c>
      <c r="K375" s="71">
        <f>SUM(I375:J375)</f>
        <v>49061</v>
      </c>
      <c r="L375" s="71"/>
      <c r="M375" s="71">
        <f>SUM(K375:L375)</f>
        <v>49061</v>
      </c>
      <c r="N375" s="71"/>
      <c r="O375" s="71">
        <f>SUM(M375:N375)</f>
        <v>49061</v>
      </c>
      <c r="P375" s="71"/>
      <c r="Q375" s="71">
        <f>SUM(O375:P375)</f>
        <v>49061</v>
      </c>
      <c r="R375" s="71"/>
      <c r="S375" s="71">
        <f>SUM(Q375:R375)</f>
        <v>49061</v>
      </c>
      <c r="T375" s="71"/>
      <c r="U375" s="71">
        <f>SUM(S375:T375)</f>
        <v>49061</v>
      </c>
      <c r="V375" s="71"/>
      <c r="W375" s="71">
        <f>SUM(U375:V375)</f>
        <v>49061</v>
      </c>
      <c r="X375" s="71">
        <v>3673</v>
      </c>
      <c r="Y375" s="71">
        <f>SUM(W375:X375)</f>
        <v>52734</v>
      </c>
      <c r="Z375" s="71"/>
      <c r="AA375" s="71">
        <f>SUM(Y375:Z375)</f>
        <v>52734</v>
      </c>
      <c r="AB375" s="119"/>
      <c r="AC375" s="119"/>
      <c r="AD375" s="119"/>
    </row>
    <row r="376" spans="1:27" s="24" customFormat="1" ht="22.5">
      <c r="A376" s="67"/>
      <c r="B376" s="82">
        <v>85214</v>
      </c>
      <c r="C376" s="86"/>
      <c r="D376" s="38" t="s">
        <v>203</v>
      </c>
      <c r="E376" s="81">
        <f aca="true" t="shared" si="240" ref="E376:W376">SUM(E377:E378)</f>
        <v>1489695</v>
      </c>
      <c r="F376" s="81">
        <f t="shared" si="240"/>
        <v>0</v>
      </c>
      <c r="G376" s="81">
        <f t="shared" si="240"/>
        <v>1489695</v>
      </c>
      <c r="H376" s="81">
        <f t="shared" si="240"/>
        <v>0</v>
      </c>
      <c r="I376" s="81">
        <f t="shared" si="240"/>
        <v>1489695</v>
      </c>
      <c r="J376" s="81">
        <f t="shared" si="240"/>
        <v>0</v>
      </c>
      <c r="K376" s="81">
        <f t="shared" si="240"/>
        <v>1489695</v>
      </c>
      <c r="L376" s="81">
        <f t="shared" si="240"/>
        <v>0</v>
      </c>
      <c r="M376" s="81">
        <f t="shared" si="240"/>
        <v>1489695</v>
      </c>
      <c r="N376" s="81">
        <f t="shared" si="240"/>
        <v>0</v>
      </c>
      <c r="O376" s="81">
        <f t="shared" si="240"/>
        <v>1489695</v>
      </c>
      <c r="P376" s="81">
        <f t="shared" si="240"/>
        <v>0</v>
      </c>
      <c r="Q376" s="81">
        <f t="shared" si="240"/>
        <v>1489695</v>
      </c>
      <c r="R376" s="81">
        <f t="shared" si="240"/>
        <v>0</v>
      </c>
      <c r="S376" s="81">
        <f t="shared" si="240"/>
        <v>1489695</v>
      </c>
      <c r="T376" s="81">
        <f t="shared" si="240"/>
        <v>0</v>
      </c>
      <c r="U376" s="81">
        <f t="shared" si="240"/>
        <v>1489695</v>
      </c>
      <c r="V376" s="81">
        <f t="shared" si="240"/>
        <v>0</v>
      </c>
      <c r="W376" s="81">
        <f t="shared" si="240"/>
        <v>1489695</v>
      </c>
      <c r="X376" s="81">
        <f>SUM(X377:X378)</f>
        <v>73405</v>
      </c>
      <c r="Y376" s="81">
        <f>SUM(Y377:Y378)</f>
        <v>1563100</v>
      </c>
      <c r="Z376" s="81">
        <f>SUM(Z377:Z378)</f>
        <v>0</v>
      </c>
      <c r="AA376" s="81">
        <f>SUM(AA377:AA378)</f>
        <v>1563100</v>
      </c>
    </row>
    <row r="377" spans="1:27" s="24" customFormat="1" ht="21" customHeight="1">
      <c r="A377" s="67"/>
      <c r="B377" s="82"/>
      <c r="C377" s="86">
        <v>3110</v>
      </c>
      <c r="D377" s="38" t="s">
        <v>112</v>
      </c>
      <c r="E377" s="81">
        <f>539695+949000</f>
        <v>1488695</v>
      </c>
      <c r="F377" s="81"/>
      <c r="G377" s="81">
        <f>SUM(E377:F377)</f>
        <v>1488695</v>
      </c>
      <c r="H377" s="81"/>
      <c r="I377" s="81">
        <f>SUM(G377:H377)</f>
        <v>1488695</v>
      </c>
      <c r="J377" s="81"/>
      <c r="K377" s="81">
        <f>SUM(I377:J377)</f>
        <v>1488695</v>
      </c>
      <c r="L377" s="81"/>
      <c r="M377" s="81">
        <f>SUM(K377:L377)</f>
        <v>1488695</v>
      </c>
      <c r="N377" s="81"/>
      <c r="O377" s="81">
        <f>SUM(M377:N377)</f>
        <v>1488695</v>
      </c>
      <c r="P377" s="81"/>
      <c r="Q377" s="81">
        <f>SUM(O377:P377)</f>
        <v>1488695</v>
      </c>
      <c r="R377" s="81"/>
      <c r="S377" s="81">
        <f>SUM(Q377:R377)</f>
        <v>1488695</v>
      </c>
      <c r="T377" s="81"/>
      <c r="U377" s="81">
        <f>SUM(S377:T377)</f>
        <v>1488695</v>
      </c>
      <c r="V377" s="81"/>
      <c r="W377" s="81">
        <f>SUM(U377:V377)</f>
        <v>1488695</v>
      </c>
      <c r="X377" s="81">
        <v>73405</v>
      </c>
      <c r="Y377" s="81">
        <f>SUM(W377:X377)</f>
        <v>1562100</v>
      </c>
      <c r="Z377" s="81"/>
      <c r="AA377" s="81">
        <f>SUM(Y377:Z377)</f>
        <v>1562100</v>
      </c>
    </row>
    <row r="378" spans="1:30" s="24" customFormat="1" ht="21" customHeight="1">
      <c r="A378" s="67"/>
      <c r="B378" s="82"/>
      <c r="C378" s="47">
        <v>4110</v>
      </c>
      <c r="D378" s="13" t="s">
        <v>86</v>
      </c>
      <c r="E378" s="81">
        <v>1000</v>
      </c>
      <c r="F378" s="81"/>
      <c r="G378" s="81">
        <f>SUM(E378:F378)</f>
        <v>1000</v>
      </c>
      <c r="H378" s="81"/>
      <c r="I378" s="81">
        <f>SUM(G378:H378)</f>
        <v>1000</v>
      </c>
      <c r="J378" s="81"/>
      <c r="K378" s="81">
        <f>SUM(I378:J378)</f>
        <v>1000</v>
      </c>
      <c r="L378" s="81"/>
      <c r="M378" s="81">
        <f>SUM(K378:L378)</f>
        <v>1000</v>
      </c>
      <c r="N378" s="81"/>
      <c r="O378" s="81">
        <f>SUM(M378:N378)</f>
        <v>1000</v>
      </c>
      <c r="P378" s="81"/>
      <c r="Q378" s="81">
        <f>SUM(O378:P378)</f>
        <v>1000</v>
      </c>
      <c r="R378" s="81"/>
      <c r="S378" s="81">
        <f>SUM(Q378:R378)</f>
        <v>1000</v>
      </c>
      <c r="T378" s="81"/>
      <c r="U378" s="81">
        <f>SUM(S378:T378)</f>
        <v>1000</v>
      </c>
      <c r="V378" s="81"/>
      <c r="W378" s="81">
        <f>SUM(U378:V378)</f>
        <v>1000</v>
      </c>
      <c r="X378" s="81"/>
      <c r="Y378" s="81">
        <f>SUM(W378:X378)</f>
        <v>1000</v>
      </c>
      <c r="Z378" s="81"/>
      <c r="AA378" s="81">
        <f>SUM(Y378:Z378)</f>
        <v>1000</v>
      </c>
      <c r="AB378" s="119"/>
      <c r="AC378" s="119"/>
      <c r="AD378" s="119"/>
    </row>
    <row r="379" spans="1:27" s="24" customFormat="1" ht="21" customHeight="1">
      <c r="A379" s="67"/>
      <c r="B379" s="82">
        <v>85215</v>
      </c>
      <c r="C379" s="86"/>
      <c r="D379" s="38" t="s">
        <v>57</v>
      </c>
      <c r="E379" s="81">
        <f aca="true" t="shared" si="241" ref="E379:AA379">SUM(E380)</f>
        <v>819400</v>
      </c>
      <c r="F379" s="81">
        <f t="shared" si="241"/>
        <v>0</v>
      </c>
      <c r="G379" s="81">
        <f t="shared" si="241"/>
        <v>819400</v>
      </c>
      <c r="H379" s="81">
        <f t="shared" si="241"/>
        <v>0</v>
      </c>
      <c r="I379" s="81">
        <f t="shared" si="241"/>
        <v>819400</v>
      </c>
      <c r="J379" s="81">
        <f t="shared" si="241"/>
        <v>0</v>
      </c>
      <c r="K379" s="81">
        <f t="shared" si="241"/>
        <v>819400</v>
      </c>
      <c r="L379" s="81">
        <f t="shared" si="241"/>
        <v>0</v>
      </c>
      <c r="M379" s="81">
        <f t="shared" si="241"/>
        <v>819400</v>
      </c>
      <c r="N379" s="81">
        <f t="shared" si="241"/>
        <v>0</v>
      </c>
      <c r="O379" s="81">
        <f t="shared" si="241"/>
        <v>819400</v>
      </c>
      <c r="P379" s="81">
        <f t="shared" si="241"/>
        <v>0</v>
      </c>
      <c r="Q379" s="81">
        <f t="shared" si="241"/>
        <v>819400</v>
      </c>
      <c r="R379" s="81">
        <f t="shared" si="241"/>
        <v>0</v>
      </c>
      <c r="S379" s="81">
        <f t="shared" si="241"/>
        <v>819400</v>
      </c>
      <c r="T379" s="81">
        <f t="shared" si="241"/>
        <v>0</v>
      </c>
      <c r="U379" s="81">
        <f t="shared" si="241"/>
        <v>819400</v>
      </c>
      <c r="V379" s="81">
        <f t="shared" si="241"/>
        <v>0</v>
      </c>
      <c r="W379" s="81">
        <f t="shared" si="241"/>
        <v>819400</v>
      </c>
      <c r="X379" s="81">
        <f t="shared" si="241"/>
        <v>0</v>
      </c>
      <c r="Y379" s="81">
        <f t="shared" si="241"/>
        <v>819400</v>
      </c>
      <c r="Z379" s="81">
        <f t="shared" si="241"/>
        <v>0</v>
      </c>
      <c r="AA379" s="81">
        <f t="shared" si="241"/>
        <v>819400</v>
      </c>
    </row>
    <row r="380" spans="1:27" s="24" customFormat="1" ht="21" customHeight="1">
      <c r="A380" s="67"/>
      <c r="B380" s="82"/>
      <c r="C380" s="86">
        <v>3110</v>
      </c>
      <c r="D380" s="38" t="s">
        <v>112</v>
      </c>
      <c r="E380" s="81">
        <f>900000-80600</f>
        <v>819400</v>
      </c>
      <c r="F380" s="81"/>
      <c r="G380" s="81">
        <f>SUM(E380:F380)</f>
        <v>819400</v>
      </c>
      <c r="H380" s="81"/>
      <c r="I380" s="81">
        <f>SUM(G380:H380)</f>
        <v>819400</v>
      </c>
      <c r="J380" s="81"/>
      <c r="K380" s="81">
        <f>SUM(I380:J380)</f>
        <v>819400</v>
      </c>
      <c r="L380" s="81"/>
      <c r="M380" s="81">
        <f>SUM(K380:L380)</f>
        <v>819400</v>
      </c>
      <c r="N380" s="81"/>
      <c r="O380" s="81">
        <f>SUM(M380:N380)</f>
        <v>819400</v>
      </c>
      <c r="P380" s="81"/>
      <c r="Q380" s="81">
        <f>SUM(O380:P380)</f>
        <v>819400</v>
      </c>
      <c r="R380" s="81"/>
      <c r="S380" s="81">
        <f>SUM(Q380:R380)</f>
        <v>819400</v>
      </c>
      <c r="T380" s="81"/>
      <c r="U380" s="81">
        <f>SUM(S380:T380)</f>
        <v>819400</v>
      </c>
      <c r="V380" s="81"/>
      <c r="W380" s="81">
        <f>SUM(U380:V380)</f>
        <v>819400</v>
      </c>
      <c r="X380" s="81"/>
      <c r="Y380" s="81">
        <f>SUM(W380:X380)</f>
        <v>819400</v>
      </c>
      <c r="Z380" s="81"/>
      <c r="AA380" s="81">
        <f>SUM(Y380:Z380)</f>
        <v>819400</v>
      </c>
    </row>
    <row r="381" spans="1:27" s="24" customFormat="1" ht="21" customHeight="1">
      <c r="A381" s="67"/>
      <c r="B381" s="82">
        <v>82516</v>
      </c>
      <c r="C381" s="86"/>
      <c r="D381" s="38" t="s">
        <v>278</v>
      </c>
      <c r="E381" s="81">
        <f aca="true" t="shared" si="242" ref="E381:AA381">SUM(E382)</f>
        <v>449868</v>
      </c>
      <c r="F381" s="81">
        <f t="shared" si="242"/>
        <v>0</v>
      </c>
      <c r="G381" s="81">
        <f t="shared" si="242"/>
        <v>449868</v>
      </c>
      <c r="H381" s="81">
        <f t="shared" si="242"/>
        <v>0</v>
      </c>
      <c r="I381" s="81">
        <f t="shared" si="242"/>
        <v>449868</v>
      </c>
      <c r="J381" s="81">
        <f t="shared" si="242"/>
        <v>0</v>
      </c>
      <c r="K381" s="81">
        <f t="shared" si="242"/>
        <v>449868</v>
      </c>
      <c r="L381" s="81">
        <f t="shared" si="242"/>
        <v>0</v>
      </c>
      <c r="M381" s="81">
        <f t="shared" si="242"/>
        <v>449868</v>
      </c>
      <c r="N381" s="81">
        <f t="shared" si="242"/>
        <v>0</v>
      </c>
      <c r="O381" s="81">
        <f t="shared" si="242"/>
        <v>449868</v>
      </c>
      <c r="P381" s="81">
        <f t="shared" si="242"/>
        <v>0</v>
      </c>
      <c r="Q381" s="81">
        <f t="shared" si="242"/>
        <v>449868</v>
      </c>
      <c r="R381" s="81">
        <f t="shared" si="242"/>
        <v>0</v>
      </c>
      <c r="S381" s="81">
        <f t="shared" si="242"/>
        <v>449868</v>
      </c>
      <c r="T381" s="81">
        <f t="shared" si="242"/>
        <v>0</v>
      </c>
      <c r="U381" s="81">
        <f t="shared" si="242"/>
        <v>449868</v>
      </c>
      <c r="V381" s="81">
        <f t="shared" si="242"/>
        <v>0</v>
      </c>
      <c r="W381" s="81">
        <f t="shared" si="242"/>
        <v>449868</v>
      </c>
      <c r="X381" s="81">
        <f t="shared" si="242"/>
        <v>11041</v>
      </c>
      <c r="Y381" s="81">
        <f t="shared" si="242"/>
        <v>460909</v>
      </c>
      <c r="Z381" s="81">
        <f t="shared" si="242"/>
        <v>0</v>
      </c>
      <c r="AA381" s="81">
        <f t="shared" si="242"/>
        <v>460909</v>
      </c>
    </row>
    <row r="382" spans="1:27" s="24" customFormat="1" ht="21" customHeight="1">
      <c r="A382" s="67"/>
      <c r="B382" s="82"/>
      <c r="C382" s="86">
        <v>3110</v>
      </c>
      <c r="D382" s="38" t="s">
        <v>112</v>
      </c>
      <c r="E382" s="81">
        <v>449868</v>
      </c>
      <c r="F382" s="81"/>
      <c r="G382" s="81">
        <f>SUM(E382:F382)</f>
        <v>449868</v>
      </c>
      <c r="H382" s="81"/>
      <c r="I382" s="81">
        <f>SUM(G382:H382)</f>
        <v>449868</v>
      </c>
      <c r="J382" s="81"/>
      <c r="K382" s="81">
        <f>SUM(I382:J382)</f>
        <v>449868</v>
      </c>
      <c r="L382" s="81"/>
      <c r="M382" s="81">
        <f>SUM(K382:L382)</f>
        <v>449868</v>
      </c>
      <c r="N382" s="81"/>
      <c r="O382" s="81">
        <f>SUM(M382:N382)</f>
        <v>449868</v>
      </c>
      <c r="P382" s="81"/>
      <c r="Q382" s="81">
        <f>SUM(O382:P382)</f>
        <v>449868</v>
      </c>
      <c r="R382" s="81"/>
      <c r="S382" s="81">
        <f>SUM(Q382:R382)</f>
        <v>449868</v>
      </c>
      <c r="T382" s="81"/>
      <c r="U382" s="81">
        <f>SUM(S382:T382)</f>
        <v>449868</v>
      </c>
      <c r="V382" s="81"/>
      <c r="W382" s="81">
        <f>SUM(U382:V382)</f>
        <v>449868</v>
      </c>
      <c r="X382" s="81">
        <v>11041</v>
      </c>
      <c r="Y382" s="81">
        <f>SUM(W382:X382)</f>
        <v>460909</v>
      </c>
      <c r="Z382" s="81"/>
      <c r="AA382" s="81">
        <f>SUM(Y382:Z382)</f>
        <v>460909</v>
      </c>
    </row>
    <row r="383" spans="1:27" s="24" customFormat="1" ht="21" customHeight="1">
      <c r="A383" s="67"/>
      <c r="B383" s="82">
        <v>85219</v>
      </c>
      <c r="C383" s="86"/>
      <c r="D383" s="38" t="s">
        <v>58</v>
      </c>
      <c r="E383" s="81">
        <f aca="true" t="shared" si="243" ref="E383:W383">SUM(E384:E407)</f>
        <v>1374544</v>
      </c>
      <c r="F383" s="81">
        <f t="shared" si="243"/>
        <v>0</v>
      </c>
      <c r="G383" s="81">
        <f t="shared" si="243"/>
        <v>1374544</v>
      </c>
      <c r="H383" s="81">
        <f t="shared" si="243"/>
        <v>0</v>
      </c>
      <c r="I383" s="81">
        <f t="shared" si="243"/>
        <v>1374544</v>
      </c>
      <c r="J383" s="81">
        <f t="shared" si="243"/>
        <v>0</v>
      </c>
      <c r="K383" s="81">
        <f t="shared" si="243"/>
        <v>1374544</v>
      </c>
      <c r="L383" s="81">
        <f t="shared" si="243"/>
        <v>5500</v>
      </c>
      <c r="M383" s="81">
        <f t="shared" si="243"/>
        <v>1380044</v>
      </c>
      <c r="N383" s="81">
        <f t="shared" si="243"/>
        <v>0</v>
      </c>
      <c r="O383" s="81">
        <f t="shared" si="243"/>
        <v>1380044</v>
      </c>
      <c r="P383" s="81">
        <f t="shared" si="243"/>
        <v>13351</v>
      </c>
      <c r="Q383" s="81">
        <f t="shared" si="243"/>
        <v>1393395</v>
      </c>
      <c r="R383" s="81">
        <f t="shared" si="243"/>
        <v>0</v>
      </c>
      <c r="S383" s="81">
        <f t="shared" si="243"/>
        <v>1393395</v>
      </c>
      <c r="T383" s="81">
        <f t="shared" si="243"/>
        <v>0</v>
      </c>
      <c r="U383" s="81">
        <f t="shared" si="243"/>
        <v>1393395</v>
      </c>
      <c r="V383" s="81">
        <f t="shared" si="243"/>
        <v>0</v>
      </c>
      <c r="W383" s="81">
        <f t="shared" si="243"/>
        <v>1393395</v>
      </c>
      <c r="X383" s="81">
        <f>SUM(X384:X407)</f>
        <v>0</v>
      </c>
      <c r="Y383" s="81">
        <f>SUM(Y384:Y407)</f>
        <v>1393395</v>
      </c>
      <c r="Z383" s="81">
        <f>SUM(Z384:Z407)</f>
        <v>17765</v>
      </c>
      <c r="AA383" s="81">
        <f>SUM(AA384:AA407)</f>
        <v>1411160</v>
      </c>
    </row>
    <row r="384" spans="1:27" s="24" customFormat="1" ht="21" customHeight="1">
      <c r="A384" s="67"/>
      <c r="B384" s="82"/>
      <c r="C384" s="86">
        <v>3020</v>
      </c>
      <c r="D384" s="38" t="s">
        <v>209</v>
      </c>
      <c r="E384" s="81">
        <f>2610+770</f>
        <v>3380</v>
      </c>
      <c r="F384" s="81"/>
      <c r="G384" s="81">
        <f>SUM(E384:F384)</f>
        <v>3380</v>
      </c>
      <c r="H384" s="81"/>
      <c r="I384" s="81">
        <f>SUM(G384:H384)</f>
        <v>3380</v>
      </c>
      <c r="J384" s="81"/>
      <c r="K384" s="81">
        <f>SUM(I384:J384)</f>
        <v>3380</v>
      </c>
      <c r="L384" s="81"/>
      <c r="M384" s="81">
        <f>SUM(K384:L384)</f>
        <v>3380</v>
      </c>
      <c r="N384" s="81"/>
      <c r="O384" s="81">
        <f>SUM(M384:N384)</f>
        <v>3380</v>
      </c>
      <c r="P384" s="81"/>
      <c r="Q384" s="81">
        <f>SUM(O384:P384)</f>
        <v>3380</v>
      </c>
      <c r="R384" s="81"/>
      <c r="S384" s="81">
        <f>SUM(Q384:R384)</f>
        <v>3380</v>
      </c>
      <c r="T384" s="81"/>
      <c r="U384" s="81">
        <f>SUM(S384:T384)</f>
        <v>3380</v>
      </c>
      <c r="V384" s="81"/>
      <c r="W384" s="81">
        <f>SUM(U384:V384)</f>
        <v>3380</v>
      </c>
      <c r="X384" s="81"/>
      <c r="Y384" s="81">
        <f>SUM(W384:X384)</f>
        <v>3380</v>
      </c>
      <c r="Z384" s="81"/>
      <c r="AA384" s="81">
        <f>SUM(Y384:Z384)</f>
        <v>3380</v>
      </c>
    </row>
    <row r="385" spans="1:27" s="24" customFormat="1" ht="21" customHeight="1">
      <c r="A385" s="67"/>
      <c r="B385" s="82"/>
      <c r="C385" s="86">
        <v>3110</v>
      </c>
      <c r="D385" s="38" t="s">
        <v>112</v>
      </c>
      <c r="E385" s="81"/>
      <c r="F385" s="81"/>
      <c r="G385" s="81"/>
      <c r="H385" s="81"/>
      <c r="I385" s="81"/>
      <c r="J385" s="81"/>
      <c r="K385" s="81">
        <v>0</v>
      </c>
      <c r="L385" s="81">
        <v>5500</v>
      </c>
      <c r="M385" s="81">
        <f>SUM(K385:L385)</f>
        <v>5500</v>
      </c>
      <c r="N385" s="81"/>
      <c r="O385" s="81">
        <f>SUM(M385:N385)</f>
        <v>5500</v>
      </c>
      <c r="P385" s="81"/>
      <c r="Q385" s="81">
        <f>SUM(O385:P385)</f>
        <v>5500</v>
      </c>
      <c r="R385" s="81"/>
      <c r="S385" s="81">
        <f>SUM(Q385:R385)</f>
        <v>5500</v>
      </c>
      <c r="T385" s="81"/>
      <c r="U385" s="81">
        <f>SUM(S385:T385)</f>
        <v>5500</v>
      </c>
      <c r="V385" s="81"/>
      <c r="W385" s="81">
        <f>SUM(U385:V385)</f>
        <v>5500</v>
      </c>
      <c r="X385" s="81"/>
      <c r="Y385" s="81">
        <f>SUM(W385:X385)</f>
        <v>5500</v>
      </c>
      <c r="Z385" s="81">
        <v>4000</v>
      </c>
      <c r="AA385" s="81">
        <f>SUM(Y385:Z385)</f>
        <v>9500</v>
      </c>
    </row>
    <row r="386" spans="1:30" s="24" customFormat="1" ht="21" customHeight="1">
      <c r="A386" s="67"/>
      <c r="B386" s="82"/>
      <c r="C386" s="86">
        <v>4010</v>
      </c>
      <c r="D386" s="38" t="s">
        <v>84</v>
      </c>
      <c r="E386" s="81">
        <f>30333+277985+284599+80372</f>
        <v>673289</v>
      </c>
      <c r="F386" s="81"/>
      <c r="G386" s="81">
        <f aca="true" t="shared" si="244" ref="G386:G407">SUM(E386:F386)</f>
        <v>673289</v>
      </c>
      <c r="H386" s="81"/>
      <c r="I386" s="81">
        <f aca="true" t="shared" si="245" ref="I386:I407">SUM(G386:H386)</f>
        <v>673289</v>
      </c>
      <c r="J386" s="81"/>
      <c r="K386" s="81">
        <f aca="true" t="shared" si="246" ref="K386:K407">SUM(I386:J386)</f>
        <v>673289</v>
      </c>
      <c r="L386" s="231"/>
      <c r="M386" s="81">
        <f>SUM(K386:L386)</f>
        <v>673289</v>
      </c>
      <c r="N386" s="231"/>
      <c r="O386" s="81">
        <f>SUM(M386:N386)</f>
        <v>673289</v>
      </c>
      <c r="P386" s="81">
        <v>13351</v>
      </c>
      <c r="Q386" s="81">
        <f>SUM(O386:P386)</f>
        <v>686640</v>
      </c>
      <c r="R386" s="81"/>
      <c r="S386" s="81">
        <f>SUM(Q386:R386)</f>
        <v>686640</v>
      </c>
      <c r="T386" s="81"/>
      <c r="U386" s="81">
        <f>SUM(S386:T386)</f>
        <v>686640</v>
      </c>
      <c r="V386" s="81"/>
      <c r="W386" s="81">
        <f>SUM(U386:V386)</f>
        <v>686640</v>
      </c>
      <c r="X386" s="81"/>
      <c r="Y386" s="81">
        <f>SUM(W386:X386)</f>
        <v>686640</v>
      </c>
      <c r="Z386" s="81">
        <v>13765</v>
      </c>
      <c r="AA386" s="81">
        <f>SUM(Y386:Z386)</f>
        <v>700405</v>
      </c>
      <c r="AB386" s="119"/>
      <c r="AC386" s="119"/>
      <c r="AD386" s="119"/>
    </row>
    <row r="387" spans="1:30" s="24" customFormat="1" ht="21" customHeight="1">
      <c r="A387" s="67"/>
      <c r="B387" s="82"/>
      <c r="C387" s="86">
        <v>4040</v>
      </c>
      <c r="D387" s="38" t="s">
        <v>85</v>
      </c>
      <c r="E387" s="81">
        <f>2420+32000+14500+6200</f>
        <v>55120</v>
      </c>
      <c r="F387" s="81"/>
      <c r="G387" s="81">
        <f t="shared" si="244"/>
        <v>55120</v>
      </c>
      <c r="H387" s="81"/>
      <c r="I387" s="81">
        <f t="shared" si="245"/>
        <v>55120</v>
      </c>
      <c r="J387" s="81"/>
      <c r="K387" s="81">
        <f t="shared" si="246"/>
        <v>55120</v>
      </c>
      <c r="L387" s="81"/>
      <c r="M387" s="81">
        <f aca="true" t="shared" si="247" ref="M387:M407">SUM(K387:L387)</f>
        <v>55120</v>
      </c>
      <c r="N387" s="81"/>
      <c r="O387" s="81">
        <f aca="true" t="shared" si="248" ref="O387:O407">SUM(M387:N387)</f>
        <v>55120</v>
      </c>
      <c r="P387" s="81"/>
      <c r="Q387" s="81">
        <f aca="true" t="shared" si="249" ref="Q387:Q407">SUM(O387:P387)</f>
        <v>55120</v>
      </c>
      <c r="R387" s="81"/>
      <c r="S387" s="81">
        <f aca="true" t="shared" si="250" ref="S387:S407">SUM(Q387:R387)</f>
        <v>55120</v>
      </c>
      <c r="T387" s="81"/>
      <c r="U387" s="81">
        <f aca="true" t="shared" si="251" ref="U387:U407">SUM(S387:T387)</f>
        <v>55120</v>
      </c>
      <c r="V387" s="81"/>
      <c r="W387" s="81">
        <f aca="true" t="shared" si="252" ref="W387:W407">SUM(U387:V387)</f>
        <v>55120</v>
      </c>
      <c r="X387" s="81"/>
      <c r="Y387" s="81">
        <f aca="true" t="shared" si="253" ref="Y387:Y407">SUM(W387:X387)</f>
        <v>55120</v>
      </c>
      <c r="Z387" s="81"/>
      <c r="AA387" s="81">
        <f aca="true" t="shared" si="254" ref="AA387:AA407">SUM(Y387:Z387)</f>
        <v>55120</v>
      </c>
      <c r="AB387" s="119"/>
      <c r="AC387" s="119"/>
      <c r="AD387" s="119"/>
    </row>
    <row r="388" spans="1:30" s="24" customFormat="1" ht="21" customHeight="1">
      <c r="A388" s="67"/>
      <c r="B388" s="82"/>
      <c r="C388" s="86">
        <v>4110</v>
      </c>
      <c r="D388" s="38" t="s">
        <v>86</v>
      </c>
      <c r="E388" s="81">
        <f>5008+42504+50164+13237</f>
        <v>110913</v>
      </c>
      <c r="F388" s="81"/>
      <c r="G388" s="81">
        <f t="shared" si="244"/>
        <v>110913</v>
      </c>
      <c r="H388" s="81"/>
      <c r="I388" s="81">
        <f t="shared" si="245"/>
        <v>110913</v>
      </c>
      <c r="J388" s="81"/>
      <c r="K388" s="81">
        <f t="shared" si="246"/>
        <v>110913</v>
      </c>
      <c r="L388" s="81"/>
      <c r="M388" s="81">
        <f t="shared" si="247"/>
        <v>110913</v>
      </c>
      <c r="N388" s="81"/>
      <c r="O388" s="81">
        <f t="shared" si="248"/>
        <v>110913</v>
      </c>
      <c r="P388" s="81"/>
      <c r="Q388" s="81">
        <f t="shared" si="249"/>
        <v>110913</v>
      </c>
      <c r="R388" s="81"/>
      <c r="S388" s="81">
        <f t="shared" si="250"/>
        <v>110913</v>
      </c>
      <c r="T388" s="81"/>
      <c r="U388" s="81">
        <f t="shared" si="251"/>
        <v>110913</v>
      </c>
      <c r="V388" s="81"/>
      <c r="W388" s="81">
        <f t="shared" si="252"/>
        <v>110913</v>
      </c>
      <c r="X388" s="81"/>
      <c r="Y388" s="81">
        <f t="shared" si="253"/>
        <v>110913</v>
      </c>
      <c r="Z388" s="81"/>
      <c r="AA388" s="81">
        <f t="shared" si="254"/>
        <v>110913</v>
      </c>
      <c r="AB388" s="119"/>
      <c r="AC388" s="119"/>
      <c r="AD388" s="119"/>
    </row>
    <row r="389" spans="1:30" s="24" customFormat="1" ht="21" customHeight="1">
      <c r="A389" s="67"/>
      <c r="B389" s="82"/>
      <c r="C389" s="86">
        <v>4120</v>
      </c>
      <c r="D389" s="38" t="s">
        <v>87</v>
      </c>
      <c r="E389" s="81">
        <f>803+6810+7945+2121</f>
        <v>17679</v>
      </c>
      <c r="F389" s="81"/>
      <c r="G389" s="81">
        <f t="shared" si="244"/>
        <v>17679</v>
      </c>
      <c r="H389" s="81"/>
      <c r="I389" s="81">
        <f t="shared" si="245"/>
        <v>17679</v>
      </c>
      <c r="J389" s="81"/>
      <c r="K389" s="81">
        <f t="shared" si="246"/>
        <v>17679</v>
      </c>
      <c r="L389" s="81"/>
      <c r="M389" s="81">
        <f t="shared" si="247"/>
        <v>17679</v>
      </c>
      <c r="N389" s="81"/>
      <c r="O389" s="81">
        <f t="shared" si="248"/>
        <v>17679</v>
      </c>
      <c r="P389" s="81"/>
      <c r="Q389" s="81">
        <f t="shared" si="249"/>
        <v>17679</v>
      </c>
      <c r="R389" s="81"/>
      <c r="S389" s="81">
        <f t="shared" si="250"/>
        <v>17679</v>
      </c>
      <c r="T389" s="81"/>
      <c r="U389" s="81">
        <f t="shared" si="251"/>
        <v>17679</v>
      </c>
      <c r="V389" s="81"/>
      <c r="W389" s="81">
        <f t="shared" si="252"/>
        <v>17679</v>
      </c>
      <c r="X389" s="81"/>
      <c r="Y389" s="81">
        <f t="shared" si="253"/>
        <v>17679</v>
      </c>
      <c r="Z389" s="81"/>
      <c r="AA389" s="81">
        <f t="shared" si="254"/>
        <v>17679</v>
      </c>
      <c r="AB389" s="119"/>
      <c r="AC389" s="119"/>
      <c r="AD389" s="119"/>
    </row>
    <row r="390" spans="1:30" s="24" customFormat="1" ht="21" customHeight="1">
      <c r="A390" s="67"/>
      <c r="B390" s="82"/>
      <c r="C390" s="86">
        <v>4170</v>
      </c>
      <c r="D390" s="38" t="s">
        <v>190</v>
      </c>
      <c r="E390" s="81">
        <v>10200</v>
      </c>
      <c r="F390" s="81"/>
      <c r="G390" s="81">
        <f t="shared" si="244"/>
        <v>10200</v>
      </c>
      <c r="H390" s="81"/>
      <c r="I390" s="81">
        <f t="shared" si="245"/>
        <v>10200</v>
      </c>
      <c r="J390" s="81"/>
      <c r="K390" s="81">
        <f t="shared" si="246"/>
        <v>10200</v>
      </c>
      <c r="L390" s="81"/>
      <c r="M390" s="81">
        <f t="shared" si="247"/>
        <v>10200</v>
      </c>
      <c r="N390" s="81"/>
      <c r="O390" s="81">
        <f t="shared" si="248"/>
        <v>10200</v>
      </c>
      <c r="P390" s="81"/>
      <c r="Q390" s="81">
        <f t="shared" si="249"/>
        <v>10200</v>
      </c>
      <c r="R390" s="81"/>
      <c r="S390" s="81">
        <f t="shared" si="250"/>
        <v>10200</v>
      </c>
      <c r="T390" s="81"/>
      <c r="U390" s="81">
        <f t="shared" si="251"/>
        <v>10200</v>
      </c>
      <c r="V390" s="81"/>
      <c r="W390" s="81">
        <f t="shared" si="252"/>
        <v>10200</v>
      </c>
      <c r="X390" s="81"/>
      <c r="Y390" s="81">
        <f t="shared" si="253"/>
        <v>10200</v>
      </c>
      <c r="Z390" s="81"/>
      <c r="AA390" s="81">
        <f t="shared" si="254"/>
        <v>10200</v>
      </c>
      <c r="AB390" s="119"/>
      <c r="AC390" s="119"/>
      <c r="AD390" s="119"/>
    </row>
    <row r="391" spans="1:27" s="24" customFormat="1" ht="21" customHeight="1">
      <c r="A391" s="67"/>
      <c r="B391" s="82"/>
      <c r="C391" s="86">
        <v>4210</v>
      </c>
      <c r="D391" s="38" t="s">
        <v>92</v>
      </c>
      <c r="E391" s="81">
        <f>4200+21100+11850</f>
        <v>37150</v>
      </c>
      <c r="F391" s="81"/>
      <c r="G391" s="81">
        <f t="shared" si="244"/>
        <v>37150</v>
      </c>
      <c r="H391" s="81"/>
      <c r="I391" s="81">
        <f t="shared" si="245"/>
        <v>37150</v>
      </c>
      <c r="J391" s="81"/>
      <c r="K391" s="81">
        <f t="shared" si="246"/>
        <v>37150</v>
      </c>
      <c r="L391" s="81"/>
      <c r="M391" s="81">
        <f t="shared" si="247"/>
        <v>37150</v>
      </c>
      <c r="N391" s="81"/>
      <c r="O391" s="81">
        <f t="shared" si="248"/>
        <v>37150</v>
      </c>
      <c r="P391" s="81"/>
      <c r="Q391" s="81">
        <f t="shared" si="249"/>
        <v>37150</v>
      </c>
      <c r="R391" s="81"/>
      <c r="S391" s="81">
        <f t="shared" si="250"/>
        <v>37150</v>
      </c>
      <c r="T391" s="81"/>
      <c r="U391" s="81">
        <f t="shared" si="251"/>
        <v>37150</v>
      </c>
      <c r="V391" s="81"/>
      <c r="W391" s="81">
        <f t="shared" si="252"/>
        <v>37150</v>
      </c>
      <c r="X391" s="81"/>
      <c r="Y391" s="81">
        <f t="shared" si="253"/>
        <v>37150</v>
      </c>
      <c r="Z391" s="81"/>
      <c r="AA391" s="81">
        <f t="shared" si="254"/>
        <v>37150</v>
      </c>
    </row>
    <row r="392" spans="1:27" s="24" customFormat="1" ht="21" customHeight="1">
      <c r="A392" s="67"/>
      <c r="B392" s="82"/>
      <c r="C392" s="86">
        <v>4220</v>
      </c>
      <c r="D392" s="38" t="s">
        <v>179</v>
      </c>
      <c r="E392" s="81">
        <v>190000</v>
      </c>
      <c r="F392" s="81"/>
      <c r="G392" s="81">
        <f t="shared" si="244"/>
        <v>190000</v>
      </c>
      <c r="H392" s="81"/>
      <c r="I392" s="81">
        <f t="shared" si="245"/>
        <v>190000</v>
      </c>
      <c r="J392" s="81"/>
      <c r="K392" s="81">
        <f t="shared" si="246"/>
        <v>190000</v>
      </c>
      <c r="L392" s="81"/>
      <c r="M392" s="81">
        <f t="shared" si="247"/>
        <v>190000</v>
      </c>
      <c r="N392" s="81"/>
      <c r="O392" s="81">
        <f t="shared" si="248"/>
        <v>190000</v>
      </c>
      <c r="P392" s="81"/>
      <c r="Q392" s="81">
        <f t="shared" si="249"/>
        <v>190000</v>
      </c>
      <c r="R392" s="81"/>
      <c r="S392" s="81">
        <f t="shared" si="250"/>
        <v>190000</v>
      </c>
      <c r="T392" s="81"/>
      <c r="U392" s="81">
        <f t="shared" si="251"/>
        <v>190000</v>
      </c>
      <c r="V392" s="81"/>
      <c r="W392" s="81">
        <f t="shared" si="252"/>
        <v>190000</v>
      </c>
      <c r="X392" s="81"/>
      <c r="Y392" s="81">
        <f t="shared" si="253"/>
        <v>190000</v>
      </c>
      <c r="Z392" s="81"/>
      <c r="AA392" s="81">
        <f t="shared" si="254"/>
        <v>190000</v>
      </c>
    </row>
    <row r="393" spans="1:27" s="24" customFormat="1" ht="21" customHeight="1">
      <c r="A393" s="67"/>
      <c r="B393" s="82"/>
      <c r="C393" s="86">
        <v>4260</v>
      </c>
      <c r="D393" s="38" t="s">
        <v>95</v>
      </c>
      <c r="E393" s="81">
        <f>6340+13615</f>
        <v>19955</v>
      </c>
      <c r="F393" s="81"/>
      <c r="G393" s="81">
        <f t="shared" si="244"/>
        <v>19955</v>
      </c>
      <c r="H393" s="81"/>
      <c r="I393" s="81">
        <f t="shared" si="245"/>
        <v>19955</v>
      </c>
      <c r="J393" s="81"/>
      <c r="K393" s="81">
        <f t="shared" si="246"/>
        <v>19955</v>
      </c>
      <c r="L393" s="81"/>
      <c r="M393" s="81">
        <f t="shared" si="247"/>
        <v>19955</v>
      </c>
      <c r="N393" s="81"/>
      <c r="O393" s="81">
        <f t="shared" si="248"/>
        <v>19955</v>
      </c>
      <c r="P393" s="81"/>
      <c r="Q393" s="81">
        <f t="shared" si="249"/>
        <v>19955</v>
      </c>
      <c r="R393" s="81"/>
      <c r="S393" s="81">
        <f t="shared" si="250"/>
        <v>19955</v>
      </c>
      <c r="T393" s="81"/>
      <c r="U393" s="81">
        <f t="shared" si="251"/>
        <v>19955</v>
      </c>
      <c r="V393" s="81"/>
      <c r="W393" s="81">
        <f t="shared" si="252"/>
        <v>19955</v>
      </c>
      <c r="X393" s="81"/>
      <c r="Y393" s="81">
        <f t="shared" si="253"/>
        <v>19955</v>
      </c>
      <c r="Z393" s="81"/>
      <c r="AA393" s="81">
        <f t="shared" si="254"/>
        <v>19955</v>
      </c>
    </row>
    <row r="394" spans="1:27" s="24" customFormat="1" ht="21" customHeight="1">
      <c r="A394" s="67"/>
      <c r="B394" s="82"/>
      <c r="C394" s="86">
        <v>4270</v>
      </c>
      <c r="D394" s="38" t="s">
        <v>78</v>
      </c>
      <c r="E394" s="81">
        <f>1000+1000</f>
        <v>2000</v>
      </c>
      <c r="F394" s="81"/>
      <c r="G394" s="81">
        <f t="shared" si="244"/>
        <v>2000</v>
      </c>
      <c r="H394" s="81"/>
      <c r="I394" s="81">
        <f t="shared" si="245"/>
        <v>2000</v>
      </c>
      <c r="J394" s="81"/>
      <c r="K394" s="81">
        <f t="shared" si="246"/>
        <v>2000</v>
      </c>
      <c r="L394" s="81"/>
      <c r="M394" s="81">
        <f t="shared" si="247"/>
        <v>2000</v>
      </c>
      <c r="N394" s="81"/>
      <c r="O394" s="81">
        <f t="shared" si="248"/>
        <v>2000</v>
      </c>
      <c r="P394" s="81"/>
      <c r="Q394" s="81">
        <f t="shared" si="249"/>
        <v>2000</v>
      </c>
      <c r="R394" s="81"/>
      <c r="S394" s="81">
        <f t="shared" si="250"/>
        <v>2000</v>
      </c>
      <c r="T394" s="81"/>
      <c r="U394" s="81">
        <f t="shared" si="251"/>
        <v>2000</v>
      </c>
      <c r="V394" s="81"/>
      <c r="W394" s="81">
        <f t="shared" si="252"/>
        <v>2000</v>
      </c>
      <c r="X394" s="81"/>
      <c r="Y394" s="81">
        <f t="shared" si="253"/>
        <v>2000</v>
      </c>
      <c r="Z394" s="81"/>
      <c r="AA394" s="81">
        <f t="shared" si="254"/>
        <v>2000</v>
      </c>
    </row>
    <row r="395" spans="1:27" s="24" customFormat="1" ht="21" customHeight="1">
      <c r="A395" s="67"/>
      <c r="B395" s="82"/>
      <c r="C395" s="86">
        <v>4280</v>
      </c>
      <c r="D395" s="38" t="s">
        <v>197</v>
      </c>
      <c r="E395" s="81">
        <f>150+850+680</f>
        <v>1680</v>
      </c>
      <c r="F395" s="81"/>
      <c r="G395" s="81">
        <f t="shared" si="244"/>
        <v>1680</v>
      </c>
      <c r="H395" s="81"/>
      <c r="I395" s="81">
        <f t="shared" si="245"/>
        <v>1680</v>
      </c>
      <c r="J395" s="81"/>
      <c r="K395" s="81">
        <f t="shared" si="246"/>
        <v>1680</v>
      </c>
      <c r="L395" s="81"/>
      <c r="M395" s="81">
        <f t="shared" si="247"/>
        <v>1680</v>
      </c>
      <c r="N395" s="81"/>
      <c r="O395" s="81">
        <f t="shared" si="248"/>
        <v>1680</v>
      </c>
      <c r="P395" s="81"/>
      <c r="Q395" s="81">
        <f t="shared" si="249"/>
        <v>1680</v>
      </c>
      <c r="R395" s="81"/>
      <c r="S395" s="81">
        <f t="shared" si="250"/>
        <v>1680</v>
      </c>
      <c r="T395" s="81"/>
      <c r="U395" s="81">
        <f t="shared" si="251"/>
        <v>1680</v>
      </c>
      <c r="V395" s="81"/>
      <c r="W395" s="81">
        <f t="shared" si="252"/>
        <v>1680</v>
      </c>
      <c r="X395" s="81"/>
      <c r="Y395" s="81">
        <f t="shared" si="253"/>
        <v>1680</v>
      </c>
      <c r="Z395" s="81"/>
      <c r="AA395" s="81">
        <f t="shared" si="254"/>
        <v>1680</v>
      </c>
    </row>
    <row r="396" spans="1:27" s="24" customFormat="1" ht="21" customHeight="1">
      <c r="A396" s="67"/>
      <c r="B396" s="82"/>
      <c r="C396" s="86">
        <v>4300</v>
      </c>
      <c r="D396" s="38" t="s">
        <v>79</v>
      </c>
      <c r="E396" s="81">
        <f>55660+35816+15620</f>
        <v>107096</v>
      </c>
      <c r="F396" s="81"/>
      <c r="G396" s="81">
        <f t="shared" si="244"/>
        <v>107096</v>
      </c>
      <c r="H396" s="81"/>
      <c r="I396" s="81">
        <f t="shared" si="245"/>
        <v>107096</v>
      </c>
      <c r="J396" s="81"/>
      <c r="K396" s="81">
        <f t="shared" si="246"/>
        <v>107096</v>
      </c>
      <c r="L396" s="81"/>
      <c r="M396" s="81">
        <f t="shared" si="247"/>
        <v>107096</v>
      </c>
      <c r="N396" s="81"/>
      <c r="O396" s="81">
        <f t="shared" si="248"/>
        <v>107096</v>
      </c>
      <c r="P396" s="81"/>
      <c r="Q396" s="81">
        <f t="shared" si="249"/>
        <v>107096</v>
      </c>
      <c r="R396" s="81"/>
      <c r="S396" s="81">
        <f t="shared" si="250"/>
        <v>107096</v>
      </c>
      <c r="T396" s="81"/>
      <c r="U396" s="81">
        <f t="shared" si="251"/>
        <v>107096</v>
      </c>
      <c r="V396" s="81"/>
      <c r="W396" s="81">
        <f t="shared" si="252"/>
        <v>107096</v>
      </c>
      <c r="X396" s="81"/>
      <c r="Y396" s="81">
        <f t="shared" si="253"/>
        <v>107096</v>
      </c>
      <c r="Z396" s="81"/>
      <c r="AA396" s="81">
        <f t="shared" si="254"/>
        <v>107096</v>
      </c>
    </row>
    <row r="397" spans="1:27" s="24" customFormat="1" ht="21" customHeight="1">
      <c r="A397" s="67"/>
      <c r="B397" s="82"/>
      <c r="C397" s="86">
        <v>4350</v>
      </c>
      <c r="D397" s="38" t="s">
        <v>204</v>
      </c>
      <c r="E397" s="81">
        <f>550+627</f>
        <v>1177</v>
      </c>
      <c r="F397" s="81"/>
      <c r="G397" s="81">
        <f t="shared" si="244"/>
        <v>1177</v>
      </c>
      <c r="H397" s="81"/>
      <c r="I397" s="81">
        <f t="shared" si="245"/>
        <v>1177</v>
      </c>
      <c r="J397" s="81"/>
      <c r="K397" s="81">
        <f t="shared" si="246"/>
        <v>1177</v>
      </c>
      <c r="L397" s="81"/>
      <c r="M397" s="81">
        <f t="shared" si="247"/>
        <v>1177</v>
      </c>
      <c r="N397" s="81"/>
      <c r="O397" s="81">
        <f t="shared" si="248"/>
        <v>1177</v>
      </c>
      <c r="P397" s="81"/>
      <c r="Q397" s="81">
        <f t="shared" si="249"/>
        <v>1177</v>
      </c>
      <c r="R397" s="81"/>
      <c r="S397" s="81">
        <f t="shared" si="250"/>
        <v>1177</v>
      </c>
      <c r="T397" s="81"/>
      <c r="U397" s="81">
        <f t="shared" si="251"/>
        <v>1177</v>
      </c>
      <c r="V397" s="81"/>
      <c r="W397" s="81">
        <f t="shared" si="252"/>
        <v>1177</v>
      </c>
      <c r="X397" s="81"/>
      <c r="Y397" s="81">
        <f t="shared" si="253"/>
        <v>1177</v>
      </c>
      <c r="Z397" s="81"/>
      <c r="AA397" s="81">
        <f t="shared" si="254"/>
        <v>1177</v>
      </c>
    </row>
    <row r="398" spans="1:27" s="24" customFormat="1" ht="33.75">
      <c r="A398" s="67"/>
      <c r="B398" s="82"/>
      <c r="C398" s="86">
        <v>4360</v>
      </c>
      <c r="D398" s="38" t="s">
        <v>433</v>
      </c>
      <c r="E398" s="81">
        <v>732</v>
      </c>
      <c r="F398" s="81"/>
      <c r="G398" s="81">
        <f t="shared" si="244"/>
        <v>732</v>
      </c>
      <c r="H398" s="81"/>
      <c r="I398" s="81">
        <f t="shared" si="245"/>
        <v>732</v>
      </c>
      <c r="J398" s="81"/>
      <c r="K398" s="81">
        <f t="shared" si="246"/>
        <v>732</v>
      </c>
      <c r="L398" s="81"/>
      <c r="M398" s="81">
        <f t="shared" si="247"/>
        <v>732</v>
      </c>
      <c r="N398" s="81"/>
      <c r="O398" s="81">
        <f t="shared" si="248"/>
        <v>732</v>
      </c>
      <c r="P398" s="81"/>
      <c r="Q398" s="81">
        <f t="shared" si="249"/>
        <v>732</v>
      </c>
      <c r="R398" s="81"/>
      <c r="S398" s="81">
        <f t="shared" si="250"/>
        <v>732</v>
      </c>
      <c r="T398" s="81"/>
      <c r="U398" s="81">
        <f t="shared" si="251"/>
        <v>732</v>
      </c>
      <c r="V398" s="81"/>
      <c r="W398" s="81">
        <f t="shared" si="252"/>
        <v>732</v>
      </c>
      <c r="X398" s="81"/>
      <c r="Y398" s="81">
        <f t="shared" si="253"/>
        <v>732</v>
      </c>
      <c r="Z398" s="81"/>
      <c r="AA398" s="81">
        <f t="shared" si="254"/>
        <v>732</v>
      </c>
    </row>
    <row r="399" spans="1:27" s="24" customFormat="1" ht="45">
      <c r="A399" s="67"/>
      <c r="B399" s="82"/>
      <c r="C399" s="86">
        <v>4370</v>
      </c>
      <c r="D399" s="38" t="s">
        <v>432</v>
      </c>
      <c r="E399" s="81">
        <f>2500+6000+480</f>
        <v>8980</v>
      </c>
      <c r="F399" s="81"/>
      <c r="G399" s="81">
        <f t="shared" si="244"/>
        <v>8980</v>
      </c>
      <c r="H399" s="81"/>
      <c r="I399" s="81">
        <f t="shared" si="245"/>
        <v>8980</v>
      </c>
      <c r="J399" s="81"/>
      <c r="K399" s="81">
        <f t="shared" si="246"/>
        <v>8980</v>
      </c>
      <c r="L399" s="81"/>
      <c r="M399" s="81">
        <f t="shared" si="247"/>
        <v>8980</v>
      </c>
      <c r="N399" s="81"/>
      <c r="O399" s="81">
        <f t="shared" si="248"/>
        <v>8980</v>
      </c>
      <c r="P399" s="81"/>
      <c r="Q399" s="81">
        <f t="shared" si="249"/>
        <v>8980</v>
      </c>
      <c r="R399" s="81"/>
      <c r="S399" s="81">
        <f t="shared" si="250"/>
        <v>8980</v>
      </c>
      <c r="T399" s="81"/>
      <c r="U399" s="81">
        <f t="shared" si="251"/>
        <v>8980</v>
      </c>
      <c r="V399" s="81"/>
      <c r="W399" s="81">
        <f t="shared" si="252"/>
        <v>8980</v>
      </c>
      <c r="X399" s="81"/>
      <c r="Y399" s="81">
        <f t="shared" si="253"/>
        <v>8980</v>
      </c>
      <c r="Z399" s="81"/>
      <c r="AA399" s="81">
        <f t="shared" si="254"/>
        <v>8980</v>
      </c>
    </row>
    <row r="400" spans="1:27" s="24" customFormat="1" ht="32.25" customHeight="1">
      <c r="A400" s="67"/>
      <c r="B400" s="82"/>
      <c r="C400" s="86">
        <v>4400</v>
      </c>
      <c r="D400" s="38" t="s">
        <v>241</v>
      </c>
      <c r="E400" s="81">
        <f>2110+58055+13697</f>
        <v>73862</v>
      </c>
      <c r="F400" s="81"/>
      <c r="G400" s="81">
        <f t="shared" si="244"/>
        <v>73862</v>
      </c>
      <c r="H400" s="81"/>
      <c r="I400" s="81">
        <f t="shared" si="245"/>
        <v>73862</v>
      </c>
      <c r="J400" s="81"/>
      <c r="K400" s="81">
        <f t="shared" si="246"/>
        <v>73862</v>
      </c>
      <c r="L400" s="81"/>
      <c r="M400" s="81">
        <f t="shared" si="247"/>
        <v>73862</v>
      </c>
      <c r="N400" s="81"/>
      <c r="O400" s="81">
        <f t="shared" si="248"/>
        <v>73862</v>
      </c>
      <c r="P400" s="81"/>
      <c r="Q400" s="81">
        <f t="shared" si="249"/>
        <v>73862</v>
      </c>
      <c r="R400" s="81"/>
      <c r="S400" s="81">
        <f t="shared" si="250"/>
        <v>73862</v>
      </c>
      <c r="T400" s="81"/>
      <c r="U400" s="81">
        <f t="shared" si="251"/>
        <v>73862</v>
      </c>
      <c r="V400" s="81"/>
      <c r="W400" s="81">
        <f t="shared" si="252"/>
        <v>73862</v>
      </c>
      <c r="X400" s="81"/>
      <c r="Y400" s="81">
        <f t="shared" si="253"/>
        <v>73862</v>
      </c>
      <c r="Z400" s="81"/>
      <c r="AA400" s="81">
        <f t="shared" si="254"/>
        <v>73862</v>
      </c>
    </row>
    <row r="401" spans="1:27" s="24" customFormat="1" ht="21" customHeight="1">
      <c r="A401" s="67"/>
      <c r="B401" s="82"/>
      <c r="C401" s="86">
        <v>4410</v>
      </c>
      <c r="D401" s="38" t="s">
        <v>90</v>
      </c>
      <c r="E401" s="81">
        <f>200+14518</f>
        <v>14718</v>
      </c>
      <c r="F401" s="81"/>
      <c r="G401" s="81">
        <f t="shared" si="244"/>
        <v>14718</v>
      </c>
      <c r="H401" s="81"/>
      <c r="I401" s="81">
        <f t="shared" si="245"/>
        <v>14718</v>
      </c>
      <c r="J401" s="81"/>
      <c r="K401" s="81">
        <f t="shared" si="246"/>
        <v>14718</v>
      </c>
      <c r="L401" s="81"/>
      <c r="M401" s="81">
        <f t="shared" si="247"/>
        <v>14718</v>
      </c>
      <c r="N401" s="81"/>
      <c r="O401" s="81">
        <f t="shared" si="248"/>
        <v>14718</v>
      </c>
      <c r="P401" s="81"/>
      <c r="Q401" s="81">
        <f t="shared" si="249"/>
        <v>14718</v>
      </c>
      <c r="R401" s="81"/>
      <c r="S401" s="81">
        <f t="shared" si="250"/>
        <v>14718</v>
      </c>
      <c r="T401" s="81"/>
      <c r="U401" s="81">
        <f t="shared" si="251"/>
        <v>14718</v>
      </c>
      <c r="V401" s="81"/>
      <c r="W401" s="81">
        <f t="shared" si="252"/>
        <v>14718</v>
      </c>
      <c r="X401" s="81"/>
      <c r="Y401" s="81">
        <f t="shared" si="253"/>
        <v>14718</v>
      </c>
      <c r="Z401" s="81"/>
      <c r="AA401" s="81">
        <f t="shared" si="254"/>
        <v>14718</v>
      </c>
    </row>
    <row r="402" spans="1:27" s="24" customFormat="1" ht="21" customHeight="1">
      <c r="A402" s="67"/>
      <c r="B402" s="82"/>
      <c r="C402" s="86">
        <v>4430</v>
      </c>
      <c r="D402" s="38" t="s">
        <v>94</v>
      </c>
      <c r="E402" s="81">
        <v>3470</v>
      </c>
      <c r="F402" s="81"/>
      <c r="G402" s="81">
        <f t="shared" si="244"/>
        <v>3470</v>
      </c>
      <c r="H402" s="81"/>
      <c r="I402" s="81">
        <f t="shared" si="245"/>
        <v>3470</v>
      </c>
      <c r="J402" s="81"/>
      <c r="K402" s="81">
        <f t="shared" si="246"/>
        <v>3470</v>
      </c>
      <c r="L402" s="81"/>
      <c r="M402" s="81">
        <f t="shared" si="247"/>
        <v>3470</v>
      </c>
      <c r="N402" s="81"/>
      <c r="O402" s="81">
        <f t="shared" si="248"/>
        <v>3470</v>
      </c>
      <c r="P402" s="81"/>
      <c r="Q402" s="81">
        <f t="shared" si="249"/>
        <v>3470</v>
      </c>
      <c r="R402" s="81"/>
      <c r="S402" s="81">
        <f t="shared" si="250"/>
        <v>3470</v>
      </c>
      <c r="T402" s="81"/>
      <c r="U402" s="81">
        <f t="shared" si="251"/>
        <v>3470</v>
      </c>
      <c r="V402" s="81"/>
      <c r="W402" s="81">
        <f t="shared" si="252"/>
        <v>3470</v>
      </c>
      <c r="X402" s="81"/>
      <c r="Y402" s="81">
        <f t="shared" si="253"/>
        <v>3470</v>
      </c>
      <c r="Z402" s="81"/>
      <c r="AA402" s="81">
        <f t="shared" si="254"/>
        <v>3470</v>
      </c>
    </row>
    <row r="403" spans="1:27" s="24" customFormat="1" ht="21" customHeight="1">
      <c r="A403" s="67"/>
      <c r="B403" s="82"/>
      <c r="C403" s="86">
        <v>4440</v>
      </c>
      <c r="D403" s="38" t="s">
        <v>88</v>
      </c>
      <c r="E403" s="81">
        <f>1133+15000+4398+4622</f>
        <v>25153</v>
      </c>
      <c r="F403" s="81"/>
      <c r="G403" s="81">
        <f t="shared" si="244"/>
        <v>25153</v>
      </c>
      <c r="H403" s="81"/>
      <c r="I403" s="81">
        <f t="shared" si="245"/>
        <v>25153</v>
      </c>
      <c r="J403" s="81"/>
      <c r="K403" s="81">
        <f t="shared" si="246"/>
        <v>25153</v>
      </c>
      <c r="L403" s="81"/>
      <c r="M403" s="81">
        <f t="shared" si="247"/>
        <v>25153</v>
      </c>
      <c r="N403" s="81"/>
      <c r="O403" s="81">
        <f t="shared" si="248"/>
        <v>25153</v>
      </c>
      <c r="P403" s="81"/>
      <c r="Q403" s="81">
        <f t="shared" si="249"/>
        <v>25153</v>
      </c>
      <c r="R403" s="81"/>
      <c r="S403" s="81">
        <f t="shared" si="250"/>
        <v>25153</v>
      </c>
      <c r="T403" s="81"/>
      <c r="U403" s="81">
        <f t="shared" si="251"/>
        <v>25153</v>
      </c>
      <c r="V403" s="81"/>
      <c r="W403" s="81">
        <f t="shared" si="252"/>
        <v>25153</v>
      </c>
      <c r="X403" s="81"/>
      <c r="Y403" s="81">
        <f t="shared" si="253"/>
        <v>25153</v>
      </c>
      <c r="Z403" s="81"/>
      <c r="AA403" s="81">
        <f t="shared" si="254"/>
        <v>25153</v>
      </c>
    </row>
    <row r="404" spans="1:27" s="24" customFormat="1" ht="22.5">
      <c r="A404" s="67"/>
      <c r="B404" s="82"/>
      <c r="C404" s="86">
        <v>4610</v>
      </c>
      <c r="D404" s="38" t="s">
        <v>181</v>
      </c>
      <c r="E404" s="81">
        <f>1200+600</f>
        <v>1800</v>
      </c>
      <c r="F404" s="81"/>
      <c r="G404" s="81">
        <f t="shared" si="244"/>
        <v>1800</v>
      </c>
      <c r="H404" s="81"/>
      <c r="I404" s="81">
        <f t="shared" si="245"/>
        <v>1800</v>
      </c>
      <c r="J404" s="81"/>
      <c r="K404" s="81">
        <f t="shared" si="246"/>
        <v>1800</v>
      </c>
      <c r="L404" s="81"/>
      <c r="M404" s="81">
        <f t="shared" si="247"/>
        <v>1800</v>
      </c>
      <c r="N404" s="81"/>
      <c r="O404" s="81">
        <f t="shared" si="248"/>
        <v>1800</v>
      </c>
      <c r="P404" s="81"/>
      <c r="Q404" s="81">
        <f t="shared" si="249"/>
        <v>1800</v>
      </c>
      <c r="R404" s="81"/>
      <c r="S404" s="81">
        <f t="shared" si="250"/>
        <v>1800</v>
      </c>
      <c r="T404" s="81"/>
      <c r="U404" s="81">
        <f t="shared" si="251"/>
        <v>1800</v>
      </c>
      <c r="V404" s="81"/>
      <c r="W404" s="81">
        <f t="shared" si="252"/>
        <v>1800</v>
      </c>
      <c r="X404" s="81"/>
      <c r="Y404" s="81">
        <f t="shared" si="253"/>
        <v>1800</v>
      </c>
      <c r="Z404" s="81"/>
      <c r="AA404" s="81">
        <f t="shared" si="254"/>
        <v>1800</v>
      </c>
    </row>
    <row r="405" spans="1:27" s="24" customFormat="1" ht="30.75" customHeight="1">
      <c r="A405" s="67"/>
      <c r="B405" s="82"/>
      <c r="C405" s="86">
        <v>4700</v>
      </c>
      <c r="D405" s="38" t="s">
        <v>249</v>
      </c>
      <c r="E405" s="81">
        <f>2000+6000</f>
        <v>8000</v>
      </c>
      <c r="F405" s="81"/>
      <c r="G405" s="81">
        <f t="shared" si="244"/>
        <v>8000</v>
      </c>
      <c r="H405" s="81"/>
      <c r="I405" s="81">
        <f t="shared" si="245"/>
        <v>8000</v>
      </c>
      <c r="J405" s="81"/>
      <c r="K405" s="81">
        <f t="shared" si="246"/>
        <v>8000</v>
      </c>
      <c r="L405" s="81"/>
      <c r="M405" s="81">
        <f t="shared" si="247"/>
        <v>8000</v>
      </c>
      <c r="N405" s="81"/>
      <c r="O405" s="81">
        <f t="shared" si="248"/>
        <v>8000</v>
      </c>
      <c r="P405" s="81"/>
      <c r="Q405" s="81">
        <f t="shared" si="249"/>
        <v>8000</v>
      </c>
      <c r="R405" s="81"/>
      <c r="S405" s="81">
        <f t="shared" si="250"/>
        <v>8000</v>
      </c>
      <c r="T405" s="81"/>
      <c r="U405" s="81">
        <f t="shared" si="251"/>
        <v>8000</v>
      </c>
      <c r="V405" s="81"/>
      <c r="W405" s="81">
        <f t="shared" si="252"/>
        <v>8000</v>
      </c>
      <c r="X405" s="81"/>
      <c r="Y405" s="81">
        <f t="shared" si="253"/>
        <v>8000</v>
      </c>
      <c r="Z405" s="81"/>
      <c r="AA405" s="81">
        <f t="shared" si="254"/>
        <v>8000</v>
      </c>
    </row>
    <row r="406" spans="1:27" s="24" customFormat="1" ht="32.25" customHeight="1">
      <c r="A406" s="67"/>
      <c r="B406" s="82"/>
      <c r="C406" s="86">
        <v>4740</v>
      </c>
      <c r="D406" s="38" t="s">
        <v>267</v>
      </c>
      <c r="E406" s="81">
        <f>130+1600</f>
        <v>1730</v>
      </c>
      <c r="F406" s="81"/>
      <c r="G406" s="81">
        <f t="shared" si="244"/>
        <v>1730</v>
      </c>
      <c r="H406" s="81"/>
      <c r="I406" s="81">
        <f t="shared" si="245"/>
        <v>1730</v>
      </c>
      <c r="J406" s="81"/>
      <c r="K406" s="81">
        <f t="shared" si="246"/>
        <v>1730</v>
      </c>
      <c r="L406" s="81"/>
      <c r="M406" s="81">
        <f t="shared" si="247"/>
        <v>1730</v>
      </c>
      <c r="N406" s="81"/>
      <c r="O406" s="81">
        <f t="shared" si="248"/>
        <v>1730</v>
      </c>
      <c r="P406" s="81"/>
      <c r="Q406" s="81">
        <f t="shared" si="249"/>
        <v>1730</v>
      </c>
      <c r="R406" s="81"/>
      <c r="S406" s="81">
        <f t="shared" si="250"/>
        <v>1730</v>
      </c>
      <c r="T406" s="81"/>
      <c r="U406" s="81">
        <f t="shared" si="251"/>
        <v>1730</v>
      </c>
      <c r="V406" s="81"/>
      <c r="W406" s="81">
        <f t="shared" si="252"/>
        <v>1730</v>
      </c>
      <c r="X406" s="81"/>
      <c r="Y406" s="81">
        <f t="shared" si="253"/>
        <v>1730</v>
      </c>
      <c r="Z406" s="81"/>
      <c r="AA406" s="81">
        <f t="shared" si="254"/>
        <v>1730</v>
      </c>
    </row>
    <row r="407" spans="1:27" s="24" customFormat="1" ht="28.5" customHeight="1">
      <c r="A407" s="67"/>
      <c r="B407" s="82"/>
      <c r="C407" s="86">
        <v>4750</v>
      </c>
      <c r="D407" s="38" t="s">
        <v>253</v>
      </c>
      <c r="E407" s="81">
        <f>700+5760</f>
        <v>6460</v>
      </c>
      <c r="F407" s="81"/>
      <c r="G407" s="81">
        <f t="shared" si="244"/>
        <v>6460</v>
      </c>
      <c r="H407" s="81"/>
      <c r="I407" s="81">
        <f t="shared" si="245"/>
        <v>6460</v>
      </c>
      <c r="J407" s="81"/>
      <c r="K407" s="81">
        <f t="shared" si="246"/>
        <v>6460</v>
      </c>
      <c r="L407" s="81"/>
      <c r="M407" s="81">
        <f t="shared" si="247"/>
        <v>6460</v>
      </c>
      <c r="N407" s="81"/>
      <c r="O407" s="81">
        <f t="shared" si="248"/>
        <v>6460</v>
      </c>
      <c r="P407" s="81"/>
      <c r="Q407" s="81">
        <f t="shared" si="249"/>
        <v>6460</v>
      </c>
      <c r="R407" s="81"/>
      <c r="S407" s="81">
        <f t="shared" si="250"/>
        <v>6460</v>
      </c>
      <c r="T407" s="81"/>
      <c r="U407" s="81">
        <f t="shared" si="251"/>
        <v>6460</v>
      </c>
      <c r="V407" s="81"/>
      <c r="W407" s="81">
        <f t="shared" si="252"/>
        <v>6460</v>
      </c>
      <c r="X407" s="81"/>
      <c r="Y407" s="81">
        <f t="shared" si="253"/>
        <v>6460</v>
      </c>
      <c r="Z407" s="81"/>
      <c r="AA407" s="81">
        <f t="shared" si="254"/>
        <v>6460</v>
      </c>
    </row>
    <row r="408" spans="1:27" s="24" customFormat="1" ht="21" customHeight="1">
      <c r="A408" s="67"/>
      <c r="B408" s="82">
        <v>85228</v>
      </c>
      <c r="C408" s="86"/>
      <c r="D408" s="38" t="s">
        <v>121</v>
      </c>
      <c r="E408" s="81">
        <f aca="true" t="shared" si="255" ref="E408:AA408">SUM(E409)</f>
        <v>150000</v>
      </c>
      <c r="F408" s="81">
        <f t="shared" si="255"/>
        <v>0</v>
      </c>
      <c r="G408" s="81">
        <f t="shared" si="255"/>
        <v>150000</v>
      </c>
      <c r="H408" s="81">
        <f t="shared" si="255"/>
        <v>0</v>
      </c>
      <c r="I408" s="81">
        <f t="shared" si="255"/>
        <v>150000</v>
      </c>
      <c r="J408" s="81">
        <f t="shared" si="255"/>
        <v>0</v>
      </c>
      <c r="K408" s="81">
        <f t="shared" si="255"/>
        <v>150000</v>
      </c>
      <c r="L408" s="81">
        <f t="shared" si="255"/>
        <v>0</v>
      </c>
      <c r="M408" s="81">
        <f t="shared" si="255"/>
        <v>150000</v>
      </c>
      <c r="N408" s="81">
        <f t="shared" si="255"/>
        <v>0</v>
      </c>
      <c r="O408" s="81">
        <f t="shared" si="255"/>
        <v>150000</v>
      </c>
      <c r="P408" s="81">
        <f t="shared" si="255"/>
        <v>0</v>
      </c>
      <c r="Q408" s="81">
        <f t="shared" si="255"/>
        <v>150000</v>
      </c>
      <c r="R408" s="81">
        <f t="shared" si="255"/>
        <v>0</v>
      </c>
      <c r="S408" s="81">
        <f t="shared" si="255"/>
        <v>150000</v>
      </c>
      <c r="T408" s="81">
        <f t="shared" si="255"/>
        <v>0</v>
      </c>
      <c r="U408" s="81">
        <f t="shared" si="255"/>
        <v>150000</v>
      </c>
      <c r="V408" s="81">
        <f t="shared" si="255"/>
        <v>0</v>
      </c>
      <c r="W408" s="81">
        <f t="shared" si="255"/>
        <v>150000</v>
      </c>
      <c r="X408" s="81">
        <f t="shared" si="255"/>
        <v>0</v>
      </c>
      <c r="Y408" s="81">
        <f t="shared" si="255"/>
        <v>150000</v>
      </c>
      <c r="Z408" s="81">
        <f t="shared" si="255"/>
        <v>0</v>
      </c>
      <c r="AA408" s="81">
        <f t="shared" si="255"/>
        <v>150000</v>
      </c>
    </row>
    <row r="409" spans="1:27" s="24" customFormat="1" ht="21" customHeight="1">
      <c r="A409" s="67"/>
      <c r="B409" s="82"/>
      <c r="C409" s="86">
        <v>4300</v>
      </c>
      <c r="D409" s="38" t="s">
        <v>79</v>
      </c>
      <c r="E409" s="81">
        <v>150000</v>
      </c>
      <c r="F409" s="81"/>
      <c r="G409" s="81">
        <f>SUM(E409:F409)</f>
        <v>150000</v>
      </c>
      <c r="H409" s="81"/>
      <c r="I409" s="81">
        <f>SUM(G409:H409)</f>
        <v>150000</v>
      </c>
      <c r="J409" s="81"/>
      <c r="K409" s="81">
        <f>SUM(I409:J409)</f>
        <v>150000</v>
      </c>
      <c r="L409" s="81"/>
      <c r="M409" s="81">
        <f>SUM(K409:L409)</f>
        <v>150000</v>
      </c>
      <c r="N409" s="81"/>
      <c r="O409" s="81">
        <f>SUM(M409:N409)</f>
        <v>150000</v>
      </c>
      <c r="P409" s="81"/>
      <c r="Q409" s="81">
        <f>SUM(O409:P409)</f>
        <v>150000</v>
      </c>
      <c r="R409" s="81"/>
      <c r="S409" s="81">
        <f>SUM(Q409:R409)</f>
        <v>150000</v>
      </c>
      <c r="T409" s="81"/>
      <c r="U409" s="81">
        <f>SUM(S409:T409)</f>
        <v>150000</v>
      </c>
      <c r="V409" s="81"/>
      <c r="W409" s="81">
        <f>SUM(U409:V409)</f>
        <v>150000</v>
      </c>
      <c r="X409" s="81"/>
      <c r="Y409" s="81">
        <f>SUM(W409:X409)</f>
        <v>150000</v>
      </c>
      <c r="Z409" s="81"/>
      <c r="AA409" s="81">
        <f>SUM(Y409:Z409)</f>
        <v>150000</v>
      </c>
    </row>
    <row r="410" spans="1:27" s="24" customFormat="1" ht="21" customHeight="1">
      <c r="A410" s="67"/>
      <c r="B410" s="82" t="s">
        <v>156</v>
      </c>
      <c r="C410" s="86"/>
      <c r="D410" s="38" t="s">
        <v>6</v>
      </c>
      <c r="E410" s="81">
        <f aca="true" t="shared" si="256" ref="E410:W410">SUM(E411:E412)</f>
        <v>265520</v>
      </c>
      <c r="F410" s="81">
        <f t="shared" si="256"/>
        <v>0</v>
      </c>
      <c r="G410" s="81">
        <f t="shared" si="256"/>
        <v>265520</v>
      </c>
      <c r="H410" s="81">
        <f t="shared" si="256"/>
        <v>530000</v>
      </c>
      <c r="I410" s="81">
        <f t="shared" si="256"/>
        <v>795520</v>
      </c>
      <c r="J410" s="81">
        <f t="shared" si="256"/>
        <v>0</v>
      </c>
      <c r="K410" s="81">
        <f t="shared" si="256"/>
        <v>795520</v>
      </c>
      <c r="L410" s="81">
        <f t="shared" si="256"/>
        <v>0</v>
      </c>
      <c r="M410" s="81">
        <f t="shared" si="256"/>
        <v>795520</v>
      </c>
      <c r="N410" s="81">
        <f t="shared" si="256"/>
        <v>0</v>
      </c>
      <c r="O410" s="81">
        <f t="shared" si="256"/>
        <v>795520</v>
      </c>
      <c r="P410" s="81">
        <f t="shared" si="256"/>
        <v>69400</v>
      </c>
      <c r="Q410" s="81">
        <f t="shared" si="256"/>
        <v>864920</v>
      </c>
      <c r="R410" s="81">
        <f t="shared" si="256"/>
        <v>0</v>
      </c>
      <c r="S410" s="81">
        <f t="shared" si="256"/>
        <v>864920</v>
      </c>
      <c r="T410" s="81">
        <f t="shared" si="256"/>
        <v>0</v>
      </c>
      <c r="U410" s="81">
        <f t="shared" si="256"/>
        <v>864920</v>
      </c>
      <c r="V410" s="81">
        <f t="shared" si="256"/>
        <v>0</v>
      </c>
      <c r="W410" s="81">
        <f t="shared" si="256"/>
        <v>864920</v>
      </c>
      <c r="X410" s="81">
        <f>SUM(X411:X412)</f>
        <v>0</v>
      </c>
      <c r="Y410" s="81">
        <f>SUM(Y411:Y412)</f>
        <v>864920</v>
      </c>
      <c r="Z410" s="81">
        <f>SUM(Z411:Z412)</f>
        <v>0</v>
      </c>
      <c r="AA410" s="81">
        <f>SUM(AA411:AA412)</f>
        <v>864920</v>
      </c>
    </row>
    <row r="411" spans="1:27" s="24" customFormat="1" ht="21" customHeight="1">
      <c r="A411" s="67"/>
      <c r="B411" s="82"/>
      <c r="C411" s="86">
        <v>3110</v>
      </c>
      <c r="D411" s="38" t="s">
        <v>112</v>
      </c>
      <c r="E411" s="71">
        <f>250000+10000</f>
        <v>260000</v>
      </c>
      <c r="F411" s="71"/>
      <c r="G411" s="71">
        <f>SUM(E411:F411)</f>
        <v>260000</v>
      </c>
      <c r="H411" s="71">
        <v>530000</v>
      </c>
      <c r="I411" s="71">
        <f>SUM(G411:H411)</f>
        <v>790000</v>
      </c>
      <c r="J411" s="71"/>
      <c r="K411" s="71">
        <f>SUM(I411:J411)</f>
        <v>790000</v>
      </c>
      <c r="L411" s="71"/>
      <c r="M411" s="71">
        <f>SUM(K411:L411)</f>
        <v>790000</v>
      </c>
      <c r="N411" s="71"/>
      <c r="O411" s="71">
        <f>SUM(M411:N411)</f>
        <v>790000</v>
      </c>
      <c r="P411" s="71">
        <v>69400</v>
      </c>
      <c r="Q411" s="71">
        <f>SUM(O411:P411)</f>
        <v>859400</v>
      </c>
      <c r="R411" s="71"/>
      <c r="S411" s="71">
        <f>SUM(Q411:R411)</f>
        <v>859400</v>
      </c>
      <c r="T411" s="71"/>
      <c r="U411" s="71">
        <f>SUM(S411:T411)</f>
        <v>859400</v>
      </c>
      <c r="V411" s="71"/>
      <c r="W411" s="71">
        <f>SUM(U411:V411)</f>
        <v>859400</v>
      </c>
      <c r="X411" s="71"/>
      <c r="Y411" s="71">
        <f>SUM(W411:X411)</f>
        <v>859400</v>
      </c>
      <c r="Z411" s="71"/>
      <c r="AA411" s="71">
        <f>SUM(Y411:Z411)</f>
        <v>859400</v>
      </c>
    </row>
    <row r="412" spans="1:27" s="24" customFormat="1" ht="21" customHeight="1">
      <c r="A412" s="67"/>
      <c r="B412" s="82"/>
      <c r="C412" s="86">
        <v>4430</v>
      </c>
      <c r="D412" s="38" t="s">
        <v>94</v>
      </c>
      <c r="E412" s="81">
        <v>5520</v>
      </c>
      <c r="F412" s="81"/>
      <c r="G412" s="71">
        <f>SUM(E412:F412)</f>
        <v>5520</v>
      </c>
      <c r="H412" s="81"/>
      <c r="I412" s="71">
        <f>SUM(G412:H412)</f>
        <v>5520</v>
      </c>
      <c r="J412" s="81"/>
      <c r="K412" s="71">
        <f>SUM(I412:J412)</f>
        <v>5520</v>
      </c>
      <c r="L412" s="81"/>
      <c r="M412" s="71">
        <f>SUM(K412:L412)</f>
        <v>5520</v>
      </c>
      <c r="N412" s="81"/>
      <c r="O412" s="71">
        <f>SUM(M412:N412)</f>
        <v>5520</v>
      </c>
      <c r="P412" s="81"/>
      <c r="Q412" s="71">
        <f>SUM(O412:P412)</f>
        <v>5520</v>
      </c>
      <c r="R412" s="81"/>
      <c r="S412" s="71">
        <f>SUM(Q412:R412)</f>
        <v>5520</v>
      </c>
      <c r="T412" s="81"/>
      <c r="U412" s="71">
        <f>SUM(S412:T412)</f>
        <v>5520</v>
      </c>
      <c r="V412" s="81"/>
      <c r="W412" s="71">
        <f>SUM(U412:V412)</f>
        <v>5520</v>
      </c>
      <c r="X412" s="81"/>
      <c r="Y412" s="71">
        <f>SUM(W412:X412)</f>
        <v>5520</v>
      </c>
      <c r="Z412" s="81"/>
      <c r="AA412" s="71">
        <f>SUM(Y412:Z412)</f>
        <v>5520</v>
      </c>
    </row>
    <row r="413" spans="1:27" s="149" customFormat="1" ht="21" customHeight="1">
      <c r="A413" s="145">
        <v>853</v>
      </c>
      <c r="B413" s="146"/>
      <c r="C413" s="147"/>
      <c r="D413" s="148" t="s">
        <v>259</v>
      </c>
      <c r="E413" s="187">
        <f aca="true" t="shared" si="257" ref="E413:Z414">E414</f>
        <v>10704</v>
      </c>
      <c r="F413" s="187">
        <f t="shared" si="257"/>
        <v>0</v>
      </c>
      <c r="G413" s="187">
        <f t="shared" si="257"/>
        <v>10704</v>
      </c>
      <c r="H413" s="187">
        <f t="shared" si="257"/>
        <v>0</v>
      </c>
      <c r="I413" s="187">
        <f t="shared" si="257"/>
        <v>10704</v>
      </c>
      <c r="J413" s="187">
        <f t="shared" si="257"/>
        <v>0</v>
      </c>
      <c r="K413" s="187">
        <f t="shared" si="257"/>
        <v>10704</v>
      </c>
      <c r="L413" s="187">
        <f t="shared" si="257"/>
        <v>1133</v>
      </c>
      <c r="M413" s="187">
        <f t="shared" si="257"/>
        <v>11837</v>
      </c>
      <c r="N413" s="187">
        <f t="shared" si="257"/>
        <v>0</v>
      </c>
      <c r="O413" s="187">
        <f t="shared" si="257"/>
        <v>11837</v>
      </c>
      <c r="P413" s="187">
        <f t="shared" si="257"/>
        <v>0</v>
      </c>
      <c r="Q413" s="187">
        <f t="shared" si="257"/>
        <v>11837</v>
      </c>
      <c r="R413" s="187">
        <f t="shared" si="257"/>
        <v>0</v>
      </c>
      <c r="S413" s="187">
        <f t="shared" si="257"/>
        <v>11837</v>
      </c>
      <c r="T413" s="187">
        <f t="shared" si="257"/>
        <v>0</v>
      </c>
      <c r="U413" s="187">
        <f>U414</f>
        <v>11837</v>
      </c>
      <c r="V413" s="187">
        <f t="shared" si="257"/>
        <v>0</v>
      </c>
      <c r="W413" s="187">
        <f>W414</f>
        <v>11837</v>
      </c>
      <c r="X413" s="187">
        <f t="shared" si="257"/>
        <v>0</v>
      </c>
      <c r="Y413" s="187">
        <f>Y414</f>
        <v>11837</v>
      </c>
      <c r="Z413" s="187">
        <f t="shared" si="257"/>
        <v>0</v>
      </c>
      <c r="AA413" s="187">
        <f>AA414</f>
        <v>11837</v>
      </c>
    </row>
    <row r="414" spans="1:27" s="24" customFormat="1" ht="21" customHeight="1">
      <c r="A414" s="67"/>
      <c r="B414" s="82">
        <v>85311</v>
      </c>
      <c r="C414" s="86"/>
      <c r="D414" s="38" t="s">
        <v>260</v>
      </c>
      <c r="E414" s="81">
        <f t="shared" si="257"/>
        <v>10704</v>
      </c>
      <c r="F414" s="81">
        <f t="shared" si="257"/>
        <v>0</v>
      </c>
      <c r="G414" s="81">
        <f t="shared" si="257"/>
        <v>10704</v>
      </c>
      <c r="H414" s="81">
        <f t="shared" si="257"/>
        <v>0</v>
      </c>
      <c r="I414" s="81">
        <f t="shared" si="257"/>
        <v>10704</v>
      </c>
      <c r="J414" s="81">
        <f t="shared" si="257"/>
        <v>0</v>
      </c>
      <c r="K414" s="81">
        <f t="shared" si="257"/>
        <v>10704</v>
      </c>
      <c r="L414" s="81">
        <f t="shared" si="257"/>
        <v>1133</v>
      </c>
      <c r="M414" s="81">
        <f t="shared" si="257"/>
        <v>11837</v>
      </c>
      <c r="N414" s="81">
        <f t="shared" si="257"/>
        <v>0</v>
      </c>
      <c r="O414" s="81">
        <f t="shared" si="257"/>
        <v>11837</v>
      </c>
      <c r="P414" s="81">
        <f t="shared" si="257"/>
        <v>0</v>
      </c>
      <c r="Q414" s="81">
        <f t="shared" si="257"/>
        <v>11837</v>
      </c>
      <c r="R414" s="81">
        <f t="shared" si="257"/>
        <v>0</v>
      </c>
      <c r="S414" s="81">
        <f t="shared" si="257"/>
        <v>11837</v>
      </c>
      <c r="T414" s="81">
        <f>T415</f>
        <v>0</v>
      </c>
      <c r="U414" s="81">
        <f>U415</f>
        <v>11837</v>
      </c>
      <c r="V414" s="81">
        <f>V415</f>
        <v>0</v>
      </c>
      <c r="W414" s="81">
        <f>W415</f>
        <v>11837</v>
      </c>
      <c r="X414" s="81">
        <f>X415</f>
        <v>0</v>
      </c>
      <c r="Y414" s="81">
        <f>Y415</f>
        <v>11837</v>
      </c>
      <c r="Z414" s="81">
        <f>Z415</f>
        <v>0</v>
      </c>
      <c r="AA414" s="81">
        <f>AA415</f>
        <v>11837</v>
      </c>
    </row>
    <row r="415" spans="1:27" s="24" customFormat="1" ht="45">
      <c r="A415" s="67"/>
      <c r="B415" s="82"/>
      <c r="C415" s="86">
        <v>2710</v>
      </c>
      <c r="D415" s="38" t="s">
        <v>269</v>
      </c>
      <c r="E415" s="81">
        <v>10704</v>
      </c>
      <c r="F415" s="81"/>
      <c r="G415" s="81">
        <f>SUM(E415:F415)</f>
        <v>10704</v>
      </c>
      <c r="H415" s="81"/>
      <c r="I415" s="81">
        <f>SUM(G415:H415)</f>
        <v>10704</v>
      </c>
      <c r="J415" s="81"/>
      <c r="K415" s="81">
        <f>SUM(I415:J415)</f>
        <v>10704</v>
      </c>
      <c r="L415" s="81">
        <v>1133</v>
      </c>
      <c r="M415" s="81">
        <f>SUM(K415:L415)</f>
        <v>11837</v>
      </c>
      <c r="N415" s="81"/>
      <c r="O415" s="81">
        <f>SUM(M415:N415)</f>
        <v>11837</v>
      </c>
      <c r="P415" s="81"/>
      <c r="Q415" s="81">
        <f>SUM(O415:P415)</f>
        <v>11837</v>
      </c>
      <c r="R415" s="81"/>
      <c r="S415" s="81">
        <f>SUM(Q415:R415)</f>
        <v>11837</v>
      </c>
      <c r="T415" s="81"/>
      <c r="U415" s="81">
        <f>SUM(S415:T415)</f>
        <v>11837</v>
      </c>
      <c r="V415" s="81"/>
      <c r="W415" s="81">
        <f>SUM(U415:V415)</f>
        <v>11837</v>
      </c>
      <c r="X415" s="81"/>
      <c r="Y415" s="81">
        <f>SUM(W415:X415)</f>
        <v>11837</v>
      </c>
      <c r="Z415" s="81"/>
      <c r="AA415" s="81">
        <f>SUM(Y415:Z415)</f>
        <v>11837</v>
      </c>
    </row>
    <row r="416" spans="1:27" s="7" customFormat="1" ht="21" customHeight="1">
      <c r="A416" s="33" t="s">
        <v>122</v>
      </c>
      <c r="B416" s="34"/>
      <c r="C416" s="35"/>
      <c r="D416" s="36" t="s">
        <v>59</v>
      </c>
      <c r="E416" s="37">
        <f aca="true" t="shared" si="258" ref="E416:W416">SUM(E417,E428,E440,E436,E433)</f>
        <v>1079023</v>
      </c>
      <c r="F416" s="37">
        <f t="shared" si="258"/>
        <v>-100000</v>
      </c>
      <c r="G416" s="37">
        <f t="shared" si="258"/>
        <v>979023</v>
      </c>
      <c r="H416" s="37">
        <f t="shared" si="258"/>
        <v>0</v>
      </c>
      <c r="I416" s="37">
        <f t="shared" si="258"/>
        <v>979023</v>
      </c>
      <c r="J416" s="37">
        <f t="shared" si="258"/>
        <v>0</v>
      </c>
      <c r="K416" s="37">
        <f t="shared" si="258"/>
        <v>979023</v>
      </c>
      <c r="L416" s="37">
        <f t="shared" si="258"/>
        <v>63900</v>
      </c>
      <c r="M416" s="37">
        <f t="shared" si="258"/>
        <v>1042923</v>
      </c>
      <c r="N416" s="37">
        <f t="shared" si="258"/>
        <v>279792</v>
      </c>
      <c r="O416" s="37">
        <f t="shared" si="258"/>
        <v>1322715</v>
      </c>
      <c r="P416" s="37">
        <f t="shared" si="258"/>
        <v>0</v>
      </c>
      <c r="Q416" s="37">
        <f t="shared" si="258"/>
        <v>1322715</v>
      </c>
      <c r="R416" s="37">
        <f t="shared" si="258"/>
        <v>-64671</v>
      </c>
      <c r="S416" s="37">
        <f t="shared" si="258"/>
        <v>1258044</v>
      </c>
      <c r="T416" s="37">
        <f t="shared" si="258"/>
        <v>0</v>
      </c>
      <c r="U416" s="37">
        <f t="shared" si="258"/>
        <v>1258044</v>
      </c>
      <c r="V416" s="37">
        <f t="shared" si="258"/>
        <v>40000</v>
      </c>
      <c r="W416" s="37">
        <f t="shared" si="258"/>
        <v>1298044</v>
      </c>
      <c r="X416" s="37">
        <f>SUM(X417,X428,X440,X436,X433)</f>
        <v>0</v>
      </c>
      <c r="Y416" s="37">
        <f>SUM(Y417,Y428,Y440,Y436,Y433)</f>
        <v>1298044</v>
      </c>
      <c r="Z416" s="37">
        <f>SUM(Z417,Z428,Z440,Z436,Z433)</f>
        <v>60600</v>
      </c>
      <c r="AA416" s="37">
        <f>SUM(AA417,AA428,AA440,AA436,AA433)</f>
        <v>1358644</v>
      </c>
    </row>
    <row r="417" spans="1:27" s="24" customFormat="1" ht="21" customHeight="1">
      <c r="A417" s="67"/>
      <c r="B417" s="82">
        <v>85401</v>
      </c>
      <c r="C417" s="86"/>
      <c r="D417" s="38" t="s">
        <v>60</v>
      </c>
      <c r="E417" s="81">
        <f aca="true" t="shared" si="259" ref="E417:W417">SUM(E418:E427)</f>
        <v>622434</v>
      </c>
      <c r="F417" s="81">
        <f t="shared" si="259"/>
        <v>0</v>
      </c>
      <c r="G417" s="81">
        <f t="shared" si="259"/>
        <v>622434</v>
      </c>
      <c r="H417" s="81">
        <f t="shared" si="259"/>
        <v>0</v>
      </c>
      <c r="I417" s="81">
        <f t="shared" si="259"/>
        <v>622434</v>
      </c>
      <c r="J417" s="81">
        <f t="shared" si="259"/>
        <v>0</v>
      </c>
      <c r="K417" s="81">
        <f t="shared" si="259"/>
        <v>622434</v>
      </c>
      <c r="L417" s="81">
        <f t="shared" si="259"/>
        <v>50</v>
      </c>
      <c r="M417" s="81">
        <f t="shared" si="259"/>
        <v>622484</v>
      </c>
      <c r="N417" s="81">
        <f t="shared" si="259"/>
        <v>0</v>
      </c>
      <c r="O417" s="81">
        <f t="shared" si="259"/>
        <v>622484</v>
      </c>
      <c r="P417" s="81">
        <f t="shared" si="259"/>
        <v>0</v>
      </c>
      <c r="Q417" s="81">
        <f t="shared" si="259"/>
        <v>622484</v>
      </c>
      <c r="R417" s="81">
        <f t="shared" si="259"/>
        <v>0</v>
      </c>
      <c r="S417" s="81">
        <f t="shared" si="259"/>
        <v>622484</v>
      </c>
      <c r="T417" s="81">
        <f t="shared" si="259"/>
        <v>0</v>
      </c>
      <c r="U417" s="81">
        <f t="shared" si="259"/>
        <v>622484</v>
      </c>
      <c r="V417" s="81">
        <f t="shared" si="259"/>
        <v>0</v>
      </c>
      <c r="W417" s="81">
        <f t="shared" si="259"/>
        <v>622484</v>
      </c>
      <c r="X417" s="81">
        <f>SUM(X418:X427)</f>
        <v>0</v>
      </c>
      <c r="Y417" s="81">
        <f>SUM(Y418:Y427)</f>
        <v>622484</v>
      </c>
      <c r="Z417" s="81">
        <f>SUM(Z418:Z427)</f>
        <v>0</v>
      </c>
      <c r="AA417" s="81">
        <f>SUM(AA418:AA427)</f>
        <v>622484</v>
      </c>
    </row>
    <row r="418" spans="1:27" s="24" customFormat="1" ht="21" customHeight="1">
      <c r="A418" s="67"/>
      <c r="B418" s="82"/>
      <c r="C418" s="86">
        <v>3020</v>
      </c>
      <c r="D418" s="38" t="s">
        <v>209</v>
      </c>
      <c r="E418" s="81">
        <v>10531</v>
      </c>
      <c r="F418" s="81"/>
      <c r="G418" s="81">
        <f>SUM(E418:F418)</f>
        <v>10531</v>
      </c>
      <c r="H418" s="81"/>
      <c r="I418" s="81">
        <f>SUM(G418:H418)</f>
        <v>10531</v>
      </c>
      <c r="J418" s="81"/>
      <c r="K418" s="81">
        <f>SUM(I418:J418)</f>
        <v>10531</v>
      </c>
      <c r="L418" s="81"/>
      <c r="M418" s="81">
        <f>SUM(K418:L418)</f>
        <v>10531</v>
      </c>
      <c r="N418" s="81"/>
      <c r="O418" s="81">
        <f>SUM(M418:N418)</f>
        <v>10531</v>
      </c>
      <c r="P418" s="81"/>
      <c r="Q418" s="81">
        <f>SUM(O418:P418)</f>
        <v>10531</v>
      </c>
      <c r="R418" s="81"/>
      <c r="S418" s="81">
        <f>SUM(Q418:R418)</f>
        <v>10531</v>
      </c>
      <c r="T418" s="81"/>
      <c r="U418" s="81">
        <f>SUM(S418:T418)</f>
        <v>10531</v>
      </c>
      <c r="V418" s="81"/>
      <c r="W418" s="81">
        <f>SUM(U418:V418)</f>
        <v>10531</v>
      </c>
      <c r="X418" s="81"/>
      <c r="Y418" s="81">
        <f>SUM(W418:X418)</f>
        <v>10531</v>
      </c>
      <c r="Z418" s="81"/>
      <c r="AA418" s="81">
        <f>SUM(Y418:Z418)</f>
        <v>10531</v>
      </c>
    </row>
    <row r="419" spans="1:30" s="24" customFormat="1" ht="21" customHeight="1">
      <c r="A419" s="67"/>
      <c r="B419" s="82"/>
      <c r="C419" s="86">
        <v>4010</v>
      </c>
      <c r="D419" s="38" t="s">
        <v>84</v>
      </c>
      <c r="E419" s="81">
        <v>448520</v>
      </c>
      <c r="F419" s="81"/>
      <c r="G419" s="81">
        <f aca="true" t="shared" si="260" ref="G419:G427">SUM(E419:F419)</f>
        <v>448520</v>
      </c>
      <c r="H419" s="81"/>
      <c r="I419" s="81">
        <f aca="true" t="shared" si="261" ref="I419:I427">SUM(G419:H419)</f>
        <v>448520</v>
      </c>
      <c r="J419" s="81"/>
      <c r="K419" s="81">
        <f aca="true" t="shared" si="262" ref="K419:K427">SUM(I419:J419)</f>
        <v>448520</v>
      </c>
      <c r="L419" s="81">
        <v>2113</v>
      </c>
      <c r="M419" s="81">
        <f aca="true" t="shared" si="263" ref="M419:M427">SUM(K419:L419)</f>
        <v>450633</v>
      </c>
      <c r="N419" s="81"/>
      <c r="O419" s="81">
        <f aca="true" t="shared" si="264" ref="O419:O427">SUM(M419:N419)</f>
        <v>450633</v>
      </c>
      <c r="P419" s="81"/>
      <c r="Q419" s="81">
        <f aca="true" t="shared" si="265" ref="Q419:Q427">SUM(O419:P419)</f>
        <v>450633</v>
      </c>
      <c r="R419" s="81"/>
      <c r="S419" s="81">
        <f aca="true" t="shared" si="266" ref="S419:S427">SUM(Q419:R419)</f>
        <v>450633</v>
      </c>
      <c r="T419" s="81"/>
      <c r="U419" s="81">
        <f aca="true" t="shared" si="267" ref="U419:U427">SUM(S419:T419)</f>
        <v>450633</v>
      </c>
      <c r="V419" s="81"/>
      <c r="W419" s="81">
        <f aca="true" t="shared" si="268" ref="W419:W427">SUM(U419:V419)</f>
        <v>450633</v>
      </c>
      <c r="X419" s="81"/>
      <c r="Y419" s="81">
        <f aca="true" t="shared" si="269" ref="Y419:Y427">SUM(W419:X419)</f>
        <v>450633</v>
      </c>
      <c r="Z419" s="81"/>
      <c r="AA419" s="81">
        <f aca="true" t="shared" si="270" ref="AA419:AA427">SUM(Y419:Z419)</f>
        <v>450633</v>
      </c>
      <c r="AB419" s="119"/>
      <c r="AC419" s="119"/>
      <c r="AD419" s="119"/>
    </row>
    <row r="420" spans="1:30" s="24" customFormat="1" ht="21" customHeight="1">
      <c r="A420" s="67"/>
      <c r="B420" s="82"/>
      <c r="C420" s="86">
        <v>4040</v>
      </c>
      <c r="D420" s="38" t="s">
        <v>85</v>
      </c>
      <c r="E420" s="81">
        <v>31891</v>
      </c>
      <c r="F420" s="81"/>
      <c r="G420" s="81">
        <f t="shared" si="260"/>
        <v>31891</v>
      </c>
      <c r="H420" s="81"/>
      <c r="I420" s="81">
        <f t="shared" si="261"/>
        <v>31891</v>
      </c>
      <c r="J420" s="81"/>
      <c r="K420" s="81">
        <f t="shared" si="262"/>
        <v>31891</v>
      </c>
      <c r="L420" s="81">
        <v>-2063</v>
      </c>
      <c r="M420" s="81">
        <f t="shared" si="263"/>
        <v>29828</v>
      </c>
      <c r="N420" s="81"/>
      <c r="O420" s="81">
        <f t="shared" si="264"/>
        <v>29828</v>
      </c>
      <c r="P420" s="81"/>
      <c r="Q420" s="81">
        <f t="shared" si="265"/>
        <v>29828</v>
      </c>
      <c r="R420" s="81"/>
      <c r="S420" s="81">
        <f t="shared" si="266"/>
        <v>29828</v>
      </c>
      <c r="T420" s="81"/>
      <c r="U420" s="81">
        <f t="shared" si="267"/>
        <v>29828</v>
      </c>
      <c r="V420" s="81"/>
      <c r="W420" s="81">
        <f t="shared" si="268"/>
        <v>29828</v>
      </c>
      <c r="X420" s="81"/>
      <c r="Y420" s="81">
        <f t="shared" si="269"/>
        <v>29828</v>
      </c>
      <c r="Z420" s="81"/>
      <c r="AA420" s="81">
        <f t="shared" si="270"/>
        <v>29828</v>
      </c>
      <c r="AB420" s="119"/>
      <c r="AC420" s="119"/>
      <c r="AD420" s="119"/>
    </row>
    <row r="421" spans="1:30" s="24" customFormat="1" ht="21" customHeight="1">
      <c r="A421" s="67"/>
      <c r="B421" s="82"/>
      <c r="C421" s="86">
        <v>4110</v>
      </c>
      <c r="D421" s="38" t="s">
        <v>86</v>
      </c>
      <c r="E421" s="81">
        <v>73489</v>
      </c>
      <c r="F421" s="81"/>
      <c r="G421" s="81">
        <f t="shared" si="260"/>
        <v>73489</v>
      </c>
      <c r="H421" s="81"/>
      <c r="I421" s="81">
        <f t="shared" si="261"/>
        <v>73489</v>
      </c>
      <c r="J421" s="81"/>
      <c r="K421" s="81">
        <f t="shared" si="262"/>
        <v>73489</v>
      </c>
      <c r="L421" s="81"/>
      <c r="M421" s="81">
        <f t="shared" si="263"/>
        <v>73489</v>
      </c>
      <c r="N421" s="81"/>
      <c r="O421" s="81">
        <f t="shared" si="264"/>
        <v>73489</v>
      </c>
      <c r="P421" s="81"/>
      <c r="Q421" s="81">
        <f t="shared" si="265"/>
        <v>73489</v>
      </c>
      <c r="R421" s="81"/>
      <c r="S421" s="81">
        <f t="shared" si="266"/>
        <v>73489</v>
      </c>
      <c r="T421" s="81"/>
      <c r="U421" s="81">
        <f t="shared" si="267"/>
        <v>73489</v>
      </c>
      <c r="V421" s="81"/>
      <c r="W421" s="81">
        <f t="shared" si="268"/>
        <v>73489</v>
      </c>
      <c r="X421" s="81"/>
      <c r="Y421" s="81">
        <f t="shared" si="269"/>
        <v>73489</v>
      </c>
      <c r="Z421" s="81"/>
      <c r="AA421" s="81">
        <f t="shared" si="270"/>
        <v>73489</v>
      </c>
      <c r="AB421" s="119"/>
      <c r="AC421" s="119"/>
      <c r="AD421" s="119"/>
    </row>
    <row r="422" spans="1:30" s="24" customFormat="1" ht="21" customHeight="1">
      <c r="A422" s="67"/>
      <c r="B422" s="82"/>
      <c r="C422" s="86">
        <v>4120</v>
      </c>
      <c r="D422" s="38" t="s">
        <v>87</v>
      </c>
      <c r="E422" s="81">
        <v>11872</v>
      </c>
      <c r="F422" s="81"/>
      <c r="G422" s="81">
        <f t="shared" si="260"/>
        <v>11872</v>
      </c>
      <c r="H422" s="81"/>
      <c r="I422" s="81">
        <f t="shared" si="261"/>
        <v>11872</v>
      </c>
      <c r="J422" s="81"/>
      <c r="K422" s="81">
        <f t="shared" si="262"/>
        <v>11872</v>
      </c>
      <c r="L422" s="81"/>
      <c r="M422" s="81">
        <f t="shared" si="263"/>
        <v>11872</v>
      </c>
      <c r="N422" s="81"/>
      <c r="O422" s="81">
        <f t="shared" si="264"/>
        <v>11872</v>
      </c>
      <c r="P422" s="81"/>
      <c r="Q422" s="81">
        <f t="shared" si="265"/>
        <v>11872</v>
      </c>
      <c r="R422" s="81"/>
      <c r="S422" s="81">
        <f t="shared" si="266"/>
        <v>11872</v>
      </c>
      <c r="T422" s="81"/>
      <c r="U422" s="81">
        <f t="shared" si="267"/>
        <v>11872</v>
      </c>
      <c r="V422" s="81"/>
      <c r="W422" s="81">
        <f t="shared" si="268"/>
        <v>11872</v>
      </c>
      <c r="X422" s="81"/>
      <c r="Y422" s="81">
        <f t="shared" si="269"/>
        <v>11872</v>
      </c>
      <c r="Z422" s="81"/>
      <c r="AA422" s="81">
        <f t="shared" si="270"/>
        <v>11872</v>
      </c>
      <c r="AB422" s="119"/>
      <c r="AC422" s="119"/>
      <c r="AD422" s="119"/>
    </row>
    <row r="423" spans="1:27" s="24" customFormat="1" ht="21" customHeight="1">
      <c r="A423" s="67"/>
      <c r="B423" s="82"/>
      <c r="C423" s="86">
        <v>4210</v>
      </c>
      <c r="D423" s="38" t="s">
        <v>92</v>
      </c>
      <c r="E423" s="81">
        <v>6500</v>
      </c>
      <c r="F423" s="81"/>
      <c r="G423" s="81">
        <f t="shared" si="260"/>
        <v>6500</v>
      </c>
      <c r="H423" s="81"/>
      <c r="I423" s="81">
        <f t="shared" si="261"/>
        <v>6500</v>
      </c>
      <c r="J423" s="81"/>
      <c r="K423" s="81">
        <f t="shared" si="262"/>
        <v>6500</v>
      </c>
      <c r="L423" s="81"/>
      <c r="M423" s="81">
        <f t="shared" si="263"/>
        <v>6500</v>
      </c>
      <c r="N423" s="81"/>
      <c r="O423" s="81">
        <f t="shared" si="264"/>
        <v>6500</v>
      </c>
      <c r="P423" s="81"/>
      <c r="Q423" s="81">
        <f t="shared" si="265"/>
        <v>6500</v>
      </c>
      <c r="R423" s="81"/>
      <c r="S423" s="81">
        <f t="shared" si="266"/>
        <v>6500</v>
      </c>
      <c r="T423" s="81"/>
      <c r="U423" s="81">
        <f t="shared" si="267"/>
        <v>6500</v>
      </c>
      <c r="V423" s="81"/>
      <c r="W423" s="81">
        <f t="shared" si="268"/>
        <v>6500</v>
      </c>
      <c r="X423" s="81"/>
      <c r="Y423" s="81">
        <f t="shared" si="269"/>
        <v>6500</v>
      </c>
      <c r="Z423" s="81"/>
      <c r="AA423" s="81">
        <f t="shared" si="270"/>
        <v>6500</v>
      </c>
    </row>
    <row r="424" spans="1:27" s="24" customFormat="1" ht="21" customHeight="1">
      <c r="A424" s="67"/>
      <c r="B424" s="82"/>
      <c r="C424" s="86">
        <v>4240</v>
      </c>
      <c r="D424" s="38" t="s">
        <v>123</v>
      </c>
      <c r="E424" s="81">
        <v>5640</v>
      </c>
      <c r="F424" s="81"/>
      <c r="G424" s="81">
        <f t="shared" si="260"/>
        <v>5640</v>
      </c>
      <c r="H424" s="81"/>
      <c r="I424" s="81">
        <f t="shared" si="261"/>
        <v>5640</v>
      </c>
      <c r="J424" s="81"/>
      <c r="K424" s="81">
        <f t="shared" si="262"/>
        <v>5640</v>
      </c>
      <c r="L424" s="81"/>
      <c r="M424" s="81">
        <f t="shared" si="263"/>
        <v>5640</v>
      </c>
      <c r="N424" s="81"/>
      <c r="O424" s="81">
        <f t="shared" si="264"/>
        <v>5640</v>
      </c>
      <c r="P424" s="81"/>
      <c r="Q424" s="81">
        <f t="shared" si="265"/>
        <v>5640</v>
      </c>
      <c r="R424" s="81"/>
      <c r="S424" s="81">
        <f t="shared" si="266"/>
        <v>5640</v>
      </c>
      <c r="T424" s="81"/>
      <c r="U424" s="81">
        <f t="shared" si="267"/>
        <v>5640</v>
      </c>
      <c r="V424" s="81"/>
      <c r="W424" s="81">
        <f t="shared" si="268"/>
        <v>5640</v>
      </c>
      <c r="X424" s="81"/>
      <c r="Y424" s="81">
        <f t="shared" si="269"/>
        <v>5640</v>
      </c>
      <c r="Z424" s="81"/>
      <c r="AA424" s="81">
        <f t="shared" si="270"/>
        <v>5640</v>
      </c>
    </row>
    <row r="425" spans="1:27" s="24" customFormat="1" ht="21" customHeight="1">
      <c r="A425" s="67"/>
      <c r="B425" s="82"/>
      <c r="C425" s="86">
        <v>4280</v>
      </c>
      <c r="D425" s="38" t="s">
        <v>197</v>
      </c>
      <c r="E425" s="81">
        <v>600</v>
      </c>
      <c r="F425" s="81"/>
      <c r="G425" s="81">
        <f t="shared" si="260"/>
        <v>600</v>
      </c>
      <c r="H425" s="81"/>
      <c r="I425" s="81">
        <f t="shared" si="261"/>
        <v>600</v>
      </c>
      <c r="J425" s="81"/>
      <c r="K425" s="81">
        <f t="shared" si="262"/>
        <v>600</v>
      </c>
      <c r="L425" s="81"/>
      <c r="M425" s="81">
        <f t="shared" si="263"/>
        <v>600</v>
      </c>
      <c r="N425" s="81"/>
      <c r="O425" s="81">
        <f t="shared" si="264"/>
        <v>600</v>
      </c>
      <c r="P425" s="81"/>
      <c r="Q425" s="81">
        <f t="shared" si="265"/>
        <v>600</v>
      </c>
      <c r="R425" s="81"/>
      <c r="S425" s="81">
        <f t="shared" si="266"/>
        <v>600</v>
      </c>
      <c r="T425" s="81"/>
      <c r="U425" s="81">
        <f t="shared" si="267"/>
        <v>600</v>
      </c>
      <c r="V425" s="81"/>
      <c r="W425" s="81">
        <f t="shared" si="268"/>
        <v>600</v>
      </c>
      <c r="X425" s="81"/>
      <c r="Y425" s="81">
        <f t="shared" si="269"/>
        <v>600</v>
      </c>
      <c r="Z425" s="81"/>
      <c r="AA425" s="81">
        <f t="shared" si="270"/>
        <v>600</v>
      </c>
    </row>
    <row r="426" spans="1:27" s="24" customFormat="1" ht="21" customHeight="1">
      <c r="A426" s="67"/>
      <c r="B426" s="82"/>
      <c r="C426" s="86">
        <v>4300</v>
      </c>
      <c r="D426" s="38" t="s">
        <v>79</v>
      </c>
      <c r="E426" s="81">
        <v>200</v>
      </c>
      <c r="F426" s="81"/>
      <c r="G426" s="81">
        <f t="shared" si="260"/>
        <v>200</v>
      </c>
      <c r="H426" s="81"/>
      <c r="I426" s="81">
        <f t="shared" si="261"/>
        <v>200</v>
      </c>
      <c r="J426" s="81"/>
      <c r="K426" s="81">
        <f t="shared" si="262"/>
        <v>200</v>
      </c>
      <c r="L426" s="81"/>
      <c r="M426" s="81">
        <f t="shared" si="263"/>
        <v>200</v>
      </c>
      <c r="N426" s="81"/>
      <c r="O426" s="81">
        <f t="shared" si="264"/>
        <v>200</v>
      </c>
      <c r="P426" s="81"/>
      <c r="Q426" s="81">
        <f t="shared" si="265"/>
        <v>200</v>
      </c>
      <c r="R426" s="81"/>
      <c r="S426" s="81">
        <f t="shared" si="266"/>
        <v>200</v>
      </c>
      <c r="T426" s="81"/>
      <c r="U426" s="81">
        <f t="shared" si="267"/>
        <v>200</v>
      </c>
      <c r="V426" s="81"/>
      <c r="W426" s="81">
        <f t="shared" si="268"/>
        <v>200</v>
      </c>
      <c r="X426" s="81"/>
      <c r="Y426" s="81">
        <f t="shared" si="269"/>
        <v>200</v>
      </c>
      <c r="Z426" s="81"/>
      <c r="AA426" s="81">
        <f t="shared" si="270"/>
        <v>200</v>
      </c>
    </row>
    <row r="427" spans="1:27" s="24" customFormat="1" ht="22.5">
      <c r="A427" s="67"/>
      <c r="B427" s="82"/>
      <c r="C427" s="86">
        <v>4440</v>
      </c>
      <c r="D427" s="38" t="s">
        <v>88</v>
      </c>
      <c r="E427" s="81">
        <v>33191</v>
      </c>
      <c r="F427" s="81"/>
      <c r="G427" s="81">
        <f t="shared" si="260"/>
        <v>33191</v>
      </c>
      <c r="H427" s="81"/>
      <c r="I427" s="81">
        <f t="shared" si="261"/>
        <v>33191</v>
      </c>
      <c r="J427" s="81"/>
      <c r="K427" s="81">
        <f t="shared" si="262"/>
        <v>33191</v>
      </c>
      <c r="L427" s="81"/>
      <c r="M427" s="81">
        <f t="shared" si="263"/>
        <v>33191</v>
      </c>
      <c r="N427" s="81"/>
      <c r="O427" s="81">
        <f t="shared" si="264"/>
        <v>33191</v>
      </c>
      <c r="P427" s="81"/>
      <c r="Q427" s="81">
        <f t="shared" si="265"/>
        <v>33191</v>
      </c>
      <c r="R427" s="81"/>
      <c r="S427" s="81">
        <f t="shared" si="266"/>
        <v>33191</v>
      </c>
      <c r="T427" s="81"/>
      <c r="U427" s="81">
        <f t="shared" si="267"/>
        <v>33191</v>
      </c>
      <c r="V427" s="81"/>
      <c r="W427" s="81">
        <f t="shared" si="268"/>
        <v>33191</v>
      </c>
      <c r="X427" s="81"/>
      <c r="Y427" s="81">
        <f t="shared" si="269"/>
        <v>33191</v>
      </c>
      <c r="Z427" s="81"/>
      <c r="AA427" s="81">
        <f t="shared" si="270"/>
        <v>33191</v>
      </c>
    </row>
    <row r="428" spans="1:27" s="24" customFormat="1" ht="33.75">
      <c r="A428" s="67"/>
      <c r="B428" s="82" t="s">
        <v>126</v>
      </c>
      <c r="C428" s="86"/>
      <c r="D428" s="38" t="s">
        <v>157</v>
      </c>
      <c r="E428" s="81">
        <f aca="true" t="shared" si="271" ref="E428:Q428">SUM(E431:E432)</f>
        <v>102899</v>
      </c>
      <c r="F428" s="81">
        <f t="shared" si="271"/>
        <v>-100000</v>
      </c>
      <c r="G428" s="81">
        <f t="shared" si="271"/>
        <v>2899</v>
      </c>
      <c r="H428" s="81">
        <f t="shared" si="271"/>
        <v>0</v>
      </c>
      <c r="I428" s="81">
        <f t="shared" si="271"/>
        <v>2899</v>
      </c>
      <c r="J428" s="81">
        <f t="shared" si="271"/>
        <v>0</v>
      </c>
      <c r="K428" s="81">
        <f t="shared" si="271"/>
        <v>2899</v>
      </c>
      <c r="L428" s="81">
        <f t="shared" si="271"/>
        <v>63850</v>
      </c>
      <c r="M428" s="81">
        <f t="shared" si="271"/>
        <v>66749</v>
      </c>
      <c r="N428" s="81">
        <f t="shared" si="271"/>
        <v>0</v>
      </c>
      <c r="O428" s="81">
        <f t="shared" si="271"/>
        <v>66749</v>
      </c>
      <c r="P428" s="81">
        <f t="shared" si="271"/>
        <v>0</v>
      </c>
      <c r="Q428" s="81">
        <f t="shared" si="271"/>
        <v>66749</v>
      </c>
      <c r="R428" s="81">
        <f>SUM(R431:R432)</f>
        <v>-63850</v>
      </c>
      <c r="S428" s="81">
        <f>SUM(S431:S432)</f>
        <v>2899</v>
      </c>
      <c r="T428" s="81">
        <f>SUM(T431:T432)</f>
        <v>0</v>
      </c>
      <c r="U428" s="81">
        <f aca="true" t="shared" si="272" ref="U428:AA428">SUM(U429:U432)</f>
        <v>2899</v>
      </c>
      <c r="V428" s="81">
        <f t="shared" si="272"/>
        <v>40000</v>
      </c>
      <c r="W428" s="81">
        <f t="shared" si="272"/>
        <v>42899</v>
      </c>
      <c r="X428" s="81">
        <f t="shared" si="272"/>
        <v>0</v>
      </c>
      <c r="Y428" s="81">
        <f t="shared" si="272"/>
        <v>42899</v>
      </c>
      <c r="Z428" s="81">
        <f t="shared" si="272"/>
        <v>0</v>
      </c>
      <c r="AA428" s="81">
        <f t="shared" si="272"/>
        <v>42899</v>
      </c>
    </row>
    <row r="429" spans="1:27" s="24" customFormat="1" ht="45">
      <c r="A429" s="67"/>
      <c r="B429" s="82"/>
      <c r="C429" s="86">
        <v>2320</v>
      </c>
      <c r="D429" s="38" t="s">
        <v>149</v>
      </c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>
        <v>0</v>
      </c>
      <c r="V429" s="81">
        <v>12000</v>
      </c>
      <c r="W429" s="81">
        <f>SUM(U429:V429)</f>
        <v>12000</v>
      </c>
      <c r="X429" s="81"/>
      <c r="Y429" s="81">
        <f>SUM(W429:X429)</f>
        <v>12000</v>
      </c>
      <c r="Z429" s="81"/>
      <c r="AA429" s="81">
        <f>SUM(Y429:Z429)</f>
        <v>12000</v>
      </c>
    </row>
    <row r="430" spans="1:27" s="24" customFormat="1" ht="56.25">
      <c r="A430" s="67"/>
      <c r="B430" s="82"/>
      <c r="C430" s="86">
        <v>2830</v>
      </c>
      <c r="D430" s="13" t="s">
        <v>314</v>
      </c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>
        <v>0</v>
      </c>
      <c r="V430" s="81">
        <v>28000</v>
      </c>
      <c r="W430" s="81">
        <f>SUM(U430:V430)</f>
        <v>28000</v>
      </c>
      <c r="X430" s="81"/>
      <c r="Y430" s="81">
        <f>SUM(W430:X430)</f>
        <v>28000</v>
      </c>
      <c r="Z430" s="81"/>
      <c r="AA430" s="81">
        <f>SUM(Y430:Z430)</f>
        <v>28000</v>
      </c>
    </row>
    <row r="431" spans="1:27" s="24" customFormat="1" ht="21.75" customHeight="1">
      <c r="A431" s="67"/>
      <c r="B431" s="82"/>
      <c r="C431" s="86">
        <v>4210</v>
      </c>
      <c r="D431" s="38" t="s">
        <v>92</v>
      </c>
      <c r="E431" s="81">
        <f>1968+931</f>
        <v>2899</v>
      </c>
      <c r="F431" s="81"/>
      <c r="G431" s="81">
        <f>SUM(E431:F431)</f>
        <v>2899</v>
      </c>
      <c r="H431" s="81"/>
      <c r="I431" s="81">
        <f>SUM(G431:H431)</f>
        <v>2899</v>
      </c>
      <c r="J431" s="81"/>
      <c r="K431" s="81">
        <f>SUM(I431:J431)</f>
        <v>2899</v>
      </c>
      <c r="L431" s="81"/>
      <c r="M431" s="81">
        <f>SUM(K431:L431)</f>
        <v>2899</v>
      </c>
      <c r="N431" s="81"/>
      <c r="O431" s="81">
        <f>SUM(M431:N431)</f>
        <v>2899</v>
      </c>
      <c r="P431" s="81"/>
      <c r="Q431" s="81">
        <f>SUM(O431:P431)</f>
        <v>2899</v>
      </c>
      <c r="R431" s="81"/>
      <c r="S431" s="81">
        <f>SUM(Q431:R431)</f>
        <v>2899</v>
      </c>
      <c r="T431" s="81"/>
      <c r="U431" s="81">
        <f>SUM(S431:T431)</f>
        <v>2899</v>
      </c>
      <c r="V431" s="81"/>
      <c r="W431" s="81">
        <f>SUM(U431:V431)</f>
        <v>2899</v>
      </c>
      <c r="X431" s="81"/>
      <c r="Y431" s="81">
        <f>SUM(W431:X431)</f>
        <v>2899</v>
      </c>
      <c r="Z431" s="81"/>
      <c r="AA431" s="81">
        <f>SUM(Y431:Z431)</f>
        <v>2899</v>
      </c>
    </row>
    <row r="432" spans="1:27" s="24" customFormat="1" ht="22.5">
      <c r="A432" s="86"/>
      <c r="B432" s="87"/>
      <c r="C432" s="86">
        <v>6050</v>
      </c>
      <c r="D432" s="38" t="s">
        <v>73</v>
      </c>
      <c r="E432" s="81">
        <v>100000</v>
      </c>
      <c r="F432" s="81">
        <v>-100000</v>
      </c>
      <c r="G432" s="81">
        <f>SUM(E432:F432)</f>
        <v>0</v>
      </c>
      <c r="H432" s="81"/>
      <c r="I432" s="81">
        <f>SUM(G432:H432)</f>
        <v>0</v>
      </c>
      <c r="J432" s="81"/>
      <c r="K432" s="81">
        <f>SUM(I432:J432)</f>
        <v>0</v>
      </c>
      <c r="L432" s="81">
        <v>63850</v>
      </c>
      <c r="M432" s="81">
        <f>SUM(K432:L432)</f>
        <v>63850</v>
      </c>
      <c r="N432" s="81"/>
      <c r="O432" s="81">
        <f>SUM(M432:N432)</f>
        <v>63850</v>
      </c>
      <c r="P432" s="81"/>
      <c r="Q432" s="81">
        <f>SUM(O432:P432)</f>
        <v>63850</v>
      </c>
      <c r="R432" s="81">
        <v>-63850</v>
      </c>
      <c r="S432" s="81">
        <f>SUM(Q432:R432)</f>
        <v>0</v>
      </c>
      <c r="T432" s="81"/>
      <c r="U432" s="81">
        <f>SUM(S432:T432)</f>
        <v>0</v>
      </c>
      <c r="V432" s="81"/>
      <c r="W432" s="81">
        <f>SUM(U432:V432)</f>
        <v>0</v>
      </c>
      <c r="X432" s="81"/>
      <c r="Y432" s="81">
        <f>SUM(W432:X432)</f>
        <v>0</v>
      </c>
      <c r="Z432" s="81"/>
      <c r="AA432" s="81">
        <f>SUM(Y432:Z432)</f>
        <v>0</v>
      </c>
    </row>
    <row r="433" spans="1:27" s="24" customFormat="1" ht="21" customHeight="1">
      <c r="A433" s="86"/>
      <c r="B433" s="87">
        <v>85415</v>
      </c>
      <c r="C433" s="86"/>
      <c r="D433" s="38" t="s">
        <v>224</v>
      </c>
      <c r="E433" s="81">
        <f aca="true" t="shared" si="273" ref="E433:V433">SUM(E434)</f>
        <v>113000</v>
      </c>
      <c r="F433" s="81">
        <f t="shared" si="273"/>
        <v>0</v>
      </c>
      <c r="G433" s="81">
        <f t="shared" si="273"/>
        <v>113000</v>
      </c>
      <c r="H433" s="81">
        <f t="shared" si="273"/>
        <v>0</v>
      </c>
      <c r="I433" s="81">
        <f t="shared" si="273"/>
        <v>113000</v>
      </c>
      <c r="J433" s="81">
        <f t="shared" si="273"/>
        <v>0</v>
      </c>
      <c r="K433" s="81">
        <f t="shared" si="273"/>
        <v>113000</v>
      </c>
      <c r="L433" s="81">
        <f t="shared" si="273"/>
        <v>0</v>
      </c>
      <c r="M433" s="81">
        <f t="shared" si="273"/>
        <v>113000</v>
      </c>
      <c r="N433" s="81">
        <f t="shared" si="273"/>
        <v>279792</v>
      </c>
      <c r="O433" s="81">
        <f t="shared" si="273"/>
        <v>392792</v>
      </c>
      <c r="P433" s="81">
        <f t="shared" si="273"/>
        <v>0</v>
      </c>
      <c r="Q433" s="81">
        <f t="shared" si="273"/>
        <v>392792</v>
      </c>
      <c r="R433" s="81">
        <f t="shared" si="273"/>
        <v>0</v>
      </c>
      <c r="S433" s="81">
        <f t="shared" si="273"/>
        <v>392792</v>
      </c>
      <c r="T433" s="81">
        <f t="shared" si="273"/>
        <v>0</v>
      </c>
      <c r="U433" s="81">
        <f t="shared" si="273"/>
        <v>392792</v>
      </c>
      <c r="V433" s="81">
        <f t="shared" si="273"/>
        <v>0</v>
      </c>
      <c r="W433" s="81">
        <f>SUM(W434:W435)</f>
        <v>392792</v>
      </c>
      <c r="X433" s="81">
        <f>SUM(X434:X435)</f>
        <v>0</v>
      </c>
      <c r="Y433" s="81">
        <f>SUM(Y434:Y435)</f>
        <v>392792</v>
      </c>
      <c r="Z433" s="81">
        <f>SUM(Z434:Z435)</f>
        <v>60600</v>
      </c>
      <c r="AA433" s="81">
        <f>SUM(AA434:AA435)</f>
        <v>453392</v>
      </c>
    </row>
    <row r="434" spans="1:27" s="24" customFormat="1" ht="21" customHeight="1">
      <c r="A434" s="86"/>
      <c r="B434" s="87"/>
      <c r="C434" s="86">
        <v>3240</v>
      </c>
      <c r="D434" s="38" t="s">
        <v>225</v>
      </c>
      <c r="E434" s="81">
        <v>113000</v>
      </c>
      <c r="F434" s="81"/>
      <c r="G434" s="81">
        <f>SUM(E434:F434)</f>
        <v>113000</v>
      </c>
      <c r="H434" s="81"/>
      <c r="I434" s="81">
        <f>SUM(G434:H434)</f>
        <v>113000</v>
      </c>
      <c r="J434" s="81"/>
      <c r="K434" s="81">
        <f>SUM(I434:J434)</f>
        <v>113000</v>
      </c>
      <c r="L434" s="81"/>
      <c r="M434" s="81">
        <f>SUM(K434:L434)</f>
        <v>113000</v>
      </c>
      <c r="N434" s="81">
        <v>279792</v>
      </c>
      <c r="O434" s="81">
        <f>SUM(M434:N434)</f>
        <v>392792</v>
      </c>
      <c r="P434" s="81"/>
      <c r="Q434" s="81">
        <f>SUM(O434:P434)</f>
        <v>392792</v>
      </c>
      <c r="R434" s="81"/>
      <c r="S434" s="81">
        <f>SUM(Q434:R434)</f>
        <v>392792</v>
      </c>
      <c r="T434" s="81"/>
      <c r="U434" s="81">
        <f>SUM(S434:T434)</f>
        <v>392792</v>
      </c>
      <c r="V434" s="81"/>
      <c r="W434" s="81">
        <f>SUM(U434:V434)</f>
        <v>392792</v>
      </c>
      <c r="X434" s="81"/>
      <c r="Y434" s="81">
        <f>SUM(W434:X434)</f>
        <v>392792</v>
      </c>
      <c r="Z434" s="81"/>
      <c r="AA434" s="81">
        <f>SUM(Y434:Z434)</f>
        <v>392792</v>
      </c>
    </row>
    <row r="435" spans="1:27" s="24" customFormat="1" ht="21" customHeight="1">
      <c r="A435" s="86"/>
      <c r="B435" s="87"/>
      <c r="C435" s="86">
        <v>3260</v>
      </c>
      <c r="D435" s="38" t="s">
        <v>519</v>
      </c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>
        <v>0</v>
      </c>
      <c r="X435" s="81"/>
      <c r="Y435" s="81">
        <f>SUM(W435:X435)</f>
        <v>0</v>
      </c>
      <c r="Z435" s="81">
        <v>60600</v>
      </c>
      <c r="AA435" s="81">
        <f>SUM(Y435:Z435)</f>
        <v>60600</v>
      </c>
    </row>
    <row r="436" spans="1:27" s="24" customFormat="1" ht="21" customHeight="1">
      <c r="A436" s="86"/>
      <c r="B436" s="87">
        <v>85446</v>
      </c>
      <c r="C436" s="86"/>
      <c r="D436" s="38" t="s">
        <v>146</v>
      </c>
      <c r="E436" s="81">
        <f aca="true" t="shared" si="274" ref="E436:J436">SUM(E437:E437)</f>
        <v>4445</v>
      </c>
      <c r="F436" s="81">
        <f t="shared" si="274"/>
        <v>0</v>
      </c>
      <c r="G436" s="81">
        <f t="shared" si="274"/>
        <v>4445</v>
      </c>
      <c r="H436" s="81">
        <f t="shared" si="274"/>
        <v>0</v>
      </c>
      <c r="I436" s="81">
        <f t="shared" si="274"/>
        <v>4445</v>
      </c>
      <c r="J436" s="81">
        <f t="shared" si="274"/>
        <v>0</v>
      </c>
      <c r="K436" s="81">
        <f aca="true" t="shared" si="275" ref="K436:W436">SUM(K437:K439)</f>
        <v>4445</v>
      </c>
      <c r="L436" s="81">
        <f t="shared" si="275"/>
        <v>0</v>
      </c>
      <c r="M436" s="81">
        <f t="shared" si="275"/>
        <v>4445</v>
      </c>
      <c r="N436" s="81">
        <f t="shared" si="275"/>
        <v>0</v>
      </c>
      <c r="O436" s="81">
        <f t="shared" si="275"/>
        <v>4445</v>
      </c>
      <c r="P436" s="81">
        <f t="shared" si="275"/>
        <v>0</v>
      </c>
      <c r="Q436" s="81">
        <f t="shared" si="275"/>
        <v>4445</v>
      </c>
      <c r="R436" s="81">
        <f t="shared" si="275"/>
        <v>-821</v>
      </c>
      <c r="S436" s="81">
        <f t="shared" si="275"/>
        <v>3624</v>
      </c>
      <c r="T436" s="81">
        <f t="shared" si="275"/>
        <v>0</v>
      </c>
      <c r="U436" s="81">
        <f t="shared" si="275"/>
        <v>3624</v>
      </c>
      <c r="V436" s="81">
        <f t="shared" si="275"/>
        <v>0</v>
      </c>
      <c r="W436" s="81">
        <f t="shared" si="275"/>
        <v>3624</v>
      </c>
      <c r="X436" s="81">
        <f>SUM(X437:X439)</f>
        <v>0</v>
      </c>
      <c r="Y436" s="81">
        <f>SUM(Y437:Y439)</f>
        <v>3624</v>
      </c>
      <c r="Z436" s="81">
        <f>SUM(Z437:Z439)</f>
        <v>0</v>
      </c>
      <c r="AA436" s="81">
        <f>SUM(AA437:AA439)</f>
        <v>3624</v>
      </c>
    </row>
    <row r="437" spans="1:27" s="24" customFormat="1" ht="21" customHeight="1">
      <c r="A437" s="86"/>
      <c r="B437" s="87"/>
      <c r="C437" s="86">
        <v>4300</v>
      </c>
      <c r="D437" s="38" t="s">
        <v>79</v>
      </c>
      <c r="E437" s="81">
        <v>4445</v>
      </c>
      <c r="F437" s="81"/>
      <c r="G437" s="81">
        <f>SUM(E437:F437)</f>
        <v>4445</v>
      </c>
      <c r="H437" s="81"/>
      <c r="I437" s="81">
        <f>SUM(G437:H437)</f>
        <v>4445</v>
      </c>
      <c r="J437" s="81"/>
      <c r="K437" s="81">
        <f>SUM(I437:J437)</f>
        <v>4445</v>
      </c>
      <c r="L437" s="81">
        <v>-2662</v>
      </c>
      <c r="M437" s="81">
        <f>SUM(K437:L437)</f>
        <v>1783</v>
      </c>
      <c r="N437" s="81">
        <v>-812</v>
      </c>
      <c r="O437" s="81">
        <f>SUM(M437:N437)</f>
        <v>971</v>
      </c>
      <c r="P437" s="81"/>
      <c r="Q437" s="81">
        <f>SUM(O437:P437)</f>
        <v>971</v>
      </c>
      <c r="R437" s="81">
        <v>-821</v>
      </c>
      <c r="S437" s="81">
        <f>SUM(Q437:R437)</f>
        <v>150</v>
      </c>
      <c r="T437" s="81"/>
      <c r="U437" s="81">
        <f>SUM(S437:T437)</f>
        <v>150</v>
      </c>
      <c r="V437" s="81"/>
      <c r="W437" s="81">
        <f>SUM(U437:V437)</f>
        <v>150</v>
      </c>
      <c r="X437" s="81"/>
      <c r="Y437" s="81">
        <f>SUM(W437:X437)</f>
        <v>150</v>
      </c>
      <c r="Z437" s="81"/>
      <c r="AA437" s="81">
        <f>SUM(Y437:Z437)</f>
        <v>150</v>
      </c>
    </row>
    <row r="438" spans="1:27" s="24" customFormat="1" ht="21" customHeight="1">
      <c r="A438" s="86"/>
      <c r="B438" s="87"/>
      <c r="C438" s="86">
        <v>4410</v>
      </c>
      <c r="D438" s="38" t="s">
        <v>90</v>
      </c>
      <c r="E438" s="81"/>
      <c r="F438" s="81"/>
      <c r="G438" s="81"/>
      <c r="H438" s="81"/>
      <c r="I438" s="81"/>
      <c r="J438" s="81"/>
      <c r="K438" s="81">
        <v>0</v>
      </c>
      <c r="L438" s="81">
        <v>1012</v>
      </c>
      <c r="M438" s="81">
        <f>SUM(K438:L438)</f>
        <v>1012</v>
      </c>
      <c r="N438" s="81"/>
      <c r="O438" s="81">
        <f>SUM(M438:N438)</f>
        <v>1012</v>
      </c>
      <c r="P438" s="81"/>
      <c r="Q438" s="81">
        <f>SUM(O438:P438)</f>
        <v>1012</v>
      </c>
      <c r="R438" s="81"/>
      <c r="S438" s="81">
        <f>SUM(Q438:R438)</f>
        <v>1012</v>
      </c>
      <c r="T438" s="81"/>
      <c r="U438" s="81">
        <f>SUM(S438:T438)</f>
        <v>1012</v>
      </c>
      <c r="V438" s="81"/>
      <c r="W438" s="81">
        <f>SUM(U438:V438)</f>
        <v>1012</v>
      </c>
      <c r="X438" s="81"/>
      <c r="Y438" s="81">
        <f>SUM(W438:X438)</f>
        <v>1012</v>
      </c>
      <c r="Z438" s="81"/>
      <c r="AA438" s="81">
        <f>SUM(Y438:Z438)</f>
        <v>1012</v>
      </c>
    </row>
    <row r="439" spans="1:27" s="24" customFormat="1" ht="22.5">
      <c r="A439" s="86"/>
      <c r="B439" s="87"/>
      <c r="C439" s="86">
        <v>4700</v>
      </c>
      <c r="D439" s="38" t="s">
        <v>249</v>
      </c>
      <c r="E439" s="81"/>
      <c r="F439" s="81"/>
      <c r="G439" s="81"/>
      <c r="H439" s="81"/>
      <c r="I439" s="81"/>
      <c r="J439" s="81"/>
      <c r="K439" s="81">
        <v>0</v>
      </c>
      <c r="L439" s="81">
        <v>1650</v>
      </c>
      <c r="M439" s="81">
        <f>SUM(K439:L439)</f>
        <v>1650</v>
      </c>
      <c r="N439" s="81">
        <v>812</v>
      </c>
      <c r="O439" s="81">
        <f>SUM(M439:N439)</f>
        <v>2462</v>
      </c>
      <c r="P439" s="81"/>
      <c r="Q439" s="81">
        <f>SUM(O439:P439)</f>
        <v>2462</v>
      </c>
      <c r="R439" s="81"/>
      <c r="S439" s="81">
        <f>SUM(Q439:R439)</f>
        <v>2462</v>
      </c>
      <c r="T439" s="81"/>
      <c r="U439" s="81">
        <f>SUM(S439:T439)</f>
        <v>2462</v>
      </c>
      <c r="V439" s="81"/>
      <c r="W439" s="81">
        <f>SUM(U439:V439)</f>
        <v>2462</v>
      </c>
      <c r="X439" s="81"/>
      <c r="Y439" s="81">
        <f>SUM(W439:X439)</f>
        <v>2462</v>
      </c>
      <c r="Z439" s="81"/>
      <c r="AA439" s="81">
        <f>SUM(Y439:Z439)</f>
        <v>2462</v>
      </c>
    </row>
    <row r="440" spans="1:27" s="24" customFormat="1" ht="21" customHeight="1">
      <c r="A440" s="86"/>
      <c r="B440" s="87">
        <v>85495</v>
      </c>
      <c r="C440" s="86"/>
      <c r="D440" s="38" t="s">
        <v>6</v>
      </c>
      <c r="E440" s="81">
        <f aca="true" t="shared" si="276" ref="E440:AA440">SUM(E441:E441)</f>
        <v>236245</v>
      </c>
      <c r="F440" s="81">
        <f t="shared" si="276"/>
        <v>0</v>
      </c>
      <c r="G440" s="81">
        <f t="shared" si="276"/>
        <v>236245</v>
      </c>
      <c r="H440" s="81">
        <f t="shared" si="276"/>
        <v>0</v>
      </c>
      <c r="I440" s="81">
        <f t="shared" si="276"/>
        <v>236245</v>
      </c>
      <c r="J440" s="81">
        <f t="shared" si="276"/>
        <v>0</v>
      </c>
      <c r="K440" s="81">
        <f t="shared" si="276"/>
        <v>236245</v>
      </c>
      <c r="L440" s="81">
        <f t="shared" si="276"/>
        <v>0</v>
      </c>
      <c r="M440" s="81">
        <f t="shared" si="276"/>
        <v>236245</v>
      </c>
      <c r="N440" s="81">
        <f t="shared" si="276"/>
        <v>0</v>
      </c>
      <c r="O440" s="81">
        <f t="shared" si="276"/>
        <v>236245</v>
      </c>
      <c r="P440" s="81">
        <f t="shared" si="276"/>
        <v>0</v>
      </c>
      <c r="Q440" s="81">
        <f t="shared" si="276"/>
        <v>236245</v>
      </c>
      <c r="R440" s="81">
        <f t="shared" si="276"/>
        <v>0</v>
      </c>
      <c r="S440" s="81">
        <f t="shared" si="276"/>
        <v>236245</v>
      </c>
      <c r="T440" s="81">
        <f t="shared" si="276"/>
        <v>0</v>
      </c>
      <c r="U440" s="81">
        <f t="shared" si="276"/>
        <v>236245</v>
      </c>
      <c r="V440" s="81">
        <f t="shared" si="276"/>
        <v>0</v>
      </c>
      <c r="W440" s="81">
        <f t="shared" si="276"/>
        <v>236245</v>
      </c>
      <c r="X440" s="81">
        <f t="shared" si="276"/>
        <v>0</v>
      </c>
      <c r="Y440" s="81">
        <f t="shared" si="276"/>
        <v>236245</v>
      </c>
      <c r="Z440" s="81">
        <f t="shared" si="276"/>
        <v>0</v>
      </c>
      <c r="AA440" s="81">
        <f t="shared" si="276"/>
        <v>236245</v>
      </c>
    </row>
    <row r="441" spans="1:27" s="24" customFormat="1" ht="45">
      <c r="A441" s="86"/>
      <c r="B441" s="87"/>
      <c r="C441" s="86">
        <v>2320</v>
      </c>
      <c r="D441" s="38" t="s">
        <v>149</v>
      </c>
      <c r="E441" s="81">
        <f>199150+37095</f>
        <v>236245</v>
      </c>
      <c r="F441" s="81"/>
      <c r="G441" s="81">
        <f>SUM(E441:F441)</f>
        <v>236245</v>
      </c>
      <c r="H441" s="81"/>
      <c r="I441" s="81">
        <f>SUM(G441:H441)</f>
        <v>236245</v>
      </c>
      <c r="J441" s="81"/>
      <c r="K441" s="81">
        <f>SUM(I441:J441)</f>
        <v>236245</v>
      </c>
      <c r="L441" s="81"/>
      <c r="M441" s="81">
        <f>SUM(K441:L441)</f>
        <v>236245</v>
      </c>
      <c r="N441" s="81"/>
      <c r="O441" s="81">
        <f>SUM(M441:N441)</f>
        <v>236245</v>
      </c>
      <c r="P441" s="81"/>
      <c r="Q441" s="81">
        <f>SUM(O441:P441)</f>
        <v>236245</v>
      </c>
      <c r="R441" s="81"/>
      <c r="S441" s="81">
        <f>SUM(Q441:R441)</f>
        <v>236245</v>
      </c>
      <c r="T441" s="81"/>
      <c r="U441" s="81">
        <f>SUM(S441:T441)</f>
        <v>236245</v>
      </c>
      <c r="V441" s="81"/>
      <c r="W441" s="81">
        <f>SUM(U441:V441)</f>
        <v>236245</v>
      </c>
      <c r="X441" s="81"/>
      <c r="Y441" s="81">
        <f>SUM(W441:X441)</f>
        <v>236245</v>
      </c>
      <c r="Z441" s="81"/>
      <c r="AA441" s="81">
        <f>SUM(Y441:Z441)</f>
        <v>236245</v>
      </c>
    </row>
    <row r="442" spans="1:27" s="7" customFormat="1" ht="24">
      <c r="A442" s="33" t="s">
        <v>127</v>
      </c>
      <c r="B442" s="34"/>
      <c r="C442" s="35"/>
      <c r="D442" s="36" t="s">
        <v>61</v>
      </c>
      <c r="E442" s="37">
        <f aca="true" t="shared" si="277" ref="E442:J442">SUM(E443,E448,E450,E457,E459,E467,)</f>
        <v>2762212</v>
      </c>
      <c r="F442" s="37">
        <f t="shared" si="277"/>
        <v>535000</v>
      </c>
      <c r="G442" s="37">
        <f t="shared" si="277"/>
        <v>3297212</v>
      </c>
      <c r="H442" s="37">
        <f t="shared" si="277"/>
        <v>0</v>
      </c>
      <c r="I442" s="37">
        <f t="shared" si="277"/>
        <v>3297212</v>
      </c>
      <c r="J442" s="37">
        <f t="shared" si="277"/>
        <v>0</v>
      </c>
      <c r="K442" s="37">
        <f aca="true" t="shared" si="278" ref="K442:W442">SUM(K443,K448,K450,K457,K459,K467,K464,K455)</f>
        <v>3297212</v>
      </c>
      <c r="L442" s="37">
        <f t="shared" si="278"/>
        <v>-18933</v>
      </c>
      <c r="M442" s="37">
        <f t="shared" si="278"/>
        <v>3278279</v>
      </c>
      <c r="N442" s="37">
        <f t="shared" si="278"/>
        <v>0</v>
      </c>
      <c r="O442" s="37">
        <f t="shared" si="278"/>
        <v>3278279</v>
      </c>
      <c r="P442" s="37">
        <f t="shared" si="278"/>
        <v>0</v>
      </c>
      <c r="Q442" s="37">
        <f t="shared" si="278"/>
        <v>3278279</v>
      </c>
      <c r="R442" s="37">
        <f t="shared" si="278"/>
        <v>0</v>
      </c>
      <c r="S442" s="37">
        <f t="shared" si="278"/>
        <v>3278279</v>
      </c>
      <c r="T442" s="37">
        <f t="shared" si="278"/>
        <v>0</v>
      </c>
      <c r="U442" s="37">
        <f t="shared" si="278"/>
        <v>3278279</v>
      </c>
      <c r="V442" s="37">
        <f t="shared" si="278"/>
        <v>-39600</v>
      </c>
      <c r="W442" s="37">
        <f t="shared" si="278"/>
        <v>3238679</v>
      </c>
      <c r="X442" s="37">
        <f>SUM(X443,X448,X450,X457,X459,X467,X464,X455)</f>
        <v>0</v>
      </c>
      <c r="Y442" s="37">
        <f>SUM(Y443,Y448,Y450,Y457,Y459,Y467,Y464,Y455)</f>
        <v>3238679</v>
      </c>
      <c r="Z442" s="37">
        <f>SUM(Z443,Z448,Z450,Z457,Z459,Z467,Z464,Z455)</f>
        <v>0</v>
      </c>
      <c r="AA442" s="37">
        <f>SUM(AA443,AA448,AA450,AA457,AA459,AA467,AA464,AA455)</f>
        <v>3238679</v>
      </c>
    </row>
    <row r="443" spans="1:27" s="24" customFormat="1" ht="21" customHeight="1">
      <c r="A443" s="67"/>
      <c r="B443" s="82" t="s">
        <v>128</v>
      </c>
      <c r="C443" s="86"/>
      <c r="D443" s="38" t="s">
        <v>62</v>
      </c>
      <c r="E443" s="81">
        <f aca="true" t="shared" si="279" ref="E443:Q443">SUM(E445:E447)</f>
        <v>300000</v>
      </c>
      <c r="F443" s="81">
        <f t="shared" si="279"/>
        <v>720000</v>
      </c>
      <c r="G443" s="81">
        <f t="shared" si="279"/>
        <v>1020000</v>
      </c>
      <c r="H443" s="81">
        <f t="shared" si="279"/>
        <v>0</v>
      </c>
      <c r="I443" s="81">
        <f t="shared" si="279"/>
        <v>1020000</v>
      </c>
      <c r="J443" s="81">
        <f t="shared" si="279"/>
        <v>0</v>
      </c>
      <c r="K443" s="81">
        <f t="shared" si="279"/>
        <v>1020000</v>
      </c>
      <c r="L443" s="81">
        <f t="shared" si="279"/>
        <v>-405000</v>
      </c>
      <c r="M443" s="81">
        <f t="shared" si="279"/>
        <v>615000</v>
      </c>
      <c r="N443" s="81">
        <f t="shared" si="279"/>
        <v>0</v>
      </c>
      <c r="O443" s="81">
        <f t="shared" si="279"/>
        <v>615000</v>
      </c>
      <c r="P443" s="81">
        <f t="shared" si="279"/>
        <v>0</v>
      </c>
      <c r="Q443" s="81">
        <f t="shared" si="279"/>
        <v>615000</v>
      </c>
      <c r="R443" s="81">
        <f>SUM(R445:R447)</f>
        <v>0</v>
      </c>
      <c r="S443" s="81">
        <f>SUM(S445:S447)</f>
        <v>615000</v>
      </c>
      <c r="T443" s="81">
        <f>SUM(T445:T447)</f>
        <v>0</v>
      </c>
      <c r="U443" s="81">
        <f aca="true" t="shared" si="280" ref="U443:AA443">SUM(U444:U447)</f>
        <v>615000</v>
      </c>
      <c r="V443" s="81">
        <f t="shared" si="280"/>
        <v>-77100</v>
      </c>
      <c r="W443" s="81">
        <f t="shared" si="280"/>
        <v>537900</v>
      </c>
      <c r="X443" s="81">
        <f t="shared" si="280"/>
        <v>0</v>
      </c>
      <c r="Y443" s="81">
        <f t="shared" si="280"/>
        <v>537900</v>
      </c>
      <c r="Z443" s="81">
        <f t="shared" si="280"/>
        <v>0</v>
      </c>
      <c r="AA443" s="81">
        <f t="shared" si="280"/>
        <v>537900</v>
      </c>
    </row>
    <row r="444" spans="1:27" s="24" customFormat="1" ht="21" customHeight="1">
      <c r="A444" s="67"/>
      <c r="B444" s="82"/>
      <c r="C444" s="86">
        <v>4270</v>
      </c>
      <c r="D444" s="38" t="s">
        <v>78</v>
      </c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>
        <v>0</v>
      </c>
      <c r="V444" s="81">
        <v>122000</v>
      </c>
      <c r="W444" s="81">
        <f>SUM(U444:V444)</f>
        <v>122000</v>
      </c>
      <c r="X444" s="81"/>
      <c r="Y444" s="81">
        <f>SUM(W444:X444)</f>
        <v>122000</v>
      </c>
      <c r="Z444" s="81"/>
      <c r="AA444" s="81">
        <f>SUM(Y444:Z444)</f>
        <v>122000</v>
      </c>
    </row>
    <row r="445" spans="1:27" s="24" customFormat="1" ht="21" customHeight="1">
      <c r="A445" s="67"/>
      <c r="B445" s="82"/>
      <c r="C445" s="67">
        <v>4300</v>
      </c>
      <c r="D445" s="38" t="s">
        <v>79</v>
      </c>
      <c r="E445" s="81">
        <v>160000</v>
      </c>
      <c r="F445" s="81"/>
      <c r="G445" s="81">
        <f>SUM(E445:F445)</f>
        <v>160000</v>
      </c>
      <c r="H445" s="81"/>
      <c r="I445" s="81">
        <f>SUM(G445:H445)</f>
        <v>160000</v>
      </c>
      <c r="J445" s="81"/>
      <c r="K445" s="81">
        <f>SUM(I445:J445)</f>
        <v>160000</v>
      </c>
      <c r="L445" s="81"/>
      <c r="M445" s="81">
        <f>SUM(K445:L445)</f>
        <v>160000</v>
      </c>
      <c r="N445" s="81"/>
      <c r="O445" s="81">
        <f>SUM(M445:N445)</f>
        <v>160000</v>
      </c>
      <c r="P445" s="81"/>
      <c r="Q445" s="81">
        <f>SUM(O445:P445)</f>
        <v>160000</v>
      </c>
      <c r="R445" s="81"/>
      <c r="S445" s="81">
        <f>SUM(Q445:R445)</f>
        <v>160000</v>
      </c>
      <c r="T445" s="81"/>
      <c r="U445" s="81">
        <f>SUM(S445:T445)</f>
        <v>160000</v>
      </c>
      <c r="V445" s="81"/>
      <c r="W445" s="81">
        <f>SUM(U445:V445)</f>
        <v>160000</v>
      </c>
      <c r="X445" s="81"/>
      <c r="Y445" s="81">
        <f>SUM(W445:X445)</f>
        <v>160000</v>
      </c>
      <c r="Z445" s="81"/>
      <c r="AA445" s="81">
        <f>SUM(Y445:Z445)</f>
        <v>160000</v>
      </c>
    </row>
    <row r="446" spans="1:27" s="24" customFormat="1" ht="67.5">
      <c r="A446" s="67"/>
      <c r="B446" s="82"/>
      <c r="C446" s="67">
        <v>6010</v>
      </c>
      <c r="D446" s="13" t="s">
        <v>263</v>
      </c>
      <c r="E446" s="81">
        <v>140000</v>
      </c>
      <c r="F446" s="81"/>
      <c r="G446" s="81">
        <f>SUM(E446:F446)</f>
        <v>140000</v>
      </c>
      <c r="H446" s="81"/>
      <c r="I446" s="81">
        <f>SUM(G446:H446)</f>
        <v>140000</v>
      </c>
      <c r="J446" s="81"/>
      <c r="K446" s="81">
        <f>SUM(I446:J446)</f>
        <v>140000</v>
      </c>
      <c r="L446" s="81"/>
      <c r="M446" s="81">
        <f>SUM(K446:L446)</f>
        <v>140000</v>
      </c>
      <c r="N446" s="81"/>
      <c r="O446" s="81">
        <f>SUM(M446:N446)</f>
        <v>140000</v>
      </c>
      <c r="P446" s="81"/>
      <c r="Q446" s="81">
        <f>SUM(O446:P446)</f>
        <v>140000</v>
      </c>
      <c r="R446" s="81"/>
      <c r="S446" s="81">
        <f>SUM(Q446:R446)</f>
        <v>140000</v>
      </c>
      <c r="T446" s="81"/>
      <c r="U446" s="81">
        <f>SUM(S446:T446)</f>
        <v>140000</v>
      </c>
      <c r="V446" s="81">
        <v>-140000</v>
      </c>
      <c r="W446" s="81">
        <f>SUM(U446:V446)</f>
        <v>0</v>
      </c>
      <c r="X446" s="81"/>
      <c r="Y446" s="81">
        <f>SUM(W446:X446)</f>
        <v>0</v>
      </c>
      <c r="Z446" s="81"/>
      <c r="AA446" s="81">
        <f>SUM(Y446:Z446)</f>
        <v>0</v>
      </c>
    </row>
    <row r="447" spans="1:27" s="24" customFormat="1" ht="21.75" customHeight="1">
      <c r="A447" s="67"/>
      <c r="B447" s="82"/>
      <c r="C447" s="67">
        <v>6050</v>
      </c>
      <c r="D447" s="38" t="s">
        <v>73</v>
      </c>
      <c r="E447" s="81">
        <v>0</v>
      </c>
      <c r="F447" s="81">
        <f>400000+65000+5000+250000</f>
        <v>720000</v>
      </c>
      <c r="G447" s="81">
        <f>SUM(E447:F447)</f>
        <v>720000</v>
      </c>
      <c r="H447" s="81"/>
      <c r="I447" s="81">
        <f>SUM(G447:H447)</f>
        <v>720000</v>
      </c>
      <c r="J447" s="81"/>
      <c r="K447" s="81">
        <f>SUM(I447:J447)</f>
        <v>720000</v>
      </c>
      <c r="L447" s="81">
        <f>-88000-317000</f>
        <v>-405000</v>
      </c>
      <c r="M447" s="81">
        <f>SUM(K447:L447)</f>
        <v>315000</v>
      </c>
      <c r="N447" s="81"/>
      <c r="O447" s="81">
        <f>SUM(M447:N447)</f>
        <v>315000</v>
      </c>
      <c r="P447" s="81"/>
      <c r="Q447" s="81">
        <f>SUM(O447:P447)</f>
        <v>315000</v>
      </c>
      <c r="R447" s="81"/>
      <c r="S447" s="81">
        <f>SUM(Q447:R447)</f>
        <v>315000</v>
      </c>
      <c r="T447" s="81"/>
      <c r="U447" s="81">
        <f>SUM(S447:T447)</f>
        <v>315000</v>
      </c>
      <c r="V447" s="81">
        <v>-59100</v>
      </c>
      <c r="W447" s="81">
        <f>SUM(U447:V447)</f>
        <v>255900</v>
      </c>
      <c r="X447" s="81"/>
      <c r="Y447" s="81">
        <f>SUM(W447:X447)</f>
        <v>255900</v>
      </c>
      <c r="Z447" s="81"/>
      <c r="AA447" s="81">
        <f>SUM(Y447:Z447)</f>
        <v>255900</v>
      </c>
    </row>
    <row r="448" spans="1:27" s="24" customFormat="1" ht="21" customHeight="1">
      <c r="A448" s="67"/>
      <c r="B448" s="82" t="s">
        <v>129</v>
      </c>
      <c r="C448" s="86"/>
      <c r="D448" s="38" t="s">
        <v>130</v>
      </c>
      <c r="E448" s="81">
        <f aca="true" t="shared" si="281" ref="E448:AA448">SUM(E449:E449)</f>
        <v>787540</v>
      </c>
      <c r="F448" s="81">
        <f t="shared" si="281"/>
        <v>0</v>
      </c>
      <c r="G448" s="81">
        <f t="shared" si="281"/>
        <v>787540</v>
      </c>
      <c r="H448" s="81">
        <f t="shared" si="281"/>
        <v>0</v>
      </c>
      <c r="I448" s="81">
        <f t="shared" si="281"/>
        <v>787540</v>
      </c>
      <c r="J448" s="81">
        <f t="shared" si="281"/>
        <v>0</v>
      </c>
      <c r="K448" s="81">
        <f t="shared" si="281"/>
        <v>787540</v>
      </c>
      <c r="L448" s="81">
        <f t="shared" si="281"/>
        <v>59000</v>
      </c>
      <c r="M448" s="81">
        <f t="shared" si="281"/>
        <v>846540</v>
      </c>
      <c r="N448" s="81">
        <f t="shared" si="281"/>
        <v>0</v>
      </c>
      <c r="O448" s="81">
        <f t="shared" si="281"/>
        <v>846540</v>
      </c>
      <c r="P448" s="81">
        <f t="shared" si="281"/>
        <v>0</v>
      </c>
      <c r="Q448" s="81">
        <f t="shared" si="281"/>
        <v>846540</v>
      </c>
      <c r="R448" s="81">
        <f t="shared" si="281"/>
        <v>0</v>
      </c>
      <c r="S448" s="81">
        <f t="shared" si="281"/>
        <v>846540</v>
      </c>
      <c r="T448" s="81">
        <f t="shared" si="281"/>
        <v>0</v>
      </c>
      <c r="U448" s="81">
        <f t="shared" si="281"/>
        <v>846540</v>
      </c>
      <c r="V448" s="81">
        <f t="shared" si="281"/>
        <v>0</v>
      </c>
      <c r="W448" s="81">
        <f t="shared" si="281"/>
        <v>846540</v>
      </c>
      <c r="X448" s="81">
        <f t="shared" si="281"/>
        <v>0</v>
      </c>
      <c r="Y448" s="81">
        <f t="shared" si="281"/>
        <v>846540</v>
      </c>
      <c r="Z448" s="81">
        <f t="shared" si="281"/>
        <v>0</v>
      </c>
      <c r="AA448" s="81">
        <f t="shared" si="281"/>
        <v>846540</v>
      </c>
    </row>
    <row r="449" spans="1:27" s="24" customFormat="1" ht="21" customHeight="1">
      <c r="A449" s="67"/>
      <c r="B449" s="82"/>
      <c r="C449" s="86">
        <v>4300</v>
      </c>
      <c r="D449" s="90" t="s">
        <v>79</v>
      </c>
      <c r="E449" s="81">
        <f>785470+900+1170</f>
        <v>787540</v>
      </c>
      <c r="F449" s="81"/>
      <c r="G449" s="81">
        <f>SUM(E449:F449)</f>
        <v>787540</v>
      </c>
      <c r="H449" s="81"/>
      <c r="I449" s="81">
        <f>SUM(G449:H449)</f>
        <v>787540</v>
      </c>
      <c r="J449" s="81"/>
      <c r="K449" s="81">
        <f>SUM(I449:J449)</f>
        <v>787540</v>
      </c>
      <c r="L449" s="81">
        <v>59000</v>
      </c>
      <c r="M449" s="81">
        <f>SUM(K449:L449)</f>
        <v>846540</v>
      </c>
      <c r="N449" s="81"/>
      <c r="O449" s="81">
        <f>SUM(M449:N449)</f>
        <v>846540</v>
      </c>
      <c r="P449" s="81"/>
      <c r="Q449" s="81">
        <f>SUM(O449:P449)</f>
        <v>846540</v>
      </c>
      <c r="R449" s="81"/>
      <c r="S449" s="81">
        <f>SUM(Q449:R449)</f>
        <v>846540</v>
      </c>
      <c r="T449" s="81"/>
      <c r="U449" s="81">
        <f>SUM(S449:T449)</f>
        <v>846540</v>
      </c>
      <c r="V449" s="81"/>
      <c r="W449" s="81">
        <f>SUM(U449:V449)</f>
        <v>846540</v>
      </c>
      <c r="X449" s="81"/>
      <c r="Y449" s="81">
        <f>SUM(W449:X449)</f>
        <v>846540</v>
      </c>
      <c r="Z449" s="81"/>
      <c r="AA449" s="81">
        <f>SUM(Y449:Z449)</f>
        <v>846540</v>
      </c>
    </row>
    <row r="450" spans="1:27" s="24" customFormat="1" ht="21" customHeight="1">
      <c r="A450" s="67"/>
      <c r="B450" s="82" t="s">
        <v>131</v>
      </c>
      <c r="C450" s="86"/>
      <c r="D450" s="38" t="s">
        <v>151</v>
      </c>
      <c r="E450" s="81">
        <f aca="true" t="shared" si="282" ref="E450:W450">SUM(E451:E454)</f>
        <v>284872</v>
      </c>
      <c r="F450" s="81">
        <f t="shared" si="282"/>
        <v>0</v>
      </c>
      <c r="G450" s="81">
        <f t="shared" si="282"/>
        <v>284872</v>
      </c>
      <c r="H450" s="81">
        <f t="shared" si="282"/>
        <v>0</v>
      </c>
      <c r="I450" s="81">
        <f t="shared" si="282"/>
        <v>284872</v>
      </c>
      <c r="J450" s="81">
        <f t="shared" si="282"/>
        <v>0</v>
      </c>
      <c r="K450" s="81">
        <f t="shared" si="282"/>
        <v>284872</v>
      </c>
      <c r="L450" s="81">
        <f t="shared" si="282"/>
        <v>-1100</v>
      </c>
      <c r="M450" s="81">
        <f t="shared" si="282"/>
        <v>283772</v>
      </c>
      <c r="N450" s="81">
        <f t="shared" si="282"/>
        <v>0</v>
      </c>
      <c r="O450" s="81">
        <f t="shared" si="282"/>
        <v>283772</v>
      </c>
      <c r="P450" s="81">
        <f t="shared" si="282"/>
        <v>0</v>
      </c>
      <c r="Q450" s="81">
        <f t="shared" si="282"/>
        <v>283772</v>
      </c>
      <c r="R450" s="81">
        <f t="shared" si="282"/>
        <v>0</v>
      </c>
      <c r="S450" s="81">
        <f t="shared" si="282"/>
        <v>283772</v>
      </c>
      <c r="T450" s="81">
        <f t="shared" si="282"/>
        <v>0</v>
      </c>
      <c r="U450" s="81">
        <f t="shared" si="282"/>
        <v>283772</v>
      </c>
      <c r="V450" s="81">
        <f t="shared" si="282"/>
        <v>1200</v>
      </c>
      <c r="W450" s="81">
        <f t="shared" si="282"/>
        <v>284972</v>
      </c>
      <c r="X450" s="81">
        <f>SUM(X451:X454)</f>
        <v>0</v>
      </c>
      <c r="Y450" s="81">
        <f>SUM(Y451:Y454)</f>
        <v>284972</v>
      </c>
      <c r="Z450" s="81">
        <f>SUM(Z451:Z454)</f>
        <v>0</v>
      </c>
      <c r="AA450" s="81">
        <f>SUM(AA451:AA454)</f>
        <v>284972</v>
      </c>
    </row>
    <row r="451" spans="1:27" s="24" customFormat="1" ht="21" customHeight="1">
      <c r="A451" s="67"/>
      <c r="B451" s="82"/>
      <c r="C451" s="67">
        <v>4210</v>
      </c>
      <c r="D451" s="38" t="s">
        <v>92</v>
      </c>
      <c r="E451" s="81">
        <f>18000+6000+12000+15756+17714</f>
        <v>69470</v>
      </c>
      <c r="F451" s="81"/>
      <c r="G451" s="81">
        <f>SUM(E451:F451)</f>
        <v>69470</v>
      </c>
      <c r="H451" s="81"/>
      <c r="I451" s="81">
        <f>SUM(G451:H451)</f>
        <v>69470</v>
      </c>
      <c r="J451" s="81"/>
      <c r="K451" s="81">
        <f>SUM(I451:J451)</f>
        <v>69470</v>
      </c>
      <c r="L451" s="81">
        <v>-1100</v>
      </c>
      <c r="M451" s="81">
        <f>SUM(K451:L451)</f>
        <v>68370</v>
      </c>
      <c r="N451" s="81"/>
      <c r="O451" s="81">
        <f>SUM(M451:N451)</f>
        <v>68370</v>
      </c>
      <c r="P451" s="81"/>
      <c r="Q451" s="81">
        <f>SUM(O451:P451)</f>
        <v>68370</v>
      </c>
      <c r="R451" s="81"/>
      <c r="S451" s="81">
        <f>SUM(Q451:R451)</f>
        <v>68370</v>
      </c>
      <c r="T451" s="81">
        <v>-46</v>
      </c>
      <c r="U451" s="81">
        <f>SUM(S451:T451)</f>
        <v>68324</v>
      </c>
      <c r="V451" s="81"/>
      <c r="W451" s="81">
        <f>SUM(U451:V451)</f>
        <v>68324</v>
      </c>
      <c r="X451" s="81"/>
      <c r="Y451" s="81">
        <f>SUM(W451:X451)</f>
        <v>68324</v>
      </c>
      <c r="Z451" s="81"/>
      <c r="AA451" s="81">
        <f>SUM(Y451:Z451)</f>
        <v>68324</v>
      </c>
    </row>
    <row r="452" spans="1:27" s="24" customFormat="1" ht="21" customHeight="1">
      <c r="A452" s="67"/>
      <c r="B452" s="82"/>
      <c r="C452" s="67">
        <v>4260</v>
      </c>
      <c r="D452" s="38" t="s">
        <v>95</v>
      </c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>
        <v>0</v>
      </c>
      <c r="T452" s="81">
        <v>46</v>
      </c>
      <c r="U452" s="81">
        <f>SUM(S452:T452)</f>
        <v>46</v>
      </c>
      <c r="V452" s="81"/>
      <c r="W452" s="81">
        <f>SUM(U452:V452)</f>
        <v>46</v>
      </c>
      <c r="X452" s="81"/>
      <c r="Y452" s="81">
        <f>SUM(W452:X452)</f>
        <v>46</v>
      </c>
      <c r="Z452" s="81"/>
      <c r="AA452" s="81">
        <f>SUM(Y452:Z452)</f>
        <v>46</v>
      </c>
    </row>
    <row r="453" spans="1:27" s="24" customFormat="1" ht="21" customHeight="1">
      <c r="A453" s="67"/>
      <c r="B453" s="82"/>
      <c r="C453" s="67">
        <v>4270</v>
      </c>
      <c r="D453" s="38" t="s">
        <v>78</v>
      </c>
      <c r="E453" s="81">
        <v>5000</v>
      </c>
      <c r="F453" s="81"/>
      <c r="G453" s="81">
        <f>SUM(E453:F453)</f>
        <v>5000</v>
      </c>
      <c r="H453" s="81"/>
      <c r="I453" s="81">
        <f>SUM(G453:H453)</f>
        <v>5000</v>
      </c>
      <c r="J453" s="81"/>
      <c r="K453" s="81">
        <f>SUM(I453:J453)</f>
        <v>5000</v>
      </c>
      <c r="L453" s="81"/>
      <c r="M453" s="81">
        <f>SUM(K453:L453)</f>
        <v>5000</v>
      </c>
      <c r="N453" s="81"/>
      <c r="O453" s="81">
        <f>SUM(M453:N453)</f>
        <v>5000</v>
      </c>
      <c r="P453" s="81"/>
      <c r="Q453" s="81">
        <f>SUM(O453:P453)</f>
        <v>5000</v>
      </c>
      <c r="R453" s="81"/>
      <c r="S453" s="81">
        <f>SUM(Q453:R453)</f>
        <v>5000</v>
      </c>
      <c r="T453" s="81"/>
      <c r="U453" s="81">
        <f>SUM(S453:T453)</f>
        <v>5000</v>
      </c>
      <c r="V453" s="81"/>
      <c r="W453" s="81">
        <f>SUM(U453:V453)</f>
        <v>5000</v>
      </c>
      <c r="X453" s="81"/>
      <c r="Y453" s="81">
        <f>SUM(W453:X453)</f>
        <v>5000</v>
      </c>
      <c r="Z453" s="81"/>
      <c r="AA453" s="81">
        <f>SUM(Y453:Z453)</f>
        <v>5000</v>
      </c>
    </row>
    <row r="454" spans="1:27" s="24" customFormat="1" ht="21" customHeight="1">
      <c r="A454" s="67"/>
      <c r="B454" s="82"/>
      <c r="C454" s="67">
        <v>4300</v>
      </c>
      <c r="D454" s="38" t="s">
        <v>79</v>
      </c>
      <c r="E454" s="81">
        <f>130802+32000+1000+20000+20000+6400+200</f>
        <v>210402</v>
      </c>
      <c r="F454" s="81"/>
      <c r="G454" s="81">
        <f>SUM(E454:F454)</f>
        <v>210402</v>
      </c>
      <c r="H454" s="81"/>
      <c r="I454" s="81">
        <f>SUM(G454:H454)</f>
        <v>210402</v>
      </c>
      <c r="J454" s="81"/>
      <c r="K454" s="81">
        <f>SUM(I454:J454)</f>
        <v>210402</v>
      </c>
      <c r="L454" s="81"/>
      <c r="M454" s="81">
        <f>SUM(K454:L454)</f>
        <v>210402</v>
      </c>
      <c r="N454" s="81"/>
      <c r="O454" s="81">
        <f>SUM(M454:N454)</f>
        <v>210402</v>
      </c>
      <c r="P454" s="81"/>
      <c r="Q454" s="81">
        <f>SUM(O454:P454)</f>
        <v>210402</v>
      </c>
      <c r="R454" s="81"/>
      <c r="S454" s="81">
        <f>SUM(Q454:R454)</f>
        <v>210402</v>
      </c>
      <c r="T454" s="81"/>
      <c r="U454" s="81">
        <f>SUM(S454:T454)</f>
        <v>210402</v>
      </c>
      <c r="V454" s="81">
        <v>1200</v>
      </c>
      <c r="W454" s="81">
        <f>SUM(U454:V454)</f>
        <v>211602</v>
      </c>
      <c r="X454" s="81"/>
      <c r="Y454" s="81">
        <f>SUM(W454:X454)</f>
        <v>211602</v>
      </c>
      <c r="Z454" s="81"/>
      <c r="AA454" s="81">
        <f>SUM(Y454:Z454)</f>
        <v>211602</v>
      </c>
    </row>
    <row r="455" spans="1:27" s="24" customFormat="1" ht="21" customHeight="1">
      <c r="A455" s="67"/>
      <c r="B455" s="82">
        <v>90005</v>
      </c>
      <c r="C455" s="67"/>
      <c r="D455" s="38" t="s">
        <v>374</v>
      </c>
      <c r="E455" s="81"/>
      <c r="F455" s="81"/>
      <c r="G455" s="81"/>
      <c r="H455" s="81"/>
      <c r="I455" s="81"/>
      <c r="J455" s="81"/>
      <c r="K455" s="81">
        <f aca="true" t="shared" si="283" ref="K455:AA455">SUM(K456)</f>
        <v>0</v>
      </c>
      <c r="L455" s="81">
        <f t="shared" si="283"/>
        <v>3000</v>
      </c>
      <c r="M455" s="81">
        <f t="shared" si="283"/>
        <v>3000</v>
      </c>
      <c r="N455" s="81">
        <f t="shared" si="283"/>
        <v>0</v>
      </c>
      <c r="O455" s="81">
        <f t="shared" si="283"/>
        <v>3000</v>
      </c>
      <c r="P455" s="81">
        <f t="shared" si="283"/>
        <v>0</v>
      </c>
      <c r="Q455" s="81">
        <f t="shared" si="283"/>
        <v>3000</v>
      </c>
      <c r="R455" s="81">
        <f t="shared" si="283"/>
        <v>0</v>
      </c>
      <c r="S455" s="81">
        <f t="shared" si="283"/>
        <v>3000</v>
      </c>
      <c r="T455" s="81">
        <f t="shared" si="283"/>
        <v>0</v>
      </c>
      <c r="U455" s="81">
        <f t="shared" si="283"/>
        <v>3000</v>
      </c>
      <c r="V455" s="81">
        <f t="shared" si="283"/>
        <v>0</v>
      </c>
      <c r="W455" s="81">
        <f t="shared" si="283"/>
        <v>3000</v>
      </c>
      <c r="X455" s="81">
        <f t="shared" si="283"/>
        <v>0</v>
      </c>
      <c r="Y455" s="81">
        <f t="shared" si="283"/>
        <v>3000</v>
      </c>
      <c r="Z455" s="81">
        <f t="shared" si="283"/>
        <v>0</v>
      </c>
      <c r="AA455" s="81">
        <f t="shared" si="283"/>
        <v>3000</v>
      </c>
    </row>
    <row r="456" spans="1:27" s="24" customFormat="1" ht="22.5">
      <c r="A456" s="67"/>
      <c r="B456" s="82"/>
      <c r="C456" s="67">
        <v>4520</v>
      </c>
      <c r="D456" s="38" t="s">
        <v>375</v>
      </c>
      <c r="E456" s="81"/>
      <c r="F456" s="81"/>
      <c r="G456" s="81"/>
      <c r="H456" s="81"/>
      <c r="I456" s="81"/>
      <c r="J456" s="81"/>
      <c r="K456" s="81">
        <v>0</v>
      </c>
      <c r="L456" s="81">
        <v>3000</v>
      </c>
      <c r="M456" s="81">
        <f>SUM(K456:L456)</f>
        <v>3000</v>
      </c>
      <c r="N456" s="81"/>
      <c r="O456" s="81">
        <f>SUM(M456:N456)</f>
        <v>3000</v>
      </c>
      <c r="P456" s="81"/>
      <c r="Q456" s="81">
        <f>SUM(O456:P456)</f>
        <v>3000</v>
      </c>
      <c r="R456" s="81"/>
      <c r="S456" s="81">
        <f>SUM(Q456:R456)</f>
        <v>3000</v>
      </c>
      <c r="T456" s="81"/>
      <c r="U456" s="81">
        <f>SUM(S456:T456)</f>
        <v>3000</v>
      </c>
      <c r="V456" s="81"/>
      <c r="W456" s="81">
        <f>SUM(U456:V456)</f>
        <v>3000</v>
      </c>
      <c r="X456" s="81"/>
      <c r="Y456" s="81">
        <f>SUM(W456:X456)</f>
        <v>3000</v>
      </c>
      <c r="Z456" s="81"/>
      <c r="AA456" s="81">
        <f>SUM(Y456:Z456)</f>
        <v>3000</v>
      </c>
    </row>
    <row r="457" spans="1:27" s="24" customFormat="1" ht="21" customHeight="1">
      <c r="A457" s="67"/>
      <c r="B457" s="82" t="s">
        <v>132</v>
      </c>
      <c r="C457" s="86"/>
      <c r="D457" s="38" t="s">
        <v>133</v>
      </c>
      <c r="E457" s="81">
        <f aca="true" t="shared" si="284" ref="E457:AA457">SUM(E458)</f>
        <v>134000</v>
      </c>
      <c r="F457" s="81">
        <f t="shared" si="284"/>
        <v>0</v>
      </c>
      <c r="G457" s="81">
        <f t="shared" si="284"/>
        <v>134000</v>
      </c>
      <c r="H457" s="81">
        <f t="shared" si="284"/>
        <v>0</v>
      </c>
      <c r="I457" s="81">
        <f t="shared" si="284"/>
        <v>134000</v>
      </c>
      <c r="J457" s="81">
        <f t="shared" si="284"/>
        <v>0</v>
      </c>
      <c r="K457" s="81">
        <f t="shared" si="284"/>
        <v>134000</v>
      </c>
      <c r="L457" s="81">
        <f t="shared" si="284"/>
        <v>0</v>
      </c>
      <c r="M457" s="81">
        <f t="shared" si="284"/>
        <v>134000</v>
      </c>
      <c r="N457" s="81">
        <f t="shared" si="284"/>
        <v>0</v>
      </c>
      <c r="O457" s="81">
        <f t="shared" si="284"/>
        <v>134000</v>
      </c>
      <c r="P457" s="81">
        <f t="shared" si="284"/>
        <v>0</v>
      </c>
      <c r="Q457" s="81">
        <f t="shared" si="284"/>
        <v>134000</v>
      </c>
      <c r="R457" s="81">
        <f t="shared" si="284"/>
        <v>0</v>
      </c>
      <c r="S457" s="81">
        <f t="shared" si="284"/>
        <v>134000</v>
      </c>
      <c r="T457" s="81">
        <f t="shared" si="284"/>
        <v>0</v>
      </c>
      <c r="U457" s="81">
        <f t="shared" si="284"/>
        <v>134000</v>
      </c>
      <c r="V457" s="81">
        <f t="shared" si="284"/>
        <v>36300</v>
      </c>
      <c r="W457" s="81">
        <f t="shared" si="284"/>
        <v>170300</v>
      </c>
      <c r="X457" s="81">
        <f t="shared" si="284"/>
        <v>0</v>
      </c>
      <c r="Y457" s="81">
        <f t="shared" si="284"/>
        <v>170300</v>
      </c>
      <c r="Z457" s="81">
        <f t="shared" si="284"/>
        <v>0</v>
      </c>
      <c r="AA457" s="81">
        <f t="shared" si="284"/>
        <v>170300</v>
      </c>
    </row>
    <row r="458" spans="1:27" s="24" customFormat="1" ht="21" customHeight="1">
      <c r="A458" s="67"/>
      <c r="B458" s="82"/>
      <c r="C458" s="86">
        <v>4300</v>
      </c>
      <c r="D458" s="90" t="s">
        <v>79</v>
      </c>
      <c r="E458" s="81">
        <v>134000</v>
      </c>
      <c r="F458" s="81"/>
      <c r="G458" s="81">
        <f>SUM(E458:F458)</f>
        <v>134000</v>
      </c>
      <c r="H458" s="81"/>
      <c r="I458" s="81">
        <f>SUM(G458:H458)</f>
        <v>134000</v>
      </c>
      <c r="J458" s="81"/>
      <c r="K458" s="81">
        <f>SUM(I458:J458)</f>
        <v>134000</v>
      </c>
      <c r="L458" s="81"/>
      <c r="M458" s="81">
        <f>SUM(K458:L458)</f>
        <v>134000</v>
      </c>
      <c r="N458" s="81"/>
      <c r="O458" s="81">
        <f>SUM(M458:N458)</f>
        <v>134000</v>
      </c>
      <c r="P458" s="81"/>
      <c r="Q458" s="81">
        <f>SUM(O458:P458)</f>
        <v>134000</v>
      </c>
      <c r="R458" s="81"/>
      <c r="S458" s="81">
        <f>SUM(Q458:R458)</f>
        <v>134000</v>
      </c>
      <c r="T458" s="81"/>
      <c r="U458" s="81">
        <f>SUM(S458:T458)</f>
        <v>134000</v>
      </c>
      <c r="V458" s="81">
        <v>36300</v>
      </c>
      <c r="W458" s="81">
        <f>SUM(U458:V458)</f>
        <v>170300</v>
      </c>
      <c r="X458" s="81"/>
      <c r="Y458" s="81">
        <f>SUM(W458:X458)</f>
        <v>170300</v>
      </c>
      <c r="Z458" s="81"/>
      <c r="AA458" s="81">
        <f>SUM(Y458:Z458)</f>
        <v>170300</v>
      </c>
    </row>
    <row r="459" spans="1:27" s="24" customFormat="1" ht="21" customHeight="1">
      <c r="A459" s="67"/>
      <c r="B459" s="82" t="s">
        <v>134</v>
      </c>
      <c r="C459" s="86"/>
      <c r="D459" s="38" t="s">
        <v>135</v>
      </c>
      <c r="E459" s="81">
        <f aca="true" t="shared" si="285" ref="E459:W459">SUM(E460:E463)</f>
        <v>1200000</v>
      </c>
      <c r="F459" s="81">
        <f t="shared" si="285"/>
        <v>-185000</v>
      </c>
      <c r="G459" s="81">
        <f t="shared" si="285"/>
        <v>1015000</v>
      </c>
      <c r="H459" s="81">
        <f t="shared" si="285"/>
        <v>0</v>
      </c>
      <c r="I459" s="81">
        <f t="shared" si="285"/>
        <v>1015000</v>
      </c>
      <c r="J459" s="81">
        <f t="shared" si="285"/>
        <v>0</v>
      </c>
      <c r="K459" s="81">
        <f t="shared" si="285"/>
        <v>1015000</v>
      </c>
      <c r="L459" s="81">
        <f t="shared" si="285"/>
        <v>3050</v>
      </c>
      <c r="M459" s="81">
        <f t="shared" si="285"/>
        <v>1018050</v>
      </c>
      <c r="N459" s="81">
        <f t="shared" si="285"/>
        <v>0</v>
      </c>
      <c r="O459" s="81">
        <f t="shared" si="285"/>
        <v>1018050</v>
      </c>
      <c r="P459" s="81">
        <f t="shared" si="285"/>
        <v>0</v>
      </c>
      <c r="Q459" s="81">
        <f t="shared" si="285"/>
        <v>1018050</v>
      </c>
      <c r="R459" s="81">
        <f t="shared" si="285"/>
        <v>0</v>
      </c>
      <c r="S459" s="81">
        <f t="shared" si="285"/>
        <v>1018050</v>
      </c>
      <c r="T459" s="81">
        <f t="shared" si="285"/>
        <v>0</v>
      </c>
      <c r="U459" s="81">
        <f t="shared" si="285"/>
        <v>1018050</v>
      </c>
      <c r="V459" s="81">
        <f t="shared" si="285"/>
        <v>0</v>
      </c>
      <c r="W459" s="81">
        <f t="shared" si="285"/>
        <v>1018050</v>
      </c>
      <c r="X459" s="81">
        <f>SUM(X460:X463)</f>
        <v>0</v>
      </c>
      <c r="Y459" s="81">
        <f>SUM(Y460:Y463)</f>
        <v>1018050</v>
      </c>
      <c r="Z459" s="81">
        <f>SUM(Z460:Z463)</f>
        <v>0</v>
      </c>
      <c r="AA459" s="81">
        <f>SUM(AA460:AA463)</f>
        <v>1018050</v>
      </c>
    </row>
    <row r="460" spans="1:27" s="24" customFormat="1" ht="21" customHeight="1">
      <c r="A460" s="67"/>
      <c r="B460" s="87"/>
      <c r="C460" s="67">
        <v>4260</v>
      </c>
      <c r="D460" s="38" t="s">
        <v>95</v>
      </c>
      <c r="E460" s="81">
        <v>800000</v>
      </c>
      <c r="F460" s="81">
        <v>-100000</v>
      </c>
      <c r="G460" s="81">
        <f>SUM(E460:F460)</f>
        <v>700000</v>
      </c>
      <c r="H460" s="81"/>
      <c r="I460" s="81">
        <f>SUM(G460:H460)</f>
        <v>700000</v>
      </c>
      <c r="J460" s="81"/>
      <c r="K460" s="81">
        <f>SUM(I460:J460)</f>
        <v>700000</v>
      </c>
      <c r="L460" s="81"/>
      <c r="M460" s="81">
        <f>SUM(K460:L460)</f>
        <v>700000</v>
      </c>
      <c r="N460" s="81"/>
      <c r="O460" s="81">
        <f>SUM(M460:N460)</f>
        <v>700000</v>
      </c>
      <c r="P460" s="81"/>
      <c r="Q460" s="81">
        <f>SUM(O460:P460)</f>
        <v>700000</v>
      </c>
      <c r="R460" s="81"/>
      <c r="S460" s="81">
        <f>SUM(Q460:R460)</f>
        <v>700000</v>
      </c>
      <c r="T460" s="81"/>
      <c r="U460" s="81">
        <f>SUM(S460:T460)</f>
        <v>700000</v>
      </c>
      <c r="V460" s="81"/>
      <c r="W460" s="81">
        <f>SUM(U460:V460)</f>
        <v>700000</v>
      </c>
      <c r="X460" s="81"/>
      <c r="Y460" s="81">
        <f>SUM(W460:X460)</f>
        <v>700000</v>
      </c>
      <c r="Z460" s="81"/>
      <c r="AA460" s="81">
        <f>SUM(Y460:Z460)</f>
        <v>700000</v>
      </c>
    </row>
    <row r="461" spans="1:27" s="24" customFormat="1" ht="21" customHeight="1">
      <c r="A461" s="67"/>
      <c r="B461" s="87"/>
      <c r="C461" s="67">
        <v>4270</v>
      </c>
      <c r="D461" s="38" t="s">
        <v>78</v>
      </c>
      <c r="E461" s="81">
        <v>350000</v>
      </c>
      <c r="F461" s="81">
        <v>-100000</v>
      </c>
      <c r="G461" s="81">
        <f>SUM(E461:F461)</f>
        <v>250000</v>
      </c>
      <c r="H461" s="81"/>
      <c r="I461" s="81">
        <f>SUM(G461:H461)</f>
        <v>250000</v>
      </c>
      <c r="J461" s="81"/>
      <c r="K461" s="81">
        <f>SUM(I461:J461)</f>
        <v>250000</v>
      </c>
      <c r="L461" s="81"/>
      <c r="M461" s="81">
        <f>SUM(K461:L461)</f>
        <v>250000</v>
      </c>
      <c r="N461" s="81"/>
      <c r="O461" s="81">
        <f>SUM(M461:N461)</f>
        <v>250000</v>
      </c>
      <c r="P461" s="81"/>
      <c r="Q461" s="81">
        <f>SUM(O461:P461)</f>
        <v>250000</v>
      </c>
      <c r="R461" s="81"/>
      <c r="S461" s="81">
        <f>SUM(Q461:R461)</f>
        <v>250000</v>
      </c>
      <c r="T461" s="81"/>
      <c r="U461" s="81">
        <f>SUM(S461:T461)</f>
        <v>250000</v>
      </c>
      <c r="V461" s="81"/>
      <c r="W461" s="81">
        <f>SUM(U461:V461)</f>
        <v>250000</v>
      </c>
      <c r="X461" s="81"/>
      <c r="Y461" s="81">
        <f>SUM(W461:X461)</f>
        <v>250000</v>
      </c>
      <c r="Z461" s="81"/>
      <c r="AA461" s="81">
        <f>SUM(Y461:Z461)</f>
        <v>250000</v>
      </c>
    </row>
    <row r="462" spans="1:27" s="24" customFormat="1" ht="21" customHeight="1">
      <c r="A462" s="67"/>
      <c r="B462" s="87"/>
      <c r="C462" s="67">
        <v>4300</v>
      </c>
      <c r="D462" s="38" t="s">
        <v>79</v>
      </c>
      <c r="E462" s="81">
        <v>50000</v>
      </c>
      <c r="F462" s="81"/>
      <c r="G462" s="81">
        <f>SUM(E462:F462)</f>
        <v>50000</v>
      </c>
      <c r="H462" s="81"/>
      <c r="I462" s="81">
        <f>SUM(G462:H462)</f>
        <v>50000</v>
      </c>
      <c r="J462" s="81"/>
      <c r="K462" s="81">
        <f>SUM(I462:J462)</f>
        <v>50000</v>
      </c>
      <c r="L462" s="81">
        <v>3050</v>
      </c>
      <c r="M462" s="81">
        <f>SUM(K462:L462)</f>
        <v>53050</v>
      </c>
      <c r="N462" s="81"/>
      <c r="O462" s="81">
        <f>SUM(M462:N462)</f>
        <v>53050</v>
      </c>
      <c r="P462" s="81"/>
      <c r="Q462" s="81">
        <f>SUM(O462:P462)</f>
        <v>53050</v>
      </c>
      <c r="R462" s="81"/>
      <c r="S462" s="81">
        <f>SUM(Q462:R462)</f>
        <v>53050</v>
      </c>
      <c r="T462" s="81"/>
      <c r="U462" s="81">
        <f>SUM(S462:T462)</f>
        <v>53050</v>
      </c>
      <c r="V462" s="81"/>
      <c r="W462" s="81">
        <f>SUM(U462:V462)</f>
        <v>53050</v>
      </c>
      <c r="X462" s="81"/>
      <c r="Y462" s="81">
        <f>SUM(W462:X462)</f>
        <v>53050</v>
      </c>
      <c r="Z462" s="81"/>
      <c r="AA462" s="81">
        <f>SUM(Y462:Z462)</f>
        <v>53050</v>
      </c>
    </row>
    <row r="463" spans="1:27" s="24" customFormat="1" ht="21" customHeight="1">
      <c r="A463" s="67"/>
      <c r="B463" s="87"/>
      <c r="C463" s="67">
        <v>6050</v>
      </c>
      <c r="D463" s="38" t="s">
        <v>73</v>
      </c>
      <c r="E463" s="81">
        <v>0</v>
      </c>
      <c r="F463" s="81">
        <f>5000+10000</f>
        <v>15000</v>
      </c>
      <c r="G463" s="81">
        <f>SUM(E463:F463)</f>
        <v>15000</v>
      </c>
      <c r="H463" s="81"/>
      <c r="I463" s="81">
        <f>SUM(G463:H463)</f>
        <v>15000</v>
      </c>
      <c r="J463" s="81"/>
      <c r="K463" s="81">
        <f>SUM(I463:J463)</f>
        <v>15000</v>
      </c>
      <c r="L463" s="81"/>
      <c r="M463" s="81">
        <f>SUM(K463:L463)</f>
        <v>15000</v>
      </c>
      <c r="N463" s="81"/>
      <c r="O463" s="81">
        <f>SUM(M463:N463)</f>
        <v>15000</v>
      </c>
      <c r="P463" s="81"/>
      <c r="Q463" s="81">
        <f>SUM(O463:P463)</f>
        <v>15000</v>
      </c>
      <c r="R463" s="81"/>
      <c r="S463" s="81">
        <f>SUM(Q463:R463)</f>
        <v>15000</v>
      </c>
      <c r="T463" s="81"/>
      <c r="U463" s="81">
        <f>SUM(S463:T463)</f>
        <v>15000</v>
      </c>
      <c r="V463" s="81"/>
      <c r="W463" s="81">
        <f>SUM(U463:V463)</f>
        <v>15000</v>
      </c>
      <c r="X463" s="81"/>
      <c r="Y463" s="81">
        <f>SUM(W463:X463)</f>
        <v>15000</v>
      </c>
      <c r="Z463" s="81"/>
      <c r="AA463" s="81">
        <f>SUM(Y463:Z463)</f>
        <v>15000</v>
      </c>
    </row>
    <row r="464" spans="1:27" s="202" customFormat="1" ht="33.75">
      <c r="A464" s="200"/>
      <c r="B464" s="87">
        <v>90019</v>
      </c>
      <c r="C464" s="67"/>
      <c r="D464" s="77" t="s">
        <v>372</v>
      </c>
      <c r="E464" s="81"/>
      <c r="F464" s="81"/>
      <c r="G464" s="81"/>
      <c r="H464" s="81"/>
      <c r="I464" s="81"/>
      <c r="J464" s="81"/>
      <c r="K464" s="81">
        <f aca="true" t="shared" si="286" ref="K464:W464">SUM(K465:K466)</f>
        <v>0</v>
      </c>
      <c r="L464" s="81">
        <f t="shared" si="286"/>
        <v>322117</v>
      </c>
      <c r="M464" s="81">
        <f t="shared" si="286"/>
        <v>322117</v>
      </c>
      <c r="N464" s="81">
        <f t="shared" si="286"/>
        <v>0</v>
      </c>
      <c r="O464" s="81">
        <f t="shared" si="286"/>
        <v>322117</v>
      </c>
      <c r="P464" s="81">
        <f t="shared" si="286"/>
        <v>0</v>
      </c>
      <c r="Q464" s="81">
        <f t="shared" si="286"/>
        <v>322117</v>
      </c>
      <c r="R464" s="81">
        <f t="shared" si="286"/>
        <v>0</v>
      </c>
      <c r="S464" s="81">
        <f t="shared" si="286"/>
        <v>322117</v>
      </c>
      <c r="T464" s="81">
        <f t="shared" si="286"/>
        <v>0</v>
      </c>
      <c r="U464" s="81">
        <f t="shared" si="286"/>
        <v>322117</v>
      </c>
      <c r="V464" s="81">
        <f t="shared" si="286"/>
        <v>0</v>
      </c>
      <c r="W464" s="81">
        <f t="shared" si="286"/>
        <v>322117</v>
      </c>
      <c r="X464" s="81">
        <f>SUM(X465:X466)</f>
        <v>0</v>
      </c>
      <c r="Y464" s="81">
        <f>SUM(Y465:Y466)</f>
        <v>322117</v>
      </c>
      <c r="Z464" s="81">
        <f>SUM(Z465:Z466)</f>
        <v>0</v>
      </c>
      <c r="AA464" s="81">
        <f>SUM(AA465:AA466)</f>
        <v>322117</v>
      </c>
    </row>
    <row r="465" spans="1:27" s="202" customFormat="1" ht="21" customHeight="1">
      <c r="A465" s="200"/>
      <c r="B465" s="87"/>
      <c r="C465" s="67">
        <v>4210</v>
      </c>
      <c r="D465" s="38" t="s">
        <v>92</v>
      </c>
      <c r="E465" s="81"/>
      <c r="F465" s="81"/>
      <c r="G465" s="81"/>
      <c r="H465" s="81"/>
      <c r="I465" s="81"/>
      <c r="J465" s="81"/>
      <c r="K465" s="81">
        <v>0</v>
      </c>
      <c r="L465" s="81">
        <v>85517</v>
      </c>
      <c r="M465" s="81">
        <f>SUM(K465:L465)</f>
        <v>85517</v>
      </c>
      <c r="N465" s="81"/>
      <c r="O465" s="81">
        <f>SUM(M465:N465)</f>
        <v>85517</v>
      </c>
      <c r="P465" s="81"/>
      <c r="Q465" s="81">
        <f>SUM(O465:P465)</f>
        <v>85517</v>
      </c>
      <c r="R465" s="81"/>
      <c r="S465" s="81">
        <f>SUM(Q465:R465)</f>
        <v>85517</v>
      </c>
      <c r="T465" s="81"/>
      <c r="U465" s="81">
        <f>SUM(S465:T465)</f>
        <v>85517</v>
      </c>
      <c r="V465" s="81"/>
      <c r="W465" s="81">
        <f>SUM(U465:V465)</f>
        <v>85517</v>
      </c>
      <c r="X465" s="81"/>
      <c r="Y465" s="81">
        <f>SUM(W465:X465)</f>
        <v>85517</v>
      </c>
      <c r="Z465" s="81"/>
      <c r="AA465" s="81">
        <f>SUM(Y465:Z465)</f>
        <v>85517</v>
      </c>
    </row>
    <row r="466" spans="1:27" s="202" customFormat="1" ht="21" customHeight="1">
      <c r="A466" s="200"/>
      <c r="B466" s="87"/>
      <c r="C466" s="67">
        <v>4300</v>
      </c>
      <c r="D466" s="38" t="s">
        <v>79</v>
      </c>
      <c r="E466" s="81"/>
      <c r="F466" s="81"/>
      <c r="G466" s="81"/>
      <c r="H466" s="81"/>
      <c r="I466" s="81"/>
      <c r="J466" s="81"/>
      <c r="K466" s="81">
        <v>0</v>
      </c>
      <c r="L466" s="81">
        <v>236600</v>
      </c>
      <c r="M466" s="81">
        <f>SUM(K466:L466)</f>
        <v>236600</v>
      </c>
      <c r="N466" s="81"/>
      <c r="O466" s="81">
        <f>SUM(M466:N466)</f>
        <v>236600</v>
      </c>
      <c r="P466" s="81"/>
      <c r="Q466" s="81">
        <f>SUM(O466:P466)</f>
        <v>236600</v>
      </c>
      <c r="R466" s="81"/>
      <c r="S466" s="81">
        <f>SUM(Q466:R466)</f>
        <v>236600</v>
      </c>
      <c r="T466" s="81"/>
      <c r="U466" s="81">
        <f>SUM(S466:T466)</f>
        <v>236600</v>
      </c>
      <c r="V466" s="81"/>
      <c r="W466" s="81">
        <f>SUM(U466:V466)</f>
        <v>236600</v>
      </c>
      <c r="X466" s="81"/>
      <c r="Y466" s="81">
        <f>SUM(W466:X466)</f>
        <v>236600</v>
      </c>
      <c r="Z466" s="81"/>
      <c r="AA466" s="81">
        <f>SUM(Y466:Z466)</f>
        <v>236600</v>
      </c>
    </row>
    <row r="467" spans="1:27" s="24" customFormat="1" ht="21" customHeight="1">
      <c r="A467" s="67"/>
      <c r="B467" s="82" t="s">
        <v>136</v>
      </c>
      <c r="C467" s="86"/>
      <c r="D467" s="38" t="s">
        <v>6</v>
      </c>
      <c r="E467" s="81">
        <f aca="true" t="shared" si="287" ref="E467:W467">SUM(E468:E471)</f>
        <v>55800</v>
      </c>
      <c r="F467" s="81">
        <f t="shared" si="287"/>
        <v>0</v>
      </c>
      <c r="G467" s="81">
        <f t="shared" si="287"/>
        <v>55800</v>
      </c>
      <c r="H467" s="81">
        <f t="shared" si="287"/>
        <v>0</v>
      </c>
      <c r="I467" s="81">
        <f t="shared" si="287"/>
        <v>55800</v>
      </c>
      <c r="J467" s="81">
        <f t="shared" si="287"/>
        <v>0</v>
      </c>
      <c r="K467" s="81">
        <f t="shared" si="287"/>
        <v>55800</v>
      </c>
      <c r="L467" s="81">
        <f t="shared" si="287"/>
        <v>0</v>
      </c>
      <c r="M467" s="81">
        <f t="shared" si="287"/>
        <v>55800</v>
      </c>
      <c r="N467" s="81">
        <f t="shared" si="287"/>
        <v>0</v>
      </c>
      <c r="O467" s="81">
        <f t="shared" si="287"/>
        <v>55800</v>
      </c>
      <c r="P467" s="81">
        <f t="shared" si="287"/>
        <v>0</v>
      </c>
      <c r="Q467" s="81">
        <f t="shared" si="287"/>
        <v>55800</v>
      </c>
      <c r="R467" s="81">
        <f t="shared" si="287"/>
        <v>0</v>
      </c>
      <c r="S467" s="81">
        <f t="shared" si="287"/>
        <v>55800</v>
      </c>
      <c r="T467" s="81">
        <f t="shared" si="287"/>
        <v>0</v>
      </c>
      <c r="U467" s="81">
        <f t="shared" si="287"/>
        <v>55800</v>
      </c>
      <c r="V467" s="81">
        <f t="shared" si="287"/>
        <v>0</v>
      </c>
      <c r="W467" s="81">
        <f t="shared" si="287"/>
        <v>55800</v>
      </c>
      <c r="X467" s="81">
        <f>SUM(X468:X471)</f>
        <v>0</v>
      </c>
      <c r="Y467" s="81">
        <f>SUM(Y468:Y471)</f>
        <v>55800</v>
      </c>
      <c r="Z467" s="81">
        <f>SUM(Z468:Z471)</f>
        <v>0</v>
      </c>
      <c r="AA467" s="81">
        <f>SUM(AA468:AA471)</f>
        <v>55800</v>
      </c>
    </row>
    <row r="468" spans="1:27" s="24" customFormat="1" ht="21" customHeight="1">
      <c r="A468" s="67"/>
      <c r="B468" s="82"/>
      <c r="C468" s="86">
        <v>4210</v>
      </c>
      <c r="D468" s="38" t="s">
        <v>92</v>
      </c>
      <c r="E468" s="81">
        <v>11800</v>
      </c>
      <c r="F468" s="81"/>
      <c r="G468" s="81">
        <f>SUM(E468:F468)</f>
        <v>11800</v>
      </c>
      <c r="H468" s="81"/>
      <c r="I468" s="81">
        <f>SUM(G468:H468)</f>
        <v>11800</v>
      </c>
      <c r="J468" s="81"/>
      <c r="K468" s="81">
        <f>SUM(I468:J468)</f>
        <v>11800</v>
      </c>
      <c r="L468" s="81"/>
      <c r="M468" s="81">
        <f>SUM(K468:L468)</f>
        <v>11800</v>
      </c>
      <c r="N468" s="81"/>
      <c r="O468" s="81">
        <f>SUM(M468:N468)</f>
        <v>11800</v>
      </c>
      <c r="P468" s="81"/>
      <c r="Q468" s="81">
        <f>SUM(O468:P468)</f>
        <v>11800</v>
      </c>
      <c r="R468" s="81"/>
      <c r="S468" s="81">
        <f>SUM(Q468:R468)</f>
        <v>11800</v>
      </c>
      <c r="T468" s="81"/>
      <c r="U468" s="81">
        <f>SUM(S468:T468)</f>
        <v>11800</v>
      </c>
      <c r="V468" s="81"/>
      <c r="W468" s="81">
        <f>SUM(U468:V468)</f>
        <v>11800</v>
      </c>
      <c r="X468" s="81"/>
      <c r="Y468" s="81">
        <f>SUM(W468:X468)</f>
        <v>11800</v>
      </c>
      <c r="Z468" s="81"/>
      <c r="AA468" s="81">
        <f>SUM(Y468:Z468)</f>
        <v>11800</v>
      </c>
    </row>
    <row r="469" spans="1:27" s="24" customFormat="1" ht="21" customHeight="1">
      <c r="A469" s="67"/>
      <c r="B469" s="87"/>
      <c r="C469" s="67">
        <v>4260</v>
      </c>
      <c r="D469" s="38" t="s">
        <v>95</v>
      </c>
      <c r="E469" s="81">
        <v>7000</v>
      </c>
      <c r="F469" s="81"/>
      <c r="G469" s="81">
        <f>SUM(E469:F469)</f>
        <v>7000</v>
      </c>
      <c r="H469" s="81"/>
      <c r="I469" s="81">
        <f>SUM(G469:H469)</f>
        <v>7000</v>
      </c>
      <c r="J469" s="81"/>
      <c r="K469" s="81">
        <f>SUM(I469:J469)</f>
        <v>7000</v>
      </c>
      <c r="L469" s="81"/>
      <c r="M469" s="81">
        <f>SUM(K469:L469)</f>
        <v>7000</v>
      </c>
      <c r="N469" s="81"/>
      <c r="O469" s="81">
        <f>SUM(M469:N469)</f>
        <v>7000</v>
      </c>
      <c r="P469" s="81"/>
      <c r="Q469" s="81">
        <f>SUM(O469:P469)</f>
        <v>7000</v>
      </c>
      <c r="R469" s="81"/>
      <c r="S469" s="81">
        <f>SUM(Q469:R469)</f>
        <v>7000</v>
      </c>
      <c r="T469" s="81"/>
      <c r="U469" s="81">
        <f>SUM(S469:T469)</f>
        <v>7000</v>
      </c>
      <c r="V469" s="81"/>
      <c r="W469" s="81">
        <f>SUM(U469:V469)</f>
        <v>7000</v>
      </c>
      <c r="X469" s="81"/>
      <c r="Y469" s="81">
        <f>SUM(W469:X469)</f>
        <v>7000</v>
      </c>
      <c r="Z469" s="81"/>
      <c r="AA469" s="81">
        <f>SUM(Y469:Z469)</f>
        <v>7000</v>
      </c>
    </row>
    <row r="470" spans="1:27" s="24" customFormat="1" ht="21" customHeight="1">
      <c r="A470" s="67"/>
      <c r="B470" s="87"/>
      <c r="C470" s="86">
        <v>4300</v>
      </c>
      <c r="D470" s="90" t="s">
        <v>79</v>
      </c>
      <c r="E470" s="81">
        <f>26000+9000</f>
        <v>35000</v>
      </c>
      <c r="F470" s="81"/>
      <c r="G470" s="81">
        <f>SUM(E470:F470)</f>
        <v>35000</v>
      </c>
      <c r="H470" s="81"/>
      <c r="I470" s="81">
        <f>SUM(G470:H470)</f>
        <v>35000</v>
      </c>
      <c r="J470" s="81"/>
      <c r="K470" s="81">
        <f>SUM(I470:J470)</f>
        <v>35000</v>
      </c>
      <c r="L470" s="81"/>
      <c r="M470" s="81">
        <f>SUM(K470:L470)</f>
        <v>35000</v>
      </c>
      <c r="N470" s="81"/>
      <c r="O470" s="81">
        <f>SUM(M470:N470)</f>
        <v>35000</v>
      </c>
      <c r="P470" s="81"/>
      <c r="Q470" s="81">
        <f>SUM(O470:P470)</f>
        <v>35000</v>
      </c>
      <c r="R470" s="81"/>
      <c r="S470" s="81">
        <f>SUM(Q470:R470)</f>
        <v>35000</v>
      </c>
      <c r="T470" s="81"/>
      <c r="U470" s="81">
        <f>SUM(S470:T470)</f>
        <v>35000</v>
      </c>
      <c r="V470" s="81"/>
      <c r="W470" s="81">
        <f>SUM(U470:V470)</f>
        <v>35000</v>
      </c>
      <c r="X470" s="81"/>
      <c r="Y470" s="81">
        <f>SUM(W470:X470)</f>
        <v>35000</v>
      </c>
      <c r="Z470" s="81"/>
      <c r="AA470" s="81">
        <f>SUM(Y470:Z470)</f>
        <v>35000</v>
      </c>
    </row>
    <row r="471" spans="1:27" s="24" customFormat="1" ht="30" customHeight="1">
      <c r="A471" s="67"/>
      <c r="B471" s="87"/>
      <c r="C471" s="86">
        <v>4390</v>
      </c>
      <c r="D471" s="38" t="s">
        <v>255</v>
      </c>
      <c r="E471" s="81">
        <v>2000</v>
      </c>
      <c r="F471" s="81"/>
      <c r="G471" s="81">
        <f>SUM(E471:F471)</f>
        <v>2000</v>
      </c>
      <c r="H471" s="81"/>
      <c r="I471" s="81">
        <f>SUM(G471:H471)</f>
        <v>2000</v>
      </c>
      <c r="J471" s="81"/>
      <c r="K471" s="81">
        <f>SUM(I471:J471)</f>
        <v>2000</v>
      </c>
      <c r="L471" s="81"/>
      <c r="M471" s="81">
        <f>SUM(K471:L471)</f>
        <v>2000</v>
      </c>
      <c r="N471" s="81"/>
      <c r="O471" s="81">
        <f>SUM(M471:N471)</f>
        <v>2000</v>
      </c>
      <c r="P471" s="81"/>
      <c r="Q471" s="81">
        <f>SUM(O471:P471)</f>
        <v>2000</v>
      </c>
      <c r="R471" s="81"/>
      <c r="S471" s="81">
        <f>SUM(Q471:R471)</f>
        <v>2000</v>
      </c>
      <c r="T471" s="81"/>
      <c r="U471" s="81">
        <f>SUM(S471:T471)</f>
        <v>2000</v>
      </c>
      <c r="V471" s="81"/>
      <c r="W471" s="81">
        <f>SUM(U471:V471)</f>
        <v>2000</v>
      </c>
      <c r="X471" s="81"/>
      <c r="Y471" s="81">
        <f>SUM(W471:X471)</f>
        <v>2000</v>
      </c>
      <c r="Z471" s="81"/>
      <c r="AA471" s="81">
        <f>SUM(Y471:Z471)</f>
        <v>2000</v>
      </c>
    </row>
    <row r="472" spans="1:27" s="6" customFormat="1" ht="25.5" customHeight="1">
      <c r="A472" s="33" t="s">
        <v>63</v>
      </c>
      <c r="B472" s="34"/>
      <c r="C472" s="35"/>
      <c r="D472" s="36" t="s">
        <v>137</v>
      </c>
      <c r="E472" s="37">
        <f aca="true" t="shared" si="288" ref="E472:W472">SUM(E473,E480,E482,E484,E486)</f>
        <v>2570955</v>
      </c>
      <c r="F472" s="37">
        <f t="shared" si="288"/>
        <v>170500</v>
      </c>
      <c r="G472" s="37">
        <f t="shared" si="288"/>
        <v>2741455</v>
      </c>
      <c r="H472" s="37">
        <f t="shared" si="288"/>
        <v>0</v>
      </c>
      <c r="I472" s="37">
        <f t="shared" si="288"/>
        <v>2741455</v>
      </c>
      <c r="J472" s="37">
        <f t="shared" si="288"/>
        <v>0</v>
      </c>
      <c r="K472" s="37">
        <f t="shared" si="288"/>
        <v>2741455</v>
      </c>
      <c r="L472" s="37">
        <f t="shared" si="288"/>
        <v>8700</v>
      </c>
      <c r="M472" s="37">
        <f t="shared" si="288"/>
        <v>2750155</v>
      </c>
      <c r="N472" s="37">
        <f t="shared" si="288"/>
        <v>0</v>
      </c>
      <c r="O472" s="37">
        <f t="shared" si="288"/>
        <v>2750155</v>
      </c>
      <c r="P472" s="37">
        <f t="shared" si="288"/>
        <v>0</v>
      </c>
      <c r="Q472" s="37">
        <f t="shared" si="288"/>
        <v>2750155</v>
      </c>
      <c r="R472" s="37">
        <f t="shared" si="288"/>
        <v>0</v>
      </c>
      <c r="S472" s="37">
        <f t="shared" si="288"/>
        <v>2750155</v>
      </c>
      <c r="T472" s="37">
        <f t="shared" si="288"/>
        <v>0</v>
      </c>
      <c r="U472" s="37">
        <f t="shared" si="288"/>
        <v>2750155</v>
      </c>
      <c r="V472" s="37">
        <f t="shared" si="288"/>
        <v>0</v>
      </c>
      <c r="W472" s="37">
        <f t="shared" si="288"/>
        <v>2750155</v>
      </c>
      <c r="X472" s="37">
        <f>SUM(X473,X480,X482,X484,X486)</f>
        <v>0</v>
      </c>
      <c r="Y472" s="37">
        <f>SUM(Y473,Y480,Y482,Y484,Y486)</f>
        <v>2750155</v>
      </c>
      <c r="Z472" s="37">
        <f>SUM(Z473,Z480,Z482,Z484,Z486)</f>
        <v>0</v>
      </c>
      <c r="AA472" s="37">
        <f>SUM(AA473,AA480,AA482,AA484,AA486)</f>
        <v>2750155</v>
      </c>
    </row>
    <row r="473" spans="1:27" s="24" customFormat="1" ht="21.75" customHeight="1">
      <c r="A473" s="67"/>
      <c r="B473" s="82" t="s">
        <v>138</v>
      </c>
      <c r="C473" s="86"/>
      <c r="D473" s="38" t="s">
        <v>150</v>
      </c>
      <c r="E473" s="81">
        <f aca="true" t="shared" si="289" ref="E473:W473">SUM(E474:E479)</f>
        <v>713023</v>
      </c>
      <c r="F473" s="81">
        <f t="shared" si="289"/>
        <v>170500</v>
      </c>
      <c r="G473" s="81">
        <f t="shared" si="289"/>
        <v>883523</v>
      </c>
      <c r="H473" s="81">
        <f t="shared" si="289"/>
        <v>0</v>
      </c>
      <c r="I473" s="81">
        <f t="shared" si="289"/>
        <v>883523</v>
      </c>
      <c r="J473" s="81">
        <f t="shared" si="289"/>
        <v>0</v>
      </c>
      <c r="K473" s="81">
        <f t="shared" si="289"/>
        <v>883523</v>
      </c>
      <c r="L473" s="81">
        <f t="shared" si="289"/>
        <v>3700</v>
      </c>
      <c r="M473" s="81">
        <f t="shared" si="289"/>
        <v>887223</v>
      </c>
      <c r="N473" s="81">
        <f t="shared" si="289"/>
        <v>0</v>
      </c>
      <c r="O473" s="81">
        <f t="shared" si="289"/>
        <v>887223</v>
      </c>
      <c r="P473" s="81">
        <f t="shared" si="289"/>
        <v>0</v>
      </c>
      <c r="Q473" s="81">
        <f t="shared" si="289"/>
        <v>887223</v>
      </c>
      <c r="R473" s="81">
        <f t="shared" si="289"/>
        <v>0</v>
      </c>
      <c r="S473" s="81">
        <f t="shared" si="289"/>
        <v>887223</v>
      </c>
      <c r="T473" s="81">
        <f t="shared" si="289"/>
        <v>0</v>
      </c>
      <c r="U473" s="81">
        <f t="shared" si="289"/>
        <v>887223</v>
      </c>
      <c r="V473" s="81">
        <f t="shared" si="289"/>
        <v>0</v>
      </c>
      <c r="W473" s="81">
        <f t="shared" si="289"/>
        <v>887223</v>
      </c>
      <c r="X473" s="81">
        <f>SUM(X474:X479)</f>
        <v>0</v>
      </c>
      <c r="Y473" s="81">
        <f>SUM(Y474:Y479)</f>
        <v>887223</v>
      </c>
      <c r="Z473" s="81">
        <f>SUM(Z474:Z479)</f>
        <v>0</v>
      </c>
      <c r="AA473" s="81">
        <f>SUM(AA474:AA479)</f>
        <v>887223</v>
      </c>
    </row>
    <row r="474" spans="1:27" s="24" customFormat="1" ht="27" customHeight="1">
      <c r="A474" s="67"/>
      <c r="B474" s="82"/>
      <c r="C474" s="86">
        <v>2480</v>
      </c>
      <c r="D474" s="38" t="s">
        <v>187</v>
      </c>
      <c r="E474" s="81">
        <v>632800</v>
      </c>
      <c r="F474" s="81">
        <f>-62000-11000+6000+187500</f>
        <v>120500</v>
      </c>
      <c r="G474" s="81">
        <f aca="true" t="shared" si="290" ref="G474:G479">SUM(E474:F474)</f>
        <v>753300</v>
      </c>
      <c r="H474" s="81"/>
      <c r="I474" s="81">
        <f aca="true" t="shared" si="291" ref="I474:I479">SUM(G474:H474)</f>
        <v>753300</v>
      </c>
      <c r="J474" s="81"/>
      <c r="K474" s="81">
        <f aca="true" t="shared" si="292" ref="K474:K479">SUM(I474:J474)</f>
        <v>753300</v>
      </c>
      <c r="L474" s="81">
        <f>1000+3500</f>
        <v>4500</v>
      </c>
      <c r="M474" s="81">
        <f aca="true" t="shared" si="293" ref="M474:M479">SUM(K474:L474)</f>
        <v>757800</v>
      </c>
      <c r="N474" s="81"/>
      <c r="O474" s="81">
        <f aca="true" t="shared" si="294" ref="O474:O479">SUM(M474:N474)</f>
        <v>757800</v>
      </c>
      <c r="P474" s="81"/>
      <c r="Q474" s="81">
        <f aca="true" t="shared" si="295" ref="Q474:Q479">SUM(O474:P474)</f>
        <v>757800</v>
      </c>
      <c r="R474" s="81"/>
      <c r="S474" s="81">
        <f aca="true" t="shared" si="296" ref="S474:S479">SUM(Q474:R474)</f>
        <v>757800</v>
      </c>
      <c r="T474" s="81"/>
      <c r="U474" s="81">
        <f aca="true" t="shared" si="297" ref="U474:U479">SUM(S474:T474)</f>
        <v>757800</v>
      </c>
      <c r="V474" s="81"/>
      <c r="W474" s="81">
        <f aca="true" t="shared" si="298" ref="W474:W479">SUM(U474:V474)</f>
        <v>757800</v>
      </c>
      <c r="X474" s="81"/>
      <c r="Y474" s="81">
        <f aca="true" t="shared" si="299" ref="Y474:Y479">SUM(W474:X474)</f>
        <v>757800</v>
      </c>
      <c r="Z474" s="81"/>
      <c r="AA474" s="81">
        <f aca="true" t="shared" si="300" ref="AA474:AA479">SUM(Y474:Z474)</f>
        <v>757800</v>
      </c>
    </row>
    <row r="475" spans="1:27" s="24" customFormat="1" ht="21" customHeight="1">
      <c r="A475" s="67"/>
      <c r="B475" s="82"/>
      <c r="C475" s="67">
        <v>4210</v>
      </c>
      <c r="D475" s="38" t="s">
        <v>92</v>
      </c>
      <c r="E475" s="81">
        <f>26426+6061</f>
        <v>32487</v>
      </c>
      <c r="F475" s="81"/>
      <c r="G475" s="81">
        <f t="shared" si="290"/>
        <v>32487</v>
      </c>
      <c r="H475" s="81"/>
      <c r="I475" s="81">
        <f t="shared" si="291"/>
        <v>32487</v>
      </c>
      <c r="J475" s="81"/>
      <c r="K475" s="81">
        <f t="shared" si="292"/>
        <v>32487</v>
      </c>
      <c r="L475" s="81"/>
      <c r="M475" s="81">
        <f t="shared" si="293"/>
        <v>32487</v>
      </c>
      <c r="N475" s="81"/>
      <c r="O475" s="81">
        <f t="shared" si="294"/>
        <v>32487</v>
      </c>
      <c r="P475" s="81"/>
      <c r="Q475" s="81">
        <f t="shared" si="295"/>
        <v>32487</v>
      </c>
      <c r="R475" s="81"/>
      <c r="S475" s="81">
        <f t="shared" si="296"/>
        <v>32487</v>
      </c>
      <c r="T475" s="81"/>
      <c r="U475" s="81">
        <f t="shared" si="297"/>
        <v>32487</v>
      </c>
      <c r="V475" s="81"/>
      <c r="W475" s="81">
        <f t="shared" si="298"/>
        <v>32487</v>
      </c>
      <c r="X475" s="81"/>
      <c r="Y475" s="81">
        <f t="shared" si="299"/>
        <v>32487</v>
      </c>
      <c r="Z475" s="81"/>
      <c r="AA475" s="81">
        <f t="shared" si="300"/>
        <v>32487</v>
      </c>
    </row>
    <row r="476" spans="1:27" s="24" customFormat="1" ht="21" customHeight="1">
      <c r="A476" s="67"/>
      <c r="B476" s="82"/>
      <c r="C476" s="67">
        <v>4260</v>
      </c>
      <c r="D476" s="38" t="s">
        <v>95</v>
      </c>
      <c r="E476" s="81">
        <v>15466</v>
      </c>
      <c r="F476" s="81"/>
      <c r="G476" s="81">
        <f t="shared" si="290"/>
        <v>15466</v>
      </c>
      <c r="H476" s="81"/>
      <c r="I476" s="81">
        <f t="shared" si="291"/>
        <v>15466</v>
      </c>
      <c r="J476" s="81"/>
      <c r="K476" s="81">
        <f t="shared" si="292"/>
        <v>15466</v>
      </c>
      <c r="L476" s="81">
        <v>-800</v>
      </c>
      <c r="M476" s="81">
        <f t="shared" si="293"/>
        <v>14666</v>
      </c>
      <c r="N476" s="81"/>
      <c r="O476" s="81">
        <f t="shared" si="294"/>
        <v>14666</v>
      </c>
      <c r="P476" s="81"/>
      <c r="Q476" s="81">
        <f t="shared" si="295"/>
        <v>14666</v>
      </c>
      <c r="R476" s="81"/>
      <c r="S476" s="81">
        <f t="shared" si="296"/>
        <v>14666</v>
      </c>
      <c r="T476" s="81"/>
      <c r="U476" s="81">
        <f t="shared" si="297"/>
        <v>14666</v>
      </c>
      <c r="V476" s="81"/>
      <c r="W476" s="81">
        <f t="shared" si="298"/>
        <v>14666</v>
      </c>
      <c r="X476" s="81"/>
      <c r="Y476" s="81">
        <f t="shared" si="299"/>
        <v>14666</v>
      </c>
      <c r="Z476" s="81"/>
      <c r="AA476" s="81">
        <f t="shared" si="300"/>
        <v>14666</v>
      </c>
    </row>
    <row r="477" spans="1:27" s="24" customFormat="1" ht="21" customHeight="1">
      <c r="A477" s="67"/>
      <c r="B477" s="82"/>
      <c r="C477" s="67">
        <v>4270</v>
      </c>
      <c r="D477" s="38" t="s">
        <v>78</v>
      </c>
      <c r="E477" s="81">
        <f>29250+1100</f>
        <v>30350</v>
      </c>
      <c r="F477" s="81">
        <f>20000+30000</f>
        <v>50000</v>
      </c>
      <c r="G477" s="81">
        <f t="shared" si="290"/>
        <v>80350</v>
      </c>
      <c r="H477" s="81"/>
      <c r="I477" s="81">
        <f t="shared" si="291"/>
        <v>80350</v>
      </c>
      <c r="J477" s="81"/>
      <c r="K477" s="81">
        <f t="shared" si="292"/>
        <v>80350</v>
      </c>
      <c r="L477" s="81"/>
      <c r="M477" s="81">
        <f t="shared" si="293"/>
        <v>80350</v>
      </c>
      <c r="N477" s="81"/>
      <c r="O477" s="81">
        <f t="shared" si="294"/>
        <v>80350</v>
      </c>
      <c r="P477" s="81"/>
      <c r="Q477" s="81">
        <f t="shared" si="295"/>
        <v>80350</v>
      </c>
      <c r="R477" s="81"/>
      <c r="S477" s="81">
        <f t="shared" si="296"/>
        <v>80350</v>
      </c>
      <c r="T477" s="81"/>
      <c r="U477" s="81">
        <f t="shared" si="297"/>
        <v>80350</v>
      </c>
      <c r="V477" s="81"/>
      <c r="W477" s="81">
        <f t="shared" si="298"/>
        <v>80350</v>
      </c>
      <c r="X477" s="81"/>
      <c r="Y477" s="81">
        <f t="shared" si="299"/>
        <v>80350</v>
      </c>
      <c r="Z477" s="81"/>
      <c r="AA477" s="81">
        <f t="shared" si="300"/>
        <v>80350</v>
      </c>
    </row>
    <row r="478" spans="1:27" s="24" customFormat="1" ht="21" customHeight="1">
      <c r="A478" s="67"/>
      <c r="B478" s="82"/>
      <c r="C478" s="86">
        <v>4300</v>
      </c>
      <c r="D478" s="90" t="s">
        <v>79</v>
      </c>
      <c r="E478" s="81">
        <v>230</v>
      </c>
      <c r="F478" s="81"/>
      <c r="G478" s="81">
        <f t="shared" si="290"/>
        <v>230</v>
      </c>
      <c r="H478" s="81"/>
      <c r="I478" s="81">
        <f t="shared" si="291"/>
        <v>230</v>
      </c>
      <c r="J478" s="81"/>
      <c r="K478" s="81">
        <f t="shared" si="292"/>
        <v>230</v>
      </c>
      <c r="L478" s="81"/>
      <c r="M478" s="81">
        <f t="shared" si="293"/>
        <v>230</v>
      </c>
      <c r="N478" s="81"/>
      <c r="O478" s="81">
        <f t="shared" si="294"/>
        <v>230</v>
      </c>
      <c r="P478" s="81"/>
      <c r="Q478" s="81">
        <f t="shared" si="295"/>
        <v>230</v>
      </c>
      <c r="R478" s="81"/>
      <c r="S478" s="81">
        <f t="shared" si="296"/>
        <v>230</v>
      </c>
      <c r="T478" s="81"/>
      <c r="U478" s="81">
        <f t="shared" si="297"/>
        <v>230</v>
      </c>
      <c r="V478" s="81"/>
      <c r="W478" s="81">
        <f t="shared" si="298"/>
        <v>230</v>
      </c>
      <c r="X478" s="81"/>
      <c r="Y478" s="81">
        <f t="shared" si="299"/>
        <v>230</v>
      </c>
      <c r="Z478" s="81"/>
      <c r="AA478" s="81">
        <f t="shared" si="300"/>
        <v>230</v>
      </c>
    </row>
    <row r="479" spans="1:27" s="24" customFormat="1" ht="21" customHeight="1">
      <c r="A479" s="67"/>
      <c r="B479" s="82"/>
      <c r="C479" s="86">
        <v>4430</v>
      </c>
      <c r="D479" s="90" t="s">
        <v>94</v>
      </c>
      <c r="E479" s="81">
        <v>1690</v>
      </c>
      <c r="F479" s="81"/>
      <c r="G479" s="81">
        <f t="shared" si="290"/>
        <v>1690</v>
      </c>
      <c r="H479" s="81"/>
      <c r="I479" s="81">
        <f t="shared" si="291"/>
        <v>1690</v>
      </c>
      <c r="J479" s="81"/>
      <c r="K479" s="81">
        <f t="shared" si="292"/>
        <v>1690</v>
      </c>
      <c r="L479" s="81"/>
      <c r="M479" s="81">
        <f t="shared" si="293"/>
        <v>1690</v>
      </c>
      <c r="N479" s="81"/>
      <c r="O479" s="81">
        <f t="shared" si="294"/>
        <v>1690</v>
      </c>
      <c r="P479" s="81"/>
      <c r="Q479" s="81">
        <f t="shared" si="295"/>
        <v>1690</v>
      </c>
      <c r="R479" s="81"/>
      <c r="S479" s="81">
        <f t="shared" si="296"/>
        <v>1690</v>
      </c>
      <c r="T479" s="81"/>
      <c r="U479" s="81">
        <f t="shared" si="297"/>
        <v>1690</v>
      </c>
      <c r="V479" s="81"/>
      <c r="W479" s="81">
        <f t="shared" si="298"/>
        <v>1690</v>
      </c>
      <c r="X479" s="81"/>
      <c r="Y479" s="81">
        <f t="shared" si="299"/>
        <v>1690</v>
      </c>
      <c r="Z479" s="81"/>
      <c r="AA479" s="81">
        <f t="shared" si="300"/>
        <v>1690</v>
      </c>
    </row>
    <row r="480" spans="1:27" s="24" customFormat="1" ht="21" customHeight="1">
      <c r="A480" s="67"/>
      <c r="B480" s="82" t="s">
        <v>64</v>
      </c>
      <c r="C480" s="86"/>
      <c r="D480" s="38" t="s">
        <v>65</v>
      </c>
      <c r="E480" s="81">
        <f aca="true" t="shared" si="301" ref="E480:AA480">E481</f>
        <v>1180352</v>
      </c>
      <c r="F480" s="81">
        <f t="shared" si="301"/>
        <v>0</v>
      </c>
      <c r="G480" s="81">
        <f t="shared" si="301"/>
        <v>1180352</v>
      </c>
      <c r="H480" s="81">
        <f t="shared" si="301"/>
        <v>0</v>
      </c>
      <c r="I480" s="81">
        <f t="shared" si="301"/>
        <v>1180352</v>
      </c>
      <c r="J480" s="81">
        <f t="shared" si="301"/>
        <v>0</v>
      </c>
      <c r="K480" s="81">
        <f t="shared" si="301"/>
        <v>1180352</v>
      </c>
      <c r="L480" s="81">
        <f t="shared" si="301"/>
        <v>1000</v>
      </c>
      <c r="M480" s="81">
        <f t="shared" si="301"/>
        <v>1181352</v>
      </c>
      <c r="N480" s="81">
        <f t="shared" si="301"/>
        <v>0</v>
      </c>
      <c r="O480" s="81">
        <f t="shared" si="301"/>
        <v>1181352</v>
      </c>
      <c r="P480" s="81">
        <f t="shared" si="301"/>
        <v>0</v>
      </c>
      <c r="Q480" s="81">
        <f t="shared" si="301"/>
        <v>1181352</v>
      </c>
      <c r="R480" s="81">
        <f t="shared" si="301"/>
        <v>0</v>
      </c>
      <c r="S480" s="81">
        <f t="shared" si="301"/>
        <v>1181352</v>
      </c>
      <c r="T480" s="81">
        <f t="shared" si="301"/>
        <v>0</v>
      </c>
      <c r="U480" s="81">
        <f t="shared" si="301"/>
        <v>1181352</v>
      </c>
      <c r="V480" s="81">
        <f t="shared" si="301"/>
        <v>0</v>
      </c>
      <c r="W480" s="81">
        <f t="shared" si="301"/>
        <v>1181352</v>
      </c>
      <c r="X480" s="81">
        <f t="shared" si="301"/>
        <v>0</v>
      </c>
      <c r="Y480" s="81">
        <f t="shared" si="301"/>
        <v>1181352</v>
      </c>
      <c r="Z480" s="81">
        <f t="shared" si="301"/>
        <v>0</v>
      </c>
      <c r="AA480" s="81">
        <f t="shared" si="301"/>
        <v>1181352</v>
      </c>
    </row>
    <row r="481" spans="1:27" s="24" customFormat="1" ht="22.5">
      <c r="A481" s="67"/>
      <c r="B481" s="82"/>
      <c r="C481" s="86">
        <v>2480</v>
      </c>
      <c r="D481" s="38" t="s">
        <v>187</v>
      </c>
      <c r="E481" s="81">
        <f>60000+1120352</f>
        <v>1180352</v>
      </c>
      <c r="F481" s="81"/>
      <c r="G481" s="81">
        <f>SUM(E481:F481)</f>
        <v>1180352</v>
      </c>
      <c r="H481" s="81"/>
      <c r="I481" s="81">
        <f>SUM(G481:H481)</f>
        <v>1180352</v>
      </c>
      <c r="J481" s="81"/>
      <c r="K481" s="81">
        <f>SUM(I481:J481)</f>
        <v>1180352</v>
      </c>
      <c r="L481" s="81">
        <v>1000</v>
      </c>
      <c r="M481" s="81">
        <f>SUM(K481:L481)</f>
        <v>1181352</v>
      </c>
      <c r="N481" s="81"/>
      <c r="O481" s="81">
        <f>SUM(M481:N481)</f>
        <v>1181352</v>
      </c>
      <c r="P481" s="81"/>
      <c r="Q481" s="81">
        <f>SUM(O481:P481)</f>
        <v>1181352</v>
      </c>
      <c r="R481" s="81"/>
      <c r="S481" s="81">
        <f>SUM(Q481:R481)</f>
        <v>1181352</v>
      </c>
      <c r="T481" s="81"/>
      <c r="U481" s="81">
        <f>SUM(S481:T481)</f>
        <v>1181352</v>
      </c>
      <c r="V481" s="81"/>
      <c r="W481" s="81">
        <f>SUM(U481:V481)</f>
        <v>1181352</v>
      </c>
      <c r="X481" s="81"/>
      <c r="Y481" s="81">
        <f>SUM(W481:X481)</f>
        <v>1181352</v>
      </c>
      <c r="Z481" s="81"/>
      <c r="AA481" s="81">
        <f>SUM(Y481:Z481)</f>
        <v>1181352</v>
      </c>
    </row>
    <row r="482" spans="1:27" s="24" customFormat="1" ht="21" customHeight="1">
      <c r="A482" s="67"/>
      <c r="B482" s="82" t="s">
        <v>139</v>
      </c>
      <c r="C482" s="86"/>
      <c r="D482" s="38" t="s">
        <v>140</v>
      </c>
      <c r="E482" s="81">
        <f aca="true" t="shared" si="302" ref="E482:AA482">E483</f>
        <v>650000</v>
      </c>
      <c r="F482" s="81">
        <f t="shared" si="302"/>
        <v>0</v>
      </c>
      <c r="G482" s="81">
        <f t="shared" si="302"/>
        <v>650000</v>
      </c>
      <c r="H482" s="81">
        <f t="shared" si="302"/>
        <v>0</v>
      </c>
      <c r="I482" s="81">
        <f t="shared" si="302"/>
        <v>650000</v>
      </c>
      <c r="J482" s="81">
        <f t="shared" si="302"/>
        <v>0</v>
      </c>
      <c r="K482" s="81">
        <f t="shared" si="302"/>
        <v>650000</v>
      </c>
      <c r="L482" s="81">
        <f t="shared" si="302"/>
        <v>4000</v>
      </c>
      <c r="M482" s="81">
        <f t="shared" si="302"/>
        <v>654000</v>
      </c>
      <c r="N482" s="81">
        <f t="shared" si="302"/>
        <v>0</v>
      </c>
      <c r="O482" s="81">
        <f t="shared" si="302"/>
        <v>654000</v>
      </c>
      <c r="P482" s="81">
        <f t="shared" si="302"/>
        <v>0</v>
      </c>
      <c r="Q482" s="81">
        <f t="shared" si="302"/>
        <v>654000</v>
      </c>
      <c r="R482" s="81">
        <f t="shared" si="302"/>
        <v>0</v>
      </c>
      <c r="S482" s="81">
        <f t="shared" si="302"/>
        <v>654000</v>
      </c>
      <c r="T482" s="81">
        <f t="shared" si="302"/>
        <v>0</v>
      </c>
      <c r="U482" s="81">
        <f t="shared" si="302"/>
        <v>654000</v>
      </c>
      <c r="V482" s="81">
        <f t="shared" si="302"/>
        <v>0</v>
      </c>
      <c r="W482" s="81">
        <f t="shared" si="302"/>
        <v>654000</v>
      </c>
      <c r="X482" s="81">
        <f t="shared" si="302"/>
        <v>0</v>
      </c>
      <c r="Y482" s="81">
        <f t="shared" si="302"/>
        <v>654000</v>
      </c>
      <c r="Z482" s="81">
        <f t="shared" si="302"/>
        <v>0</v>
      </c>
      <c r="AA482" s="81">
        <f t="shared" si="302"/>
        <v>654000</v>
      </c>
    </row>
    <row r="483" spans="1:27" s="24" customFormat="1" ht="22.5">
      <c r="A483" s="67"/>
      <c r="B483" s="82"/>
      <c r="C483" s="86">
        <v>2480</v>
      </c>
      <c r="D483" s="38" t="s">
        <v>187</v>
      </c>
      <c r="E483" s="81">
        <v>650000</v>
      </c>
      <c r="F483" s="81"/>
      <c r="G483" s="81">
        <f>SUM(E483:F483)</f>
        <v>650000</v>
      </c>
      <c r="H483" s="81"/>
      <c r="I483" s="81">
        <f>SUM(G483:H483)</f>
        <v>650000</v>
      </c>
      <c r="J483" s="81"/>
      <c r="K483" s="81">
        <f>SUM(I483:J483)</f>
        <v>650000</v>
      </c>
      <c r="L483" s="81">
        <f>2000+1000+1000</f>
        <v>4000</v>
      </c>
      <c r="M483" s="81">
        <f>SUM(K483:L483)</f>
        <v>654000</v>
      </c>
      <c r="N483" s="81"/>
      <c r="O483" s="81">
        <f>SUM(M483:N483)</f>
        <v>654000</v>
      </c>
      <c r="P483" s="81"/>
      <c r="Q483" s="81">
        <f>SUM(O483:P483)</f>
        <v>654000</v>
      </c>
      <c r="R483" s="81"/>
      <c r="S483" s="81">
        <f>SUM(Q483:R483)</f>
        <v>654000</v>
      </c>
      <c r="T483" s="81"/>
      <c r="U483" s="81">
        <f>SUM(S483:T483)</f>
        <v>654000</v>
      </c>
      <c r="V483" s="81"/>
      <c r="W483" s="81">
        <f>SUM(U483:V483)</f>
        <v>654000</v>
      </c>
      <c r="X483" s="81"/>
      <c r="Y483" s="81">
        <f>SUM(W483:X483)</f>
        <v>654000</v>
      </c>
      <c r="Z483" s="81"/>
      <c r="AA483" s="81">
        <f>SUM(Y483:Z483)</f>
        <v>654000</v>
      </c>
    </row>
    <row r="484" spans="1:27" s="24" customFormat="1" ht="21" customHeight="1">
      <c r="A484" s="67"/>
      <c r="B484" s="82">
        <v>92120</v>
      </c>
      <c r="C484" s="86"/>
      <c r="D484" s="38" t="s">
        <v>261</v>
      </c>
      <c r="E484" s="81">
        <f aca="true" t="shared" si="303" ref="E484:AA484">SUM(E485)</f>
        <v>7500</v>
      </c>
      <c r="F484" s="81">
        <f t="shared" si="303"/>
        <v>0</v>
      </c>
      <c r="G484" s="81">
        <f t="shared" si="303"/>
        <v>7500</v>
      </c>
      <c r="H484" s="81">
        <f t="shared" si="303"/>
        <v>0</v>
      </c>
      <c r="I484" s="81">
        <f t="shared" si="303"/>
        <v>7500</v>
      </c>
      <c r="J484" s="81">
        <f t="shared" si="303"/>
        <v>0</v>
      </c>
      <c r="K484" s="81">
        <f t="shared" si="303"/>
        <v>7500</v>
      </c>
      <c r="L484" s="81">
        <f t="shared" si="303"/>
        <v>0</v>
      </c>
      <c r="M484" s="81">
        <f t="shared" si="303"/>
        <v>7500</v>
      </c>
      <c r="N484" s="81">
        <f t="shared" si="303"/>
        <v>0</v>
      </c>
      <c r="O484" s="81">
        <f t="shared" si="303"/>
        <v>7500</v>
      </c>
      <c r="P484" s="81">
        <f t="shared" si="303"/>
        <v>0</v>
      </c>
      <c r="Q484" s="81">
        <f t="shared" si="303"/>
        <v>7500</v>
      </c>
      <c r="R484" s="81">
        <f t="shared" si="303"/>
        <v>0</v>
      </c>
      <c r="S484" s="81">
        <f t="shared" si="303"/>
        <v>7500</v>
      </c>
      <c r="T484" s="81">
        <f t="shared" si="303"/>
        <v>0</v>
      </c>
      <c r="U484" s="81">
        <f t="shared" si="303"/>
        <v>7500</v>
      </c>
      <c r="V484" s="81">
        <f t="shared" si="303"/>
        <v>0</v>
      </c>
      <c r="W484" s="81">
        <f t="shared" si="303"/>
        <v>7500</v>
      </c>
      <c r="X484" s="81">
        <f t="shared" si="303"/>
        <v>0</v>
      </c>
      <c r="Y484" s="81">
        <f t="shared" si="303"/>
        <v>7500</v>
      </c>
      <c r="Z484" s="81">
        <f t="shared" si="303"/>
        <v>0</v>
      </c>
      <c r="AA484" s="81">
        <f t="shared" si="303"/>
        <v>7500</v>
      </c>
    </row>
    <row r="485" spans="1:27" s="24" customFormat="1" ht="67.5">
      <c r="A485" s="67"/>
      <c r="B485" s="82"/>
      <c r="C485" s="86">
        <v>2720</v>
      </c>
      <c r="D485" s="38" t="s">
        <v>262</v>
      </c>
      <c r="E485" s="81">
        <v>7500</v>
      </c>
      <c r="F485" s="81"/>
      <c r="G485" s="81">
        <f>SUM(E485:F485)</f>
        <v>7500</v>
      </c>
      <c r="H485" s="81"/>
      <c r="I485" s="81">
        <f>SUM(G485:H485)</f>
        <v>7500</v>
      </c>
      <c r="J485" s="81"/>
      <c r="K485" s="81">
        <f>SUM(I485:J485)</f>
        <v>7500</v>
      </c>
      <c r="L485" s="81"/>
      <c r="M485" s="81">
        <f>SUM(K485:L485)</f>
        <v>7500</v>
      </c>
      <c r="N485" s="81"/>
      <c r="O485" s="81">
        <f>SUM(M485:N485)</f>
        <v>7500</v>
      </c>
      <c r="P485" s="81"/>
      <c r="Q485" s="81">
        <f>SUM(O485:P485)</f>
        <v>7500</v>
      </c>
      <c r="R485" s="81"/>
      <c r="S485" s="81">
        <f>SUM(Q485:R485)</f>
        <v>7500</v>
      </c>
      <c r="T485" s="81"/>
      <c r="U485" s="81">
        <f>SUM(S485:T485)</f>
        <v>7500</v>
      </c>
      <c r="V485" s="81"/>
      <c r="W485" s="81">
        <f>SUM(U485:V485)</f>
        <v>7500</v>
      </c>
      <c r="X485" s="81"/>
      <c r="Y485" s="81">
        <f>SUM(W485:X485)</f>
        <v>7500</v>
      </c>
      <c r="Z485" s="81"/>
      <c r="AA485" s="81">
        <f>SUM(Y485:Z485)</f>
        <v>7500</v>
      </c>
    </row>
    <row r="486" spans="1:27" s="24" customFormat="1" ht="21" customHeight="1">
      <c r="A486" s="67"/>
      <c r="B486" s="82">
        <v>92195</v>
      </c>
      <c r="C486" s="86"/>
      <c r="D486" s="38" t="s">
        <v>6</v>
      </c>
      <c r="E486" s="81">
        <f aca="true" t="shared" si="304" ref="E486:W486">SUM(E487:E488)</f>
        <v>20080</v>
      </c>
      <c r="F486" s="81">
        <f t="shared" si="304"/>
        <v>0</v>
      </c>
      <c r="G486" s="81">
        <f t="shared" si="304"/>
        <v>20080</v>
      </c>
      <c r="H486" s="81">
        <f t="shared" si="304"/>
        <v>0</v>
      </c>
      <c r="I486" s="81">
        <f t="shared" si="304"/>
        <v>20080</v>
      </c>
      <c r="J486" s="81">
        <f t="shared" si="304"/>
        <v>0</v>
      </c>
      <c r="K486" s="81">
        <f t="shared" si="304"/>
        <v>20080</v>
      </c>
      <c r="L486" s="81">
        <f t="shared" si="304"/>
        <v>0</v>
      </c>
      <c r="M486" s="81">
        <f t="shared" si="304"/>
        <v>20080</v>
      </c>
      <c r="N486" s="81">
        <f t="shared" si="304"/>
        <v>0</v>
      </c>
      <c r="O486" s="81">
        <f t="shared" si="304"/>
        <v>20080</v>
      </c>
      <c r="P486" s="81">
        <f t="shared" si="304"/>
        <v>0</v>
      </c>
      <c r="Q486" s="81">
        <f t="shared" si="304"/>
        <v>20080</v>
      </c>
      <c r="R486" s="81">
        <f t="shared" si="304"/>
        <v>0</v>
      </c>
      <c r="S486" s="81">
        <f t="shared" si="304"/>
        <v>20080</v>
      </c>
      <c r="T486" s="81">
        <f t="shared" si="304"/>
        <v>0</v>
      </c>
      <c r="U486" s="81">
        <f t="shared" si="304"/>
        <v>20080</v>
      </c>
      <c r="V486" s="81">
        <f t="shared" si="304"/>
        <v>0</v>
      </c>
      <c r="W486" s="81">
        <f t="shared" si="304"/>
        <v>20080</v>
      </c>
      <c r="X486" s="81">
        <f>SUM(X487:X488)</f>
        <v>0</v>
      </c>
      <c r="Y486" s="81">
        <f>SUM(Y487:Y488)</f>
        <v>20080</v>
      </c>
      <c r="Z486" s="81">
        <f>SUM(Z487:Z488)</f>
        <v>0</v>
      </c>
      <c r="AA486" s="81">
        <f>SUM(AA487:AA488)</f>
        <v>20080</v>
      </c>
    </row>
    <row r="487" spans="1:27" s="24" customFormat="1" ht="21" customHeight="1">
      <c r="A487" s="67"/>
      <c r="B487" s="82"/>
      <c r="C487" s="86">
        <v>4210</v>
      </c>
      <c r="D487" s="38" t="s">
        <v>92</v>
      </c>
      <c r="E487" s="81">
        <v>80</v>
      </c>
      <c r="F487" s="81"/>
      <c r="G487" s="81">
        <f>SUM(E487:F487)</f>
        <v>80</v>
      </c>
      <c r="H487" s="81"/>
      <c r="I487" s="81">
        <f>SUM(G487:H487)</f>
        <v>80</v>
      </c>
      <c r="J487" s="81"/>
      <c r="K487" s="81">
        <f>SUM(I487:J487)</f>
        <v>80</v>
      </c>
      <c r="L487" s="81"/>
      <c r="M487" s="81">
        <f>SUM(K487:L487)</f>
        <v>80</v>
      </c>
      <c r="N487" s="81"/>
      <c r="O487" s="81">
        <f>SUM(M487:N487)</f>
        <v>80</v>
      </c>
      <c r="P487" s="81"/>
      <c r="Q487" s="81">
        <f>SUM(O487:P487)</f>
        <v>80</v>
      </c>
      <c r="R487" s="81"/>
      <c r="S487" s="81">
        <f>SUM(Q487:R487)</f>
        <v>80</v>
      </c>
      <c r="T487" s="81"/>
      <c r="U487" s="81">
        <f>SUM(S487:T487)</f>
        <v>80</v>
      </c>
      <c r="V487" s="81"/>
      <c r="W487" s="81">
        <f>SUM(U487:V487)</f>
        <v>80</v>
      </c>
      <c r="X487" s="81"/>
      <c r="Y487" s="81">
        <f>SUM(W487:X487)</f>
        <v>80</v>
      </c>
      <c r="Z487" s="81"/>
      <c r="AA487" s="81">
        <f>SUM(Y487:Z487)</f>
        <v>80</v>
      </c>
    </row>
    <row r="488" spans="1:27" s="24" customFormat="1" ht="21" customHeight="1">
      <c r="A488" s="67"/>
      <c r="B488" s="82"/>
      <c r="C488" s="86">
        <v>4300</v>
      </c>
      <c r="D488" s="90" t="s">
        <v>79</v>
      </c>
      <c r="E488" s="81">
        <v>20000</v>
      </c>
      <c r="F488" s="81"/>
      <c r="G488" s="81">
        <f>SUM(E488:F488)</f>
        <v>20000</v>
      </c>
      <c r="H488" s="81"/>
      <c r="I488" s="81">
        <f>SUM(G488:H488)</f>
        <v>20000</v>
      </c>
      <c r="J488" s="81"/>
      <c r="K488" s="81">
        <f>SUM(I488:J488)</f>
        <v>20000</v>
      </c>
      <c r="L488" s="81"/>
      <c r="M488" s="81">
        <f>SUM(K488:L488)</f>
        <v>20000</v>
      </c>
      <c r="N488" s="81"/>
      <c r="O488" s="81">
        <f>SUM(M488:N488)</f>
        <v>20000</v>
      </c>
      <c r="P488" s="81"/>
      <c r="Q488" s="81">
        <f>SUM(O488:P488)</f>
        <v>20000</v>
      </c>
      <c r="R488" s="81"/>
      <c r="S488" s="81">
        <f>SUM(Q488:R488)</f>
        <v>20000</v>
      </c>
      <c r="T488" s="81"/>
      <c r="U488" s="81">
        <f>SUM(S488:T488)</f>
        <v>20000</v>
      </c>
      <c r="V488" s="81"/>
      <c r="W488" s="81">
        <f>SUM(U488:V488)</f>
        <v>20000</v>
      </c>
      <c r="X488" s="81"/>
      <c r="Y488" s="81">
        <f>SUM(W488:X488)</f>
        <v>20000</v>
      </c>
      <c r="Z488" s="81"/>
      <c r="AA488" s="81">
        <f>SUM(Y488:Z488)</f>
        <v>20000</v>
      </c>
    </row>
    <row r="489" spans="1:27" s="6" customFormat="1" ht="21" customHeight="1">
      <c r="A489" s="33" t="s">
        <v>141</v>
      </c>
      <c r="B489" s="34"/>
      <c r="C489" s="35"/>
      <c r="D489" s="36" t="s">
        <v>66</v>
      </c>
      <c r="E489" s="37">
        <f aca="true" t="shared" si="305" ref="E489:W489">SUM(E496,E492,E490,E507)</f>
        <v>2621888</v>
      </c>
      <c r="F489" s="37">
        <f t="shared" si="305"/>
        <v>-744000</v>
      </c>
      <c r="G489" s="37">
        <f t="shared" si="305"/>
        <v>1877888</v>
      </c>
      <c r="H489" s="37">
        <f t="shared" si="305"/>
        <v>0</v>
      </c>
      <c r="I489" s="37">
        <f t="shared" si="305"/>
        <v>1877888</v>
      </c>
      <c r="J489" s="37">
        <f t="shared" si="305"/>
        <v>0</v>
      </c>
      <c r="K489" s="37">
        <f t="shared" si="305"/>
        <v>1877888</v>
      </c>
      <c r="L489" s="37">
        <f t="shared" si="305"/>
        <v>422200</v>
      </c>
      <c r="M489" s="37">
        <f t="shared" si="305"/>
        <v>2300088</v>
      </c>
      <c r="N489" s="37">
        <f t="shared" si="305"/>
        <v>0</v>
      </c>
      <c r="O489" s="37">
        <f t="shared" si="305"/>
        <v>2300088</v>
      </c>
      <c r="P489" s="37">
        <f t="shared" si="305"/>
        <v>0</v>
      </c>
      <c r="Q489" s="37">
        <f t="shared" si="305"/>
        <v>2300088</v>
      </c>
      <c r="R489" s="37">
        <f t="shared" si="305"/>
        <v>26025</v>
      </c>
      <c r="S489" s="37">
        <f t="shared" si="305"/>
        <v>2326113</v>
      </c>
      <c r="T489" s="37">
        <f t="shared" si="305"/>
        <v>0</v>
      </c>
      <c r="U489" s="37">
        <f t="shared" si="305"/>
        <v>2326113</v>
      </c>
      <c r="V489" s="37">
        <f t="shared" si="305"/>
        <v>0</v>
      </c>
      <c r="W489" s="37">
        <f t="shared" si="305"/>
        <v>2326113</v>
      </c>
      <c r="X489" s="37">
        <f>SUM(X496,X492,X490,X507)</f>
        <v>0</v>
      </c>
      <c r="Y489" s="37">
        <f>SUM(Y496,Y492,Y490,Y507)</f>
        <v>2326113</v>
      </c>
      <c r="Z489" s="37">
        <f>SUM(Z496,Z492,Z490,Z507)</f>
        <v>0</v>
      </c>
      <c r="AA489" s="37">
        <f>SUM(AA496,AA492,AA490,AA507)</f>
        <v>2326113</v>
      </c>
    </row>
    <row r="490" spans="1:27" s="24" customFormat="1" ht="21" customHeight="1">
      <c r="A490" s="67"/>
      <c r="B490" s="87">
        <v>92601</v>
      </c>
      <c r="C490" s="86"/>
      <c r="D490" s="38" t="s">
        <v>248</v>
      </c>
      <c r="E490" s="81">
        <f aca="true" t="shared" si="306" ref="E490:AA490">SUM(E491)</f>
        <v>1956380</v>
      </c>
      <c r="F490" s="81">
        <f t="shared" si="306"/>
        <v>-500000</v>
      </c>
      <c r="G490" s="81">
        <f t="shared" si="306"/>
        <v>1456380</v>
      </c>
      <c r="H490" s="81">
        <f t="shared" si="306"/>
        <v>0</v>
      </c>
      <c r="I490" s="81">
        <f t="shared" si="306"/>
        <v>1456380</v>
      </c>
      <c r="J490" s="81">
        <f t="shared" si="306"/>
        <v>0</v>
      </c>
      <c r="K490" s="81">
        <f t="shared" si="306"/>
        <v>1456380</v>
      </c>
      <c r="L490" s="81">
        <f t="shared" si="306"/>
        <v>0</v>
      </c>
      <c r="M490" s="81">
        <f t="shared" si="306"/>
        <v>1456380</v>
      </c>
      <c r="N490" s="81">
        <f t="shared" si="306"/>
        <v>0</v>
      </c>
      <c r="O490" s="81">
        <f t="shared" si="306"/>
        <v>1456380</v>
      </c>
      <c r="P490" s="81">
        <f t="shared" si="306"/>
        <v>0</v>
      </c>
      <c r="Q490" s="81">
        <f t="shared" si="306"/>
        <v>1456380</v>
      </c>
      <c r="R490" s="81">
        <f t="shared" si="306"/>
        <v>0</v>
      </c>
      <c r="S490" s="81">
        <f t="shared" si="306"/>
        <v>1456380</v>
      </c>
      <c r="T490" s="81">
        <f t="shared" si="306"/>
        <v>0</v>
      </c>
      <c r="U490" s="81">
        <f t="shared" si="306"/>
        <v>1456380</v>
      </c>
      <c r="V490" s="81">
        <f t="shared" si="306"/>
        <v>0</v>
      </c>
      <c r="W490" s="81">
        <f t="shared" si="306"/>
        <v>1456380</v>
      </c>
      <c r="X490" s="81">
        <f t="shared" si="306"/>
        <v>0</v>
      </c>
      <c r="Y490" s="81">
        <f t="shared" si="306"/>
        <v>1456380</v>
      </c>
      <c r="Z490" s="81">
        <f t="shared" si="306"/>
        <v>0</v>
      </c>
      <c r="AA490" s="81">
        <f t="shared" si="306"/>
        <v>1456380</v>
      </c>
    </row>
    <row r="491" spans="1:27" s="24" customFormat="1" ht="21" customHeight="1">
      <c r="A491" s="67"/>
      <c r="B491" s="87"/>
      <c r="C491" s="86">
        <v>6050</v>
      </c>
      <c r="D491" s="38" t="s">
        <v>78</v>
      </c>
      <c r="E491" s="81">
        <f>70000+1886380</f>
        <v>1956380</v>
      </c>
      <c r="F491" s="81">
        <f>-600000+100000</f>
        <v>-500000</v>
      </c>
      <c r="G491" s="81">
        <f>SUM(E491:F491)</f>
        <v>1456380</v>
      </c>
      <c r="H491" s="81"/>
      <c r="I491" s="81">
        <f>SUM(G491:H491)</f>
        <v>1456380</v>
      </c>
      <c r="J491" s="81"/>
      <c r="K491" s="81">
        <f>SUM(I491:J491)</f>
        <v>1456380</v>
      </c>
      <c r="L491" s="81"/>
      <c r="M491" s="81">
        <f>SUM(K491:L491)</f>
        <v>1456380</v>
      </c>
      <c r="N491" s="81"/>
      <c r="O491" s="81">
        <f>SUM(M491:N491)</f>
        <v>1456380</v>
      </c>
      <c r="P491" s="81"/>
      <c r="Q491" s="81">
        <f>SUM(O491:P491)</f>
        <v>1456380</v>
      </c>
      <c r="R491" s="81"/>
      <c r="S491" s="81">
        <f>SUM(Q491:R491)</f>
        <v>1456380</v>
      </c>
      <c r="T491" s="81"/>
      <c r="U491" s="81">
        <f>SUM(S491:T491)</f>
        <v>1456380</v>
      </c>
      <c r="V491" s="81"/>
      <c r="W491" s="81">
        <f>SUM(U491:V491)</f>
        <v>1456380</v>
      </c>
      <c r="X491" s="81"/>
      <c r="Y491" s="81">
        <f>SUM(W491:X491)</f>
        <v>1456380</v>
      </c>
      <c r="Z491" s="81"/>
      <c r="AA491" s="81">
        <f>SUM(Y491:Z491)</f>
        <v>1456380</v>
      </c>
    </row>
    <row r="492" spans="1:27" s="24" customFormat="1" ht="21.75" customHeight="1">
      <c r="A492" s="67"/>
      <c r="B492" s="87">
        <v>92604</v>
      </c>
      <c r="C492" s="86"/>
      <c r="D492" s="38" t="s">
        <v>196</v>
      </c>
      <c r="E492" s="81">
        <f aca="true" t="shared" si="307" ref="E492:W492">SUM(E493:E495)</f>
        <v>530000</v>
      </c>
      <c r="F492" s="81">
        <f t="shared" si="307"/>
        <v>-250000</v>
      </c>
      <c r="G492" s="81">
        <f t="shared" si="307"/>
        <v>280000</v>
      </c>
      <c r="H492" s="81">
        <f t="shared" si="307"/>
        <v>0</v>
      </c>
      <c r="I492" s="81">
        <f t="shared" si="307"/>
        <v>280000</v>
      </c>
      <c r="J492" s="81">
        <f t="shared" si="307"/>
        <v>0</v>
      </c>
      <c r="K492" s="81">
        <f t="shared" si="307"/>
        <v>280000</v>
      </c>
      <c r="L492" s="81">
        <f t="shared" si="307"/>
        <v>0</v>
      </c>
      <c r="M492" s="81">
        <f t="shared" si="307"/>
        <v>280000</v>
      </c>
      <c r="N492" s="81">
        <f t="shared" si="307"/>
        <v>0</v>
      </c>
      <c r="O492" s="81">
        <f t="shared" si="307"/>
        <v>280000</v>
      </c>
      <c r="P492" s="81">
        <f t="shared" si="307"/>
        <v>0</v>
      </c>
      <c r="Q492" s="81">
        <f t="shared" si="307"/>
        <v>280000</v>
      </c>
      <c r="R492" s="81">
        <f t="shared" si="307"/>
        <v>0</v>
      </c>
      <c r="S492" s="81">
        <f t="shared" si="307"/>
        <v>280000</v>
      </c>
      <c r="T492" s="81">
        <f t="shared" si="307"/>
        <v>0</v>
      </c>
      <c r="U492" s="81">
        <f t="shared" si="307"/>
        <v>280000</v>
      </c>
      <c r="V492" s="81">
        <f t="shared" si="307"/>
        <v>0</v>
      </c>
      <c r="W492" s="81">
        <f t="shared" si="307"/>
        <v>280000</v>
      </c>
      <c r="X492" s="81">
        <f>SUM(X493:X495)</f>
        <v>0</v>
      </c>
      <c r="Y492" s="81">
        <f>SUM(Y493:Y495)</f>
        <v>280000</v>
      </c>
      <c r="Z492" s="81">
        <f>SUM(Z493:Z495)</f>
        <v>0</v>
      </c>
      <c r="AA492" s="81">
        <f>SUM(AA493:AA495)</f>
        <v>280000</v>
      </c>
    </row>
    <row r="493" spans="1:27" s="24" customFormat="1" ht="21" customHeight="1">
      <c r="A493" s="67"/>
      <c r="B493" s="87"/>
      <c r="C493" s="86">
        <v>4270</v>
      </c>
      <c r="D493" s="38" t="s">
        <v>78</v>
      </c>
      <c r="E493" s="81">
        <v>10000</v>
      </c>
      <c r="F493" s="81"/>
      <c r="G493" s="81">
        <f>SUM(E493:F493)</f>
        <v>10000</v>
      </c>
      <c r="H493" s="81"/>
      <c r="I493" s="81">
        <f>SUM(G493:H493)</f>
        <v>10000</v>
      </c>
      <c r="J493" s="81"/>
      <c r="K493" s="81">
        <f>SUM(I493:J493)</f>
        <v>10000</v>
      </c>
      <c r="L493" s="81"/>
      <c r="M493" s="81">
        <f>SUM(K493:L493)</f>
        <v>10000</v>
      </c>
      <c r="N493" s="81"/>
      <c r="O493" s="81">
        <f>SUM(M493:N493)</f>
        <v>10000</v>
      </c>
      <c r="P493" s="81"/>
      <c r="Q493" s="81">
        <f>SUM(O493:P493)</f>
        <v>10000</v>
      </c>
      <c r="R493" s="81"/>
      <c r="S493" s="81">
        <f>SUM(Q493:R493)</f>
        <v>10000</v>
      </c>
      <c r="T493" s="81"/>
      <c r="U493" s="81">
        <f>SUM(S493:T493)</f>
        <v>10000</v>
      </c>
      <c r="V493" s="81"/>
      <c r="W493" s="81">
        <f>SUM(U493:V493)</f>
        <v>10000</v>
      </c>
      <c r="X493" s="81"/>
      <c r="Y493" s="81">
        <f>SUM(W493:X493)</f>
        <v>10000</v>
      </c>
      <c r="Z493" s="81"/>
      <c r="AA493" s="81">
        <f>SUM(Y493:Z493)</f>
        <v>10000</v>
      </c>
    </row>
    <row r="494" spans="1:27" s="24" customFormat="1" ht="21" customHeight="1">
      <c r="A494" s="67"/>
      <c r="B494" s="87"/>
      <c r="C494" s="86">
        <v>4300</v>
      </c>
      <c r="D494" s="90" t="s">
        <v>79</v>
      </c>
      <c r="E494" s="81">
        <f>90000+30000</f>
        <v>120000</v>
      </c>
      <c r="F494" s="81"/>
      <c r="G494" s="81">
        <f>SUM(E494:F494)</f>
        <v>120000</v>
      </c>
      <c r="H494" s="81"/>
      <c r="I494" s="81">
        <f>SUM(G494:H494)</f>
        <v>120000</v>
      </c>
      <c r="J494" s="81"/>
      <c r="K494" s="81">
        <f>SUM(I494:J494)</f>
        <v>120000</v>
      </c>
      <c r="L494" s="81"/>
      <c r="M494" s="81">
        <f>SUM(K494:L494)</f>
        <v>120000</v>
      </c>
      <c r="N494" s="81"/>
      <c r="O494" s="81">
        <f>SUM(M494:N494)</f>
        <v>120000</v>
      </c>
      <c r="P494" s="81"/>
      <c r="Q494" s="81">
        <f>SUM(O494:P494)</f>
        <v>120000</v>
      </c>
      <c r="R494" s="81"/>
      <c r="S494" s="81">
        <f>SUM(Q494:R494)</f>
        <v>120000</v>
      </c>
      <c r="T494" s="81"/>
      <c r="U494" s="81">
        <f>SUM(S494:T494)</f>
        <v>120000</v>
      </c>
      <c r="V494" s="81"/>
      <c r="W494" s="81">
        <f>SUM(U494:V494)</f>
        <v>120000</v>
      </c>
      <c r="X494" s="81"/>
      <c r="Y494" s="81">
        <f>SUM(W494:X494)</f>
        <v>120000</v>
      </c>
      <c r="Z494" s="81"/>
      <c r="AA494" s="81">
        <f>SUM(Y494:Z494)</f>
        <v>120000</v>
      </c>
    </row>
    <row r="495" spans="1:27" s="24" customFormat="1" ht="67.5">
      <c r="A495" s="67"/>
      <c r="B495" s="87"/>
      <c r="C495" s="86">
        <v>6010</v>
      </c>
      <c r="D495" s="13" t="s">
        <v>263</v>
      </c>
      <c r="E495" s="81">
        <v>400000</v>
      </c>
      <c r="F495" s="81">
        <v>-250000</v>
      </c>
      <c r="G495" s="81">
        <f>SUM(E495:F495)</f>
        <v>150000</v>
      </c>
      <c r="H495" s="81"/>
      <c r="I495" s="81">
        <f>SUM(G495:H495)</f>
        <v>150000</v>
      </c>
      <c r="J495" s="81"/>
      <c r="K495" s="81">
        <f>SUM(I495:J495)</f>
        <v>150000</v>
      </c>
      <c r="L495" s="81"/>
      <c r="M495" s="81">
        <f>SUM(K495:L495)</f>
        <v>150000</v>
      </c>
      <c r="N495" s="81"/>
      <c r="O495" s="81">
        <f>SUM(M495:N495)</f>
        <v>150000</v>
      </c>
      <c r="P495" s="81"/>
      <c r="Q495" s="81">
        <f>SUM(O495:P495)</f>
        <v>150000</v>
      </c>
      <c r="R495" s="81"/>
      <c r="S495" s="81">
        <f>SUM(Q495:R495)</f>
        <v>150000</v>
      </c>
      <c r="T495" s="81"/>
      <c r="U495" s="81">
        <f>SUM(S495:T495)</f>
        <v>150000</v>
      </c>
      <c r="V495" s="81"/>
      <c r="W495" s="81">
        <f>SUM(U495:V495)</f>
        <v>150000</v>
      </c>
      <c r="X495" s="81"/>
      <c r="Y495" s="81">
        <f>SUM(W495:X495)</f>
        <v>150000</v>
      </c>
      <c r="Z495" s="81"/>
      <c r="AA495" s="81">
        <f>SUM(Y495:Z495)</f>
        <v>150000</v>
      </c>
    </row>
    <row r="496" spans="1:27" s="24" customFormat="1" ht="22.5">
      <c r="A496" s="86"/>
      <c r="B496" s="89">
        <v>92605</v>
      </c>
      <c r="C496" s="86"/>
      <c r="D496" s="38" t="s">
        <v>67</v>
      </c>
      <c r="E496" s="81">
        <f aca="true" t="shared" si="308" ref="E496:J496">SUM(E498:E505)</f>
        <v>124903</v>
      </c>
      <c r="F496" s="81">
        <f t="shared" si="308"/>
        <v>6000</v>
      </c>
      <c r="G496" s="81">
        <f t="shared" si="308"/>
        <v>130903</v>
      </c>
      <c r="H496" s="81">
        <f t="shared" si="308"/>
        <v>0</v>
      </c>
      <c r="I496" s="81">
        <f t="shared" si="308"/>
        <v>130903</v>
      </c>
      <c r="J496" s="81">
        <f t="shared" si="308"/>
        <v>0</v>
      </c>
      <c r="K496" s="81">
        <f aca="true" t="shared" si="309" ref="K496:P496">SUM(K497:K505)</f>
        <v>130903</v>
      </c>
      <c r="L496" s="81">
        <f t="shared" si="309"/>
        <v>422200</v>
      </c>
      <c r="M496" s="81">
        <f t="shared" si="309"/>
        <v>553103</v>
      </c>
      <c r="N496" s="81">
        <f t="shared" si="309"/>
        <v>0</v>
      </c>
      <c r="O496" s="81">
        <f t="shared" si="309"/>
        <v>553103</v>
      </c>
      <c r="P496" s="81">
        <f t="shared" si="309"/>
        <v>0</v>
      </c>
      <c r="Q496" s="81">
        <f aca="true" t="shared" si="310" ref="Q496:W496">SUM(Q497:Q506)</f>
        <v>553103</v>
      </c>
      <c r="R496" s="81">
        <f t="shared" si="310"/>
        <v>26025</v>
      </c>
      <c r="S496" s="81">
        <f t="shared" si="310"/>
        <v>579128</v>
      </c>
      <c r="T496" s="81">
        <f t="shared" si="310"/>
        <v>0</v>
      </c>
      <c r="U496" s="81">
        <f t="shared" si="310"/>
        <v>579128</v>
      </c>
      <c r="V496" s="81">
        <f t="shared" si="310"/>
        <v>0</v>
      </c>
      <c r="W496" s="81">
        <f t="shared" si="310"/>
        <v>579128</v>
      </c>
      <c r="X496" s="81">
        <f>SUM(X497:X506)</f>
        <v>0</v>
      </c>
      <c r="Y496" s="81">
        <f>SUM(Y497:Y506)</f>
        <v>579128</v>
      </c>
      <c r="Z496" s="81">
        <f>SUM(Z497:Z506)</f>
        <v>0</v>
      </c>
      <c r="AA496" s="81">
        <f>SUM(AA497:AA506)</f>
        <v>579128</v>
      </c>
    </row>
    <row r="497" spans="1:27" s="24" customFormat="1" ht="33.75">
      <c r="A497" s="86"/>
      <c r="B497" s="89"/>
      <c r="C497" s="86">
        <v>2820</v>
      </c>
      <c r="D497" s="38" t="s">
        <v>424</v>
      </c>
      <c r="E497" s="81"/>
      <c r="F497" s="81"/>
      <c r="G497" s="81"/>
      <c r="H497" s="81"/>
      <c r="I497" s="81"/>
      <c r="J497" s="81"/>
      <c r="K497" s="81">
        <v>0</v>
      </c>
      <c r="L497" s="81">
        <v>400000</v>
      </c>
      <c r="M497" s="81">
        <f aca="true" t="shared" si="311" ref="M497:M505">SUM(K497:L497)</f>
        <v>400000</v>
      </c>
      <c r="N497" s="81"/>
      <c r="O497" s="81">
        <f aca="true" t="shared" si="312" ref="O497:O505">SUM(M497:N497)</f>
        <v>400000</v>
      </c>
      <c r="P497" s="81"/>
      <c r="Q497" s="81">
        <f aca="true" t="shared" si="313" ref="Q497:Q505">SUM(O497:P497)</f>
        <v>400000</v>
      </c>
      <c r="R497" s="81"/>
      <c r="S497" s="81">
        <f aca="true" t="shared" si="314" ref="S497:S506">SUM(Q497:R497)</f>
        <v>400000</v>
      </c>
      <c r="T497" s="81"/>
      <c r="U497" s="81">
        <f aca="true" t="shared" si="315" ref="U497:U506">SUM(S497:T497)</f>
        <v>400000</v>
      </c>
      <c r="V497" s="81"/>
      <c r="W497" s="81">
        <f aca="true" t="shared" si="316" ref="W497:W506">SUM(U497:V497)</f>
        <v>400000</v>
      </c>
      <c r="X497" s="81"/>
      <c r="Y497" s="81">
        <f aca="true" t="shared" si="317" ref="Y497:Y506">SUM(W497:X497)</f>
        <v>400000</v>
      </c>
      <c r="Z497" s="81"/>
      <c r="AA497" s="81">
        <f aca="true" t="shared" si="318" ref="AA497:AA506">SUM(Y497:Z497)</f>
        <v>400000</v>
      </c>
    </row>
    <row r="498" spans="1:27" s="24" customFormat="1" ht="24.75" customHeight="1">
      <c r="A498" s="86"/>
      <c r="B498" s="89"/>
      <c r="C498" s="86">
        <v>3250</v>
      </c>
      <c r="D498" s="38" t="s">
        <v>264</v>
      </c>
      <c r="E498" s="81">
        <v>50000</v>
      </c>
      <c r="F498" s="81"/>
      <c r="G498" s="81">
        <f aca="true" t="shared" si="319" ref="G498:G505">SUM(E498:F498)</f>
        <v>50000</v>
      </c>
      <c r="H498" s="81"/>
      <c r="I498" s="81">
        <f aca="true" t="shared" si="320" ref="I498:I505">SUM(G498:H498)</f>
        <v>50000</v>
      </c>
      <c r="J498" s="81"/>
      <c r="K498" s="81">
        <f aca="true" t="shared" si="321" ref="K498:K505">SUM(I498:J498)</f>
        <v>50000</v>
      </c>
      <c r="L498" s="81"/>
      <c r="M498" s="81">
        <f t="shared" si="311"/>
        <v>50000</v>
      </c>
      <c r="N498" s="81"/>
      <c r="O498" s="81">
        <f t="shared" si="312"/>
        <v>50000</v>
      </c>
      <c r="P498" s="81"/>
      <c r="Q498" s="81">
        <f t="shared" si="313"/>
        <v>50000</v>
      </c>
      <c r="R498" s="81"/>
      <c r="S498" s="81">
        <f t="shared" si="314"/>
        <v>50000</v>
      </c>
      <c r="T498" s="81"/>
      <c r="U498" s="81">
        <f t="shared" si="315"/>
        <v>50000</v>
      </c>
      <c r="V498" s="81"/>
      <c r="W498" s="81">
        <f t="shared" si="316"/>
        <v>50000</v>
      </c>
      <c r="X498" s="81"/>
      <c r="Y498" s="81">
        <f t="shared" si="317"/>
        <v>50000</v>
      </c>
      <c r="Z498" s="81"/>
      <c r="AA498" s="81">
        <f t="shared" si="318"/>
        <v>50000</v>
      </c>
    </row>
    <row r="499" spans="1:30" s="24" customFormat="1" ht="21" customHeight="1">
      <c r="A499" s="86"/>
      <c r="B499" s="89"/>
      <c r="C499" s="86">
        <v>4110</v>
      </c>
      <c r="D499" s="38" t="s">
        <v>86</v>
      </c>
      <c r="E499" s="81">
        <v>1200</v>
      </c>
      <c r="F499" s="81"/>
      <c r="G499" s="81">
        <f t="shared" si="319"/>
        <v>1200</v>
      </c>
      <c r="H499" s="81"/>
      <c r="I499" s="81">
        <f t="shared" si="320"/>
        <v>1200</v>
      </c>
      <c r="J499" s="81"/>
      <c r="K499" s="81">
        <f t="shared" si="321"/>
        <v>1200</v>
      </c>
      <c r="L499" s="81">
        <v>470</v>
      </c>
      <c r="M499" s="81">
        <f t="shared" si="311"/>
        <v>1670</v>
      </c>
      <c r="N499" s="81"/>
      <c r="O499" s="81">
        <f t="shared" si="312"/>
        <v>1670</v>
      </c>
      <c r="P499" s="81"/>
      <c r="Q499" s="81">
        <f t="shared" si="313"/>
        <v>1670</v>
      </c>
      <c r="R499" s="81">
        <v>14</v>
      </c>
      <c r="S499" s="81">
        <f t="shared" si="314"/>
        <v>1684</v>
      </c>
      <c r="T499" s="81"/>
      <c r="U499" s="81">
        <f t="shared" si="315"/>
        <v>1684</v>
      </c>
      <c r="V499" s="81"/>
      <c r="W499" s="81">
        <f t="shared" si="316"/>
        <v>1684</v>
      </c>
      <c r="X499" s="81"/>
      <c r="Y499" s="81">
        <f t="shared" si="317"/>
        <v>1684</v>
      </c>
      <c r="Z499" s="81"/>
      <c r="AA499" s="81">
        <f t="shared" si="318"/>
        <v>1684</v>
      </c>
      <c r="AB499" s="119"/>
      <c r="AC499" s="119"/>
      <c r="AD499" s="119"/>
    </row>
    <row r="500" spans="1:30" s="24" customFormat="1" ht="21" customHeight="1">
      <c r="A500" s="86"/>
      <c r="B500" s="89"/>
      <c r="C500" s="86">
        <v>4120</v>
      </c>
      <c r="D500" s="38" t="s">
        <v>87</v>
      </c>
      <c r="E500" s="81">
        <v>150</v>
      </c>
      <c r="F500" s="81"/>
      <c r="G500" s="81">
        <f t="shared" si="319"/>
        <v>150</v>
      </c>
      <c r="H500" s="81"/>
      <c r="I500" s="81">
        <f t="shared" si="320"/>
        <v>150</v>
      </c>
      <c r="J500" s="81"/>
      <c r="K500" s="81">
        <f t="shared" si="321"/>
        <v>150</v>
      </c>
      <c r="L500" s="81">
        <v>42</v>
      </c>
      <c r="M500" s="81">
        <f t="shared" si="311"/>
        <v>192</v>
      </c>
      <c r="N500" s="81"/>
      <c r="O500" s="81">
        <f t="shared" si="312"/>
        <v>192</v>
      </c>
      <c r="P500" s="81"/>
      <c r="Q500" s="81">
        <f t="shared" si="313"/>
        <v>192</v>
      </c>
      <c r="R500" s="81">
        <v>36</v>
      </c>
      <c r="S500" s="81">
        <f t="shared" si="314"/>
        <v>228</v>
      </c>
      <c r="T500" s="81"/>
      <c r="U500" s="81">
        <f t="shared" si="315"/>
        <v>228</v>
      </c>
      <c r="V500" s="81"/>
      <c r="W500" s="81">
        <f t="shared" si="316"/>
        <v>228</v>
      </c>
      <c r="X500" s="81"/>
      <c r="Y500" s="81">
        <f t="shared" si="317"/>
        <v>228</v>
      </c>
      <c r="Z500" s="81"/>
      <c r="AA500" s="81">
        <f t="shared" si="318"/>
        <v>228</v>
      </c>
      <c r="AB500" s="119"/>
      <c r="AC500" s="119"/>
      <c r="AD500" s="119"/>
    </row>
    <row r="501" spans="1:30" s="24" customFormat="1" ht="21" customHeight="1">
      <c r="A501" s="86"/>
      <c r="B501" s="89"/>
      <c r="C501" s="86">
        <v>4170</v>
      </c>
      <c r="D501" s="38" t="s">
        <v>193</v>
      </c>
      <c r="E501" s="81">
        <f>40000+5000-1200-150</f>
        <v>43650</v>
      </c>
      <c r="F501" s="81"/>
      <c r="G501" s="81">
        <f t="shared" si="319"/>
        <v>43650</v>
      </c>
      <c r="H501" s="81"/>
      <c r="I501" s="81">
        <f t="shared" si="320"/>
        <v>43650</v>
      </c>
      <c r="J501" s="81"/>
      <c r="K501" s="81">
        <f t="shared" si="321"/>
        <v>43650</v>
      </c>
      <c r="L501" s="81">
        <v>4410</v>
      </c>
      <c r="M501" s="81">
        <f t="shared" si="311"/>
        <v>48060</v>
      </c>
      <c r="N501" s="81"/>
      <c r="O501" s="81">
        <f t="shared" si="312"/>
        <v>48060</v>
      </c>
      <c r="P501" s="81"/>
      <c r="Q501" s="81">
        <f t="shared" si="313"/>
        <v>48060</v>
      </c>
      <c r="R501" s="81">
        <f>6025+8711</f>
        <v>14736</v>
      </c>
      <c r="S501" s="81">
        <f t="shared" si="314"/>
        <v>62796</v>
      </c>
      <c r="T501" s="81"/>
      <c r="U501" s="81">
        <f t="shared" si="315"/>
        <v>62796</v>
      </c>
      <c r="V501" s="81"/>
      <c r="W501" s="81">
        <f t="shared" si="316"/>
        <v>62796</v>
      </c>
      <c r="X501" s="81"/>
      <c r="Y501" s="81">
        <f t="shared" si="317"/>
        <v>62796</v>
      </c>
      <c r="Z501" s="81"/>
      <c r="AA501" s="81">
        <f t="shared" si="318"/>
        <v>62796</v>
      </c>
      <c r="AB501" s="119"/>
      <c r="AC501" s="119"/>
      <c r="AD501" s="119"/>
    </row>
    <row r="502" spans="1:27" s="24" customFormat="1" ht="21" customHeight="1">
      <c r="A502" s="86"/>
      <c r="B502" s="82"/>
      <c r="C502" s="67">
        <v>4210</v>
      </c>
      <c r="D502" s="38" t="s">
        <v>92</v>
      </c>
      <c r="E502" s="81">
        <f>8500+1500+2100+3863</f>
        <v>15963</v>
      </c>
      <c r="F502" s="81">
        <v>6000</v>
      </c>
      <c r="G502" s="81">
        <f t="shared" si="319"/>
        <v>21963</v>
      </c>
      <c r="H502" s="81"/>
      <c r="I502" s="81">
        <f t="shared" si="320"/>
        <v>21963</v>
      </c>
      <c r="J502" s="81"/>
      <c r="K502" s="81">
        <f t="shared" si="321"/>
        <v>21963</v>
      </c>
      <c r="L502" s="81">
        <f>700+1500+6200+2000</f>
        <v>10400</v>
      </c>
      <c r="M502" s="81">
        <f t="shared" si="311"/>
        <v>32363</v>
      </c>
      <c r="N502" s="81"/>
      <c r="O502" s="81">
        <f t="shared" si="312"/>
        <v>32363</v>
      </c>
      <c r="P502" s="81"/>
      <c r="Q502" s="81">
        <f t="shared" si="313"/>
        <v>32363</v>
      </c>
      <c r="R502" s="81">
        <v>8409</v>
      </c>
      <c r="S502" s="81">
        <f t="shared" si="314"/>
        <v>40772</v>
      </c>
      <c r="T502" s="81">
        <v>-6309</v>
      </c>
      <c r="U502" s="81">
        <f t="shared" si="315"/>
        <v>34463</v>
      </c>
      <c r="V502" s="81"/>
      <c r="W502" s="81">
        <f t="shared" si="316"/>
        <v>34463</v>
      </c>
      <c r="X502" s="81"/>
      <c r="Y502" s="81">
        <f t="shared" si="317"/>
        <v>34463</v>
      </c>
      <c r="Z502" s="81"/>
      <c r="AA502" s="81">
        <f t="shared" si="318"/>
        <v>34463</v>
      </c>
    </row>
    <row r="503" spans="1:27" s="24" customFormat="1" ht="21" customHeight="1">
      <c r="A503" s="86"/>
      <c r="B503" s="82"/>
      <c r="C503" s="67">
        <v>4220</v>
      </c>
      <c r="D503" s="38" t="s">
        <v>493</v>
      </c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>
        <v>0</v>
      </c>
      <c r="T503" s="81">
        <v>6309</v>
      </c>
      <c r="U503" s="81">
        <f t="shared" si="315"/>
        <v>6309</v>
      </c>
      <c r="V503" s="81"/>
      <c r="W503" s="81">
        <f t="shared" si="316"/>
        <v>6309</v>
      </c>
      <c r="X503" s="81"/>
      <c r="Y503" s="81">
        <f t="shared" si="317"/>
        <v>6309</v>
      </c>
      <c r="Z503" s="81"/>
      <c r="AA503" s="81">
        <f t="shared" si="318"/>
        <v>6309</v>
      </c>
    </row>
    <row r="504" spans="1:27" s="24" customFormat="1" ht="21" customHeight="1">
      <c r="A504" s="86"/>
      <c r="B504" s="82"/>
      <c r="C504" s="67">
        <v>4260</v>
      </c>
      <c r="D504" s="38" t="s">
        <v>95</v>
      </c>
      <c r="E504" s="81">
        <v>1000</v>
      </c>
      <c r="F504" s="81"/>
      <c r="G504" s="81">
        <f t="shared" si="319"/>
        <v>1000</v>
      </c>
      <c r="H504" s="81"/>
      <c r="I504" s="81">
        <f t="shared" si="320"/>
        <v>1000</v>
      </c>
      <c r="J504" s="81"/>
      <c r="K504" s="81">
        <f t="shared" si="321"/>
        <v>1000</v>
      </c>
      <c r="L504" s="81"/>
      <c r="M504" s="81">
        <f t="shared" si="311"/>
        <v>1000</v>
      </c>
      <c r="N504" s="81"/>
      <c r="O504" s="81">
        <f t="shared" si="312"/>
        <v>1000</v>
      </c>
      <c r="P504" s="81"/>
      <c r="Q504" s="81">
        <f t="shared" si="313"/>
        <v>1000</v>
      </c>
      <c r="R504" s="81"/>
      <c r="S504" s="81">
        <f t="shared" si="314"/>
        <v>1000</v>
      </c>
      <c r="T504" s="81"/>
      <c r="U504" s="81">
        <f t="shared" si="315"/>
        <v>1000</v>
      </c>
      <c r="V504" s="81"/>
      <c r="W504" s="81">
        <f t="shared" si="316"/>
        <v>1000</v>
      </c>
      <c r="X504" s="81"/>
      <c r="Y504" s="81">
        <f t="shared" si="317"/>
        <v>1000</v>
      </c>
      <c r="Z504" s="81"/>
      <c r="AA504" s="81">
        <f t="shared" si="318"/>
        <v>1000</v>
      </c>
    </row>
    <row r="505" spans="1:27" s="24" customFormat="1" ht="21" customHeight="1">
      <c r="A505" s="86"/>
      <c r="B505" s="82"/>
      <c r="C505" s="86">
        <v>4300</v>
      </c>
      <c r="D505" s="90" t="s">
        <v>79</v>
      </c>
      <c r="E505" s="81">
        <f>8500+1500+1740+1200</f>
        <v>12940</v>
      </c>
      <c r="F505" s="81"/>
      <c r="G505" s="81">
        <f t="shared" si="319"/>
        <v>12940</v>
      </c>
      <c r="H505" s="81"/>
      <c r="I505" s="81">
        <f t="shared" si="320"/>
        <v>12940</v>
      </c>
      <c r="J505" s="81"/>
      <c r="K505" s="81">
        <f t="shared" si="321"/>
        <v>12940</v>
      </c>
      <c r="L505" s="81">
        <f>4914+1964</f>
        <v>6878</v>
      </c>
      <c r="M505" s="81">
        <f t="shared" si="311"/>
        <v>19818</v>
      </c>
      <c r="N505" s="81"/>
      <c r="O505" s="81">
        <f t="shared" si="312"/>
        <v>19818</v>
      </c>
      <c r="P505" s="81"/>
      <c r="Q505" s="81">
        <f t="shared" si="313"/>
        <v>19818</v>
      </c>
      <c r="R505" s="81">
        <v>2782</v>
      </c>
      <c r="S505" s="81">
        <f t="shared" si="314"/>
        <v>22600</v>
      </c>
      <c r="T505" s="81"/>
      <c r="U505" s="81">
        <f t="shared" si="315"/>
        <v>22600</v>
      </c>
      <c r="V505" s="81"/>
      <c r="W505" s="81">
        <f t="shared" si="316"/>
        <v>22600</v>
      </c>
      <c r="X505" s="81"/>
      <c r="Y505" s="81">
        <f t="shared" si="317"/>
        <v>22600</v>
      </c>
      <c r="Z505" s="81"/>
      <c r="AA505" s="81">
        <f t="shared" si="318"/>
        <v>22600</v>
      </c>
    </row>
    <row r="506" spans="1:27" s="24" customFormat="1" ht="21" customHeight="1">
      <c r="A506" s="86"/>
      <c r="B506" s="82"/>
      <c r="C506" s="86">
        <v>4780</v>
      </c>
      <c r="D506" s="90" t="s">
        <v>476</v>
      </c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>
        <v>0</v>
      </c>
      <c r="R506" s="81">
        <v>48</v>
      </c>
      <c r="S506" s="81">
        <f t="shared" si="314"/>
        <v>48</v>
      </c>
      <c r="T506" s="81"/>
      <c r="U506" s="81">
        <f t="shared" si="315"/>
        <v>48</v>
      </c>
      <c r="V506" s="81"/>
      <c r="W506" s="81">
        <f t="shared" si="316"/>
        <v>48</v>
      </c>
      <c r="X506" s="81"/>
      <c r="Y506" s="81">
        <f t="shared" si="317"/>
        <v>48</v>
      </c>
      <c r="Z506" s="81"/>
      <c r="AA506" s="81">
        <f t="shared" si="318"/>
        <v>48</v>
      </c>
    </row>
    <row r="507" spans="1:27" s="24" customFormat="1" ht="21" customHeight="1">
      <c r="A507" s="86"/>
      <c r="B507" s="67">
        <v>92695</v>
      </c>
      <c r="C507" s="86"/>
      <c r="D507" s="90" t="s">
        <v>6</v>
      </c>
      <c r="E507" s="81">
        <f aca="true" t="shared" si="322" ref="E507:W507">SUM(E508:E509)</f>
        <v>10605</v>
      </c>
      <c r="F507" s="81">
        <f t="shared" si="322"/>
        <v>0</v>
      </c>
      <c r="G507" s="81">
        <f t="shared" si="322"/>
        <v>10605</v>
      </c>
      <c r="H507" s="81">
        <f t="shared" si="322"/>
        <v>0</v>
      </c>
      <c r="I507" s="81">
        <f t="shared" si="322"/>
        <v>10605</v>
      </c>
      <c r="J507" s="81">
        <f t="shared" si="322"/>
        <v>0</v>
      </c>
      <c r="K507" s="81">
        <f t="shared" si="322"/>
        <v>10605</v>
      </c>
      <c r="L507" s="81">
        <f t="shared" si="322"/>
        <v>0</v>
      </c>
      <c r="M507" s="81">
        <f t="shared" si="322"/>
        <v>10605</v>
      </c>
      <c r="N507" s="81">
        <f t="shared" si="322"/>
        <v>0</v>
      </c>
      <c r="O507" s="81">
        <f t="shared" si="322"/>
        <v>10605</v>
      </c>
      <c r="P507" s="81">
        <f t="shared" si="322"/>
        <v>0</v>
      </c>
      <c r="Q507" s="81">
        <f t="shared" si="322"/>
        <v>10605</v>
      </c>
      <c r="R507" s="81">
        <f t="shared" si="322"/>
        <v>0</v>
      </c>
      <c r="S507" s="81">
        <f t="shared" si="322"/>
        <v>10605</v>
      </c>
      <c r="T507" s="81">
        <f t="shared" si="322"/>
        <v>0</v>
      </c>
      <c r="U507" s="81">
        <f t="shared" si="322"/>
        <v>10605</v>
      </c>
      <c r="V507" s="81">
        <f t="shared" si="322"/>
        <v>0</v>
      </c>
      <c r="W507" s="81">
        <f t="shared" si="322"/>
        <v>10605</v>
      </c>
      <c r="X507" s="81">
        <f>SUM(X508:X509)</f>
        <v>0</v>
      </c>
      <c r="Y507" s="81">
        <f>SUM(Y508:Y509)</f>
        <v>10605</v>
      </c>
      <c r="Z507" s="81">
        <f>SUM(Z508:Z509)</f>
        <v>0</v>
      </c>
      <c r="AA507" s="81">
        <f>SUM(AA508:AA509)</f>
        <v>10605</v>
      </c>
    </row>
    <row r="508" spans="1:27" s="24" customFormat="1" ht="21" customHeight="1">
      <c r="A508" s="86"/>
      <c r="B508" s="67"/>
      <c r="C508" s="67">
        <v>4210</v>
      </c>
      <c r="D508" s="38" t="s">
        <v>92</v>
      </c>
      <c r="E508" s="81">
        <f>6250+2655</f>
        <v>8905</v>
      </c>
      <c r="F508" s="81"/>
      <c r="G508" s="81">
        <f>SUM(E508:F508)</f>
        <v>8905</v>
      </c>
      <c r="H508" s="81"/>
      <c r="I508" s="81">
        <f>SUM(G508:H508)</f>
        <v>8905</v>
      </c>
      <c r="J508" s="81"/>
      <c r="K508" s="81">
        <f>SUM(I508:J508)</f>
        <v>8905</v>
      </c>
      <c r="L508" s="81"/>
      <c r="M508" s="81">
        <f>SUM(K508:L508)</f>
        <v>8905</v>
      </c>
      <c r="N508" s="81"/>
      <c r="O508" s="81">
        <f>SUM(M508:N508)</f>
        <v>8905</v>
      </c>
      <c r="P508" s="81"/>
      <c r="Q508" s="81">
        <f>SUM(O508:P508)</f>
        <v>8905</v>
      </c>
      <c r="R508" s="81"/>
      <c r="S508" s="81">
        <f>SUM(Q508:R508)</f>
        <v>8905</v>
      </c>
      <c r="T508" s="81"/>
      <c r="U508" s="81">
        <f>SUM(S508:T508)</f>
        <v>8905</v>
      </c>
      <c r="V508" s="81"/>
      <c r="W508" s="81">
        <f>SUM(U508:V508)</f>
        <v>8905</v>
      </c>
      <c r="X508" s="81"/>
      <c r="Y508" s="81">
        <f>SUM(W508:X508)</f>
        <v>8905</v>
      </c>
      <c r="Z508" s="81"/>
      <c r="AA508" s="81">
        <f>SUM(Y508:Z508)</f>
        <v>8905</v>
      </c>
    </row>
    <row r="509" spans="1:27" s="24" customFormat="1" ht="21" customHeight="1">
      <c r="A509" s="86"/>
      <c r="B509" s="67"/>
      <c r="C509" s="67">
        <v>4300</v>
      </c>
      <c r="D509" s="90" t="s">
        <v>79</v>
      </c>
      <c r="E509" s="81">
        <v>1700</v>
      </c>
      <c r="F509" s="81"/>
      <c r="G509" s="81">
        <f>SUM(E509:F509)</f>
        <v>1700</v>
      </c>
      <c r="H509" s="81"/>
      <c r="I509" s="81">
        <f>SUM(G509:H509)</f>
        <v>1700</v>
      </c>
      <c r="J509" s="81"/>
      <c r="K509" s="81">
        <f>SUM(I509:J509)</f>
        <v>1700</v>
      </c>
      <c r="L509" s="81"/>
      <c r="M509" s="81">
        <f>SUM(K509:L509)</f>
        <v>1700</v>
      </c>
      <c r="N509" s="81"/>
      <c r="O509" s="81">
        <f>SUM(M509:N509)</f>
        <v>1700</v>
      </c>
      <c r="P509" s="81"/>
      <c r="Q509" s="81">
        <f>SUM(O509:P509)</f>
        <v>1700</v>
      </c>
      <c r="R509" s="81"/>
      <c r="S509" s="81">
        <f>SUM(Q509:R509)</f>
        <v>1700</v>
      </c>
      <c r="T509" s="81"/>
      <c r="U509" s="81">
        <f>SUM(S509:T509)</f>
        <v>1700</v>
      </c>
      <c r="V509" s="81"/>
      <c r="W509" s="81">
        <f>SUM(U509:V509)</f>
        <v>1700</v>
      </c>
      <c r="X509" s="81"/>
      <c r="Y509" s="81">
        <f>SUM(W509:X509)</f>
        <v>1700</v>
      </c>
      <c r="Z509" s="81"/>
      <c r="AA509" s="81">
        <f>SUM(Y509:Z509)</f>
        <v>1700</v>
      </c>
    </row>
    <row r="510" spans="1:27" s="7" customFormat="1" ht="20.25" customHeight="1">
      <c r="A510" s="9"/>
      <c r="B510" s="9"/>
      <c r="C510" s="9"/>
      <c r="D510" s="35" t="s">
        <v>68</v>
      </c>
      <c r="E510" s="37">
        <f aca="true" t="shared" si="323" ref="E510:AA510">SUM(E489,E472,E442,E416,E349,E332,E224,E218,E215,E205,E162,E144,E65,E56,E35,E25,E7,E413)</f>
        <v>64069780</v>
      </c>
      <c r="F510" s="37">
        <f t="shared" si="323"/>
        <v>0</v>
      </c>
      <c r="G510" s="37">
        <f t="shared" si="323"/>
        <v>64069780</v>
      </c>
      <c r="H510" s="37">
        <f t="shared" si="323"/>
        <v>530000</v>
      </c>
      <c r="I510" s="37">
        <f t="shared" si="323"/>
        <v>64599780</v>
      </c>
      <c r="J510" s="37">
        <f t="shared" si="323"/>
        <v>-73</v>
      </c>
      <c r="K510" s="37">
        <f t="shared" si="323"/>
        <v>64599707</v>
      </c>
      <c r="L510" s="37">
        <f t="shared" si="323"/>
        <v>-51671</v>
      </c>
      <c r="M510" s="37">
        <f t="shared" si="323"/>
        <v>64548036</v>
      </c>
      <c r="N510" s="37">
        <f t="shared" si="323"/>
        <v>436012</v>
      </c>
      <c r="O510" s="37">
        <f t="shared" si="323"/>
        <v>64984048</v>
      </c>
      <c r="P510" s="37">
        <f t="shared" si="323"/>
        <v>158567</v>
      </c>
      <c r="Q510" s="37">
        <f t="shared" si="323"/>
        <v>65142615</v>
      </c>
      <c r="R510" s="37">
        <f t="shared" si="323"/>
        <v>354691</v>
      </c>
      <c r="S510" s="37">
        <f t="shared" si="323"/>
        <v>65497306</v>
      </c>
      <c r="T510" s="37">
        <f t="shared" si="323"/>
        <v>21375</v>
      </c>
      <c r="U510" s="37">
        <f t="shared" si="323"/>
        <v>65518681</v>
      </c>
      <c r="V510" s="37">
        <f t="shared" si="323"/>
        <v>69000</v>
      </c>
      <c r="W510" s="37">
        <f t="shared" si="323"/>
        <v>65587681</v>
      </c>
      <c r="X510" s="37">
        <f t="shared" si="323"/>
        <v>109494</v>
      </c>
      <c r="Y510" s="37">
        <f t="shared" si="323"/>
        <v>65697175</v>
      </c>
      <c r="Z510" s="37">
        <f t="shared" si="323"/>
        <v>187544</v>
      </c>
      <c r="AA510" s="37">
        <f t="shared" si="323"/>
        <v>65884719</v>
      </c>
    </row>
    <row r="511" spans="1:27" ht="12.75">
      <c r="A511" s="56"/>
      <c r="B511" s="56"/>
      <c r="C511" s="56"/>
      <c r="D511" s="56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</row>
    <row r="512" spans="4:27" ht="12.75">
      <c r="D512" s="56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</row>
    <row r="513" spans="4:27" ht="12.75">
      <c r="D513" s="56"/>
      <c r="E513" s="188"/>
      <c r="F513" s="188"/>
      <c r="G513" s="188"/>
      <c r="H513" s="188"/>
      <c r="I513" s="188"/>
      <c r="J513" s="188"/>
      <c r="K513" s="188"/>
      <c r="L513" s="188"/>
      <c r="M513" s="188"/>
      <c r="N513" s="188"/>
      <c r="O513" s="188"/>
      <c r="P513" s="188"/>
      <c r="Q513" s="188"/>
      <c r="R513" s="188"/>
      <c r="S513" s="188"/>
      <c r="T513" s="188"/>
      <c r="U513" s="188"/>
      <c r="V513" s="188"/>
      <c r="W513" s="188"/>
      <c r="X513" s="188"/>
      <c r="Y513" s="188"/>
      <c r="Z513" s="188"/>
      <c r="AA513" s="188"/>
    </row>
    <row r="514" spans="1:27" s="21" customFormat="1" ht="12.75">
      <c r="A514" s="23"/>
      <c r="B514" s="23"/>
      <c r="C514" s="23"/>
      <c r="D514" s="23"/>
      <c r="E514" s="22"/>
      <c r="F514" s="22"/>
      <c r="G514" s="22"/>
      <c r="H514" s="22"/>
      <c r="I514" s="22"/>
      <c r="J514" s="22"/>
      <c r="K514" s="22"/>
      <c r="L514" s="22"/>
      <c r="M514" s="22"/>
      <c r="N514" s="22">
        <f>'ZAŁ. NR 1'!L136-'ZAŁ. NR 2'!N510</f>
        <v>0</v>
      </c>
      <c r="O514" s="22"/>
      <c r="P514" s="22">
        <f>'ZAŁ. NR 1'!N136-'ZAŁ. NR 2'!P510</f>
        <v>0</v>
      </c>
      <c r="Q514" s="22"/>
      <c r="R514" s="22">
        <v>88</v>
      </c>
      <c r="S514" s="22"/>
      <c r="T514" s="22"/>
      <c r="U514" s="22"/>
      <c r="V514" s="22"/>
      <c r="W514" s="22"/>
      <c r="X514" s="22"/>
      <c r="Y514" s="22"/>
      <c r="Z514" s="22"/>
      <c r="AA514" s="22"/>
    </row>
    <row r="515" spans="1:27" s="21" customFormat="1" ht="12.75">
      <c r="A515" s="23"/>
      <c r="B515" s="23"/>
      <c r="C515" s="23"/>
      <c r="D515" s="23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>
        <v>271797</v>
      </c>
      <c r="S515" s="22"/>
      <c r="T515" s="22"/>
      <c r="U515" s="22"/>
      <c r="V515" s="22"/>
      <c r="W515" s="22"/>
      <c r="X515" s="22"/>
      <c r="Y515" s="22"/>
      <c r="Z515" s="22"/>
      <c r="AA515" s="22"/>
    </row>
    <row r="516" spans="1:27" s="21" customFormat="1" ht="12.75">
      <c r="A516" s="23"/>
      <c r="B516" s="23"/>
      <c r="C516" s="23"/>
      <c r="D516" s="23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4">
        <f>SUM(R513:R515)</f>
        <v>271885</v>
      </c>
      <c r="S516" s="22"/>
      <c r="T516" s="224"/>
      <c r="U516" s="22"/>
      <c r="V516" s="302"/>
      <c r="W516" s="22"/>
      <c r="X516" s="302"/>
      <c r="Y516" s="22"/>
      <c r="Z516" s="302"/>
      <c r="AA516" s="22"/>
    </row>
    <row r="517" spans="1:27" s="21" customFormat="1" ht="12.75">
      <c r="A517" s="23"/>
      <c r="B517" s="23"/>
      <c r="C517" s="23"/>
      <c r="D517" s="23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</row>
    <row r="518" spans="1:27" s="21" customFormat="1" ht="12.75">
      <c r="A518" s="23"/>
      <c r="B518" s="23"/>
      <c r="C518" s="23"/>
      <c r="D518" s="23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</row>
    <row r="519" spans="1:27" s="21" customFormat="1" ht="12.75">
      <c r="A519" s="23"/>
      <c r="B519" s="23"/>
      <c r="C519" s="23"/>
      <c r="D519" s="23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</row>
    <row r="520" spans="1:27" s="21" customFormat="1" ht="12.75">
      <c r="A520" s="23"/>
      <c r="B520" s="23"/>
      <c r="C520" s="23"/>
      <c r="D520" s="23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</row>
    <row r="521" spans="1:27" s="21" customFormat="1" ht="12.75">
      <c r="A521" s="23"/>
      <c r="B521" s="23"/>
      <c r="C521" s="23"/>
      <c r="D521" s="23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</row>
    <row r="522" spans="1:27" s="21" customFormat="1" ht="12.75">
      <c r="A522" s="23"/>
      <c r="B522" s="23"/>
      <c r="C522" s="23"/>
      <c r="D522" s="23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</row>
    <row r="523" spans="1:27" s="21" customFormat="1" ht="12.75">
      <c r="A523" s="23"/>
      <c r="B523" s="23"/>
      <c r="C523" s="23"/>
      <c r="D523" s="23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</row>
    <row r="524" spans="1:27" s="21" customFormat="1" ht="12.75">
      <c r="A524" s="23"/>
      <c r="B524" s="23"/>
      <c r="C524" s="23"/>
      <c r="D524" s="23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4"/>
      <c r="W524" s="22"/>
      <c r="X524" s="224"/>
      <c r="Y524" s="22"/>
      <c r="Z524" s="224"/>
      <c r="AA524" s="22"/>
    </row>
    <row r="525" spans="1:27" s="21" customFormat="1" ht="12.75">
      <c r="A525" s="23"/>
      <c r="B525" s="23"/>
      <c r="C525" s="23"/>
      <c r="D525" s="23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</row>
    <row r="526" spans="1:27" s="21" customFormat="1" ht="12.75">
      <c r="A526" s="23"/>
      <c r="B526" s="23"/>
      <c r="C526" s="23"/>
      <c r="D526" s="23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</row>
    <row r="527" spans="1:27" s="21" customFormat="1" ht="12.75">
      <c r="A527" s="23"/>
      <c r="B527" s="23"/>
      <c r="C527" s="23"/>
      <c r="D527" s="23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</row>
    <row r="528" spans="1:27" s="21" customFormat="1" ht="12.75">
      <c r="A528" s="23"/>
      <c r="B528" s="23"/>
      <c r="C528" s="23"/>
      <c r="D528" s="23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>
        <f>'ZAŁ. NR 1'!P136-'ZAŁ. NR 2'!R510</f>
        <v>0</v>
      </c>
      <c r="S528" s="22"/>
      <c r="T528" s="22"/>
      <c r="U528" s="22"/>
      <c r="V528" s="22"/>
      <c r="W528" s="22"/>
      <c r="X528" s="22"/>
      <c r="Y528" s="22"/>
      <c r="Z528" s="22"/>
      <c r="AA528" s="22"/>
    </row>
    <row r="529" spans="1:27" s="21" customFormat="1" ht="12.75">
      <c r="A529" s="23"/>
      <c r="B529" s="23"/>
      <c r="C529" s="23"/>
      <c r="D529" s="23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</row>
    <row r="530" spans="1:27" s="21" customFormat="1" ht="12.75">
      <c r="A530" s="23"/>
      <c r="B530" s="23"/>
      <c r="C530" s="23"/>
      <c r="D530" s="23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</row>
    <row r="531" spans="1:27" s="21" customFormat="1" ht="12.75">
      <c r="A531" s="23"/>
      <c r="B531" s="23"/>
      <c r="C531" s="23"/>
      <c r="D531" s="23"/>
      <c r="E531" s="22"/>
      <c r="F531" s="22"/>
      <c r="G531" s="22"/>
      <c r="H531" s="22"/>
      <c r="I531" s="22"/>
      <c r="J531" s="22"/>
      <c r="K531" s="22"/>
      <c r="L531" s="236"/>
      <c r="M531" s="22"/>
      <c r="N531" s="236"/>
      <c r="O531" s="22"/>
      <c r="P531" s="236"/>
      <c r="Q531" s="22"/>
      <c r="R531" s="236"/>
      <c r="S531" s="22"/>
      <c r="T531" s="236"/>
      <c r="U531" s="22"/>
      <c r="V531" s="236"/>
      <c r="W531" s="22"/>
      <c r="X531" s="236"/>
      <c r="Y531" s="22"/>
      <c r="Z531" s="236"/>
      <c r="AA531" s="22"/>
    </row>
    <row r="532" spans="1:27" s="21" customFormat="1" ht="12.75">
      <c r="A532" s="23"/>
      <c r="B532" s="23"/>
      <c r="C532" s="23"/>
      <c r="D532" s="23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</row>
    <row r="533" spans="1:27" s="21" customFormat="1" ht="12.75">
      <c r="A533" s="23"/>
      <c r="B533" s="23"/>
      <c r="C533" s="23"/>
      <c r="D533" s="23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</row>
    <row r="534" spans="1:27" s="21" customFormat="1" ht="12.75">
      <c r="A534" s="23"/>
      <c r="B534" s="23"/>
      <c r="C534" s="23"/>
      <c r="D534" s="23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</row>
    <row r="535" spans="1:27" s="21" customFormat="1" ht="12.75">
      <c r="A535" s="23"/>
      <c r="B535" s="23"/>
      <c r="C535" s="23"/>
      <c r="D535" s="23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</row>
    <row r="536" spans="1:27" s="21" customFormat="1" ht="12.75">
      <c r="A536" s="23"/>
      <c r="B536" s="23"/>
      <c r="C536" s="23"/>
      <c r="D536" s="23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</row>
    <row r="537" spans="1:27" s="21" customFormat="1" ht="12.75">
      <c r="A537" s="23"/>
      <c r="B537" s="23"/>
      <c r="C537" s="23"/>
      <c r="D537" s="23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</row>
    <row r="538" spans="1:27" s="21" customFormat="1" ht="12.75">
      <c r="A538" s="23"/>
      <c r="B538" s="23"/>
      <c r="C538" s="23"/>
      <c r="D538" s="23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</row>
    <row r="539" spans="1:27" s="21" customFormat="1" ht="12.75">
      <c r="A539" s="23"/>
      <c r="B539" s="23"/>
      <c r="C539" s="23"/>
      <c r="D539" s="23"/>
      <c r="E539" s="22"/>
      <c r="F539" s="22"/>
      <c r="G539" s="22"/>
      <c r="H539" s="22"/>
      <c r="I539" s="22"/>
      <c r="J539" s="22"/>
      <c r="K539" s="22"/>
      <c r="L539" s="236"/>
      <c r="M539" s="236"/>
      <c r="N539" s="236"/>
      <c r="O539" s="236"/>
      <c r="P539" s="236"/>
      <c r="Q539" s="236"/>
      <c r="R539" s="236"/>
      <c r="S539" s="236"/>
      <c r="T539" s="236"/>
      <c r="U539" s="236"/>
      <c r="V539" s="236"/>
      <c r="W539" s="236"/>
      <c r="X539" s="236"/>
      <c r="Y539" s="236"/>
      <c r="Z539" s="236"/>
      <c r="AA539" s="236"/>
    </row>
    <row r="540" spans="1:27" s="21" customFormat="1" ht="12.75">
      <c r="A540" s="23"/>
      <c r="B540" s="23"/>
      <c r="C540" s="23"/>
      <c r="D540" s="23"/>
      <c r="E540" s="22"/>
      <c r="F540" s="22"/>
      <c r="G540" s="22"/>
      <c r="H540" s="22"/>
      <c r="I540" s="22"/>
      <c r="J540" s="22"/>
      <c r="K540" s="22"/>
      <c r="L540" s="236"/>
      <c r="M540" s="236"/>
      <c r="N540" s="236"/>
      <c r="O540" s="236"/>
      <c r="P540" s="236"/>
      <c r="Q540" s="236"/>
      <c r="R540" s="236"/>
      <c r="S540" s="236"/>
      <c r="T540" s="236"/>
      <c r="U540" s="236"/>
      <c r="V540" s="236"/>
      <c r="W540" s="236"/>
      <c r="X540" s="236"/>
      <c r="Y540" s="236"/>
      <c r="Z540" s="236"/>
      <c r="AA540" s="236"/>
    </row>
    <row r="541" spans="1:27" s="21" customFormat="1" ht="12.75">
      <c r="A541" s="23"/>
      <c r="B541" s="23"/>
      <c r="C541" s="23"/>
      <c r="D541" s="23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</row>
    <row r="542" spans="1:27" s="21" customFormat="1" ht="12.75">
      <c r="A542" s="23"/>
      <c r="B542" s="23"/>
      <c r="C542" s="23"/>
      <c r="D542" s="23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</row>
    <row r="543" spans="1:27" s="21" customFormat="1" ht="12.75">
      <c r="A543" s="23"/>
      <c r="B543" s="23"/>
      <c r="C543" s="23"/>
      <c r="D543" s="23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</row>
    <row r="544" spans="1:27" s="21" customFormat="1" ht="12.75">
      <c r="A544" s="23"/>
      <c r="B544" s="23"/>
      <c r="C544" s="23"/>
      <c r="D544" s="23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</row>
    <row r="545" spans="1:27" s="21" customFormat="1" ht="12.75">
      <c r="A545" s="23"/>
      <c r="B545" s="23"/>
      <c r="C545" s="23"/>
      <c r="D545" s="23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</row>
    <row r="546" spans="1:27" s="21" customFormat="1" ht="12.75">
      <c r="A546" s="23"/>
      <c r="B546" s="23"/>
      <c r="C546" s="23"/>
      <c r="D546" s="23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</row>
    <row r="547" spans="1:27" s="21" customFormat="1" ht="12.75">
      <c r="A547" s="23"/>
      <c r="B547" s="23"/>
      <c r="C547" s="23"/>
      <c r="D547" s="23"/>
      <c r="E547" s="22"/>
      <c r="F547" s="22"/>
      <c r="G547" s="22"/>
      <c r="H547" s="22"/>
      <c r="I547" s="22"/>
      <c r="J547" s="22"/>
      <c r="K547" s="22"/>
      <c r="L547" s="224"/>
      <c r="M547" s="22"/>
      <c r="N547" s="224"/>
      <c r="O547" s="22"/>
      <c r="P547" s="224"/>
      <c r="Q547" s="22"/>
      <c r="R547" s="224"/>
      <c r="S547" s="22"/>
      <c r="T547" s="224"/>
      <c r="U547" s="22"/>
      <c r="V547" s="224"/>
      <c r="W547" s="22"/>
      <c r="X547" s="224"/>
      <c r="Y547" s="22"/>
      <c r="Z547" s="224"/>
      <c r="AA547" s="22"/>
    </row>
    <row r="548" spans="1:27" s="21" customFormat="1" ht="12.75">
      <c r="A548" s="23"/>
      <c r="B548" s="23"/>
      <c r="C548" s="23"/>
      <c r="D548" s="23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</row>
    <row r="549" spans="1:27" s="21" customFormat="1" ht="12.75">
      <c r="A549" s="23"/>
      <c r="B549" s="23"/>
      <c r="C549" s="23"/>
      <c r="D549" s="23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</row>
    <row r="550" spans="1:27" s="21" customFormat="1" ht="12.75">
      <c r="A550" s="23"/>
      <c r="B550" s="23"/>
      <c r="C550" s="23"/>
      <c r="D550" s="23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</row>
    <row r="551" spans="1:27" s="21" customFormat="1" ht="12.75">
      <c r="A551" s="23"/>
      <c r="B551" s="23"/>
      <c r="C551" s="23"/>
      <c r="D551" s="23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</row>
    <row r="552" spans="1:27" s="21" customFormat="1" ht="12.75">
      <c r="A552" s="23"/>
      <c r="B552" s="23"/>
      <c r="C552" s="23"/>
      <c r="D552" s="23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</row>
    <row r="553" spans="1:27" s="21" customFormat="1" ht="12.75">
      <c r="A553" s="23"/>
      <c r="B553" s="23"/>
      <c r="C553" s="23"/>
      <c r="D553" s="23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</row>
    <row r="554" spans="1:27" s="21" customFormat="1" ht="12.75">
      <c r="A554" s="23"/>
      <c r="B554" s="23"/>
      <c r="C554" s="23"/>
      <c r="D554" s="23"/>
      <c r="E554" s="115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  <c r="U554" s="115"/>
      <c r="V554" s="115"/>
      <c r="W554" s="115"/>
      <c r="X554" s="115"/>
      <c r="Y554" s="115"/>
      <c r="Z554" s="115"/>
      <c r="AA554" s="115"/>
    </row>
    <row r="555" spans="1:27" s="21" customFormat="1" ht="12.75">
      <c r="A555" s="23"/>
      <c r="B555" s="23"/>
      <c r="C555" s="23"/>
      <c r="D555" s="23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</row>
    <row r="556" spans="1:27" s="21" customFormat="1" ht="12.75">
      <c r="A556" s="23"/>
      <c r="B556" s="23"/>
      <c r="C556" s="23"/>
      <c r="D556" s="23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</row>
    <row r="557" spans="1:27" s="21" customFormat="1" ht="12.75">
      <c r="A557" s="23"/>
      <c r="B557" s="23"/>
      <c r="C557" s="23"/>
      <c r="D557" s="23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</row>
    <row r="558" spans="1:27" s="21" customFormat="1" ht="12.75">
      <c r="A558" s="23"/>
      <c r="B558" s="23"/>
      <c r="C558" s="23"/>
      <c r="D558" s="23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</row>
    <row r="559" spans="1:27" s="21" customFormat="1" ht="12.75">
      <c r="A559" s="23"/>
      <c r="B559" s="23"/>
      <c r="C559" s="23"/>
      <c r="D559" s="23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</row>
    <row r="560" spans="1:27" s="21" customFormat="1" ht="12.75">
      <c r="A560" s="23"/>
      <c r="B560" s="23"/>
      <c r="C560" s="23"/>
      <c r="D560" s="23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</row>
    <row r="561" spans="1:27" s="21" customFormat="1" ht="12.75">
      <c r="A561" s="23"/>
      <c r="B561" s="23"/>
      <c r="C561" s="23"/>
      <c r="D561" s="23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</row>
    <row r="562" spans="1:27" s="21" customFormat="1" ht="12.75">
      <c r="A562" s="23"/>
      <c r="B562" s="23"/>
      <c r="C562" s="23"/>
      <c r="D562" s="23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</row>
    <row r="563" spans="1:27" s="21" customFormat="1" ht="12.75">
      <c r="A563" s="23"/>
      <c r="B563" s="23"/>
      <c r="C563" s="23"/>
      <c r="D563" s="23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</row>
    <row r="564" spans="1:27" s="21" customFormat="1" ht="12.75">
      <c r="A564" s="23"/>
      <c r="B564" s="23"/>
      <c r="C564" s="23"/>
      <c r="D564" s="23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</row>
    <row r="565" spans="1:27" s="21" customFormat="1" ht="12.75">
      <c r="A565" s="23"/>
      <c r="B565" s="23"/>
      <c r="C565" s="23"/>
      <c r="D565" s="23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</row>
    <row r="566" spans="1:27" s="21" customFormat="1" ht="12.75">
      <c r="A566" s="23"/>
      <c r="B566" s="23"/>
      <c r="C566" s="23"/>
      <c r="D566" s="23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</row>
    <row r="567" spans="1:27" s="21" customFormat="1" ht="12.75">
      <c r="A567" s="23"/>
      <c r="B567" s="23"/>
      <c r="C567" s="23"/>
      <c r="D567" s="23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</row>
    <row r="568" spans="1:27" s="21" customFormat="1" ht="12.75">
      <c r="A568" s="23"/>
      <c r="B568" s="23"/>
      <c r="C568" s="23"/>
      <c r="D568" s="23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</row>
    <row r="569" spans="1:27" s="21" customFormat="1" ht="12.75">
      <c r="A569" s="23"/>
      <c r="B569" s="23"/>
      <c r="C569" s="23"/>
      <c r="D569" s="23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</row>
    <row r="570" spans="1:27" s="21" customFormat="1" ht="12.75">
      <c r="A570" s="23"/>
      <c r="B570" s="23"/>
      <c r="C570" s="23"/>
      <c r="D570" s="23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</row>
    <row r="571" spans="1:27" s="21" customFormat="1" ht="12.75">
      <c r="A571" s="23"/>
      <c r="B571" s="23"/>
      <c r="C571" s="23"/>
      <c r="D571" s="23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</row>
    <row r="572" spans="1:27" s="21" customFormat="1" ht="12.75">
      <c r="A572" s="23"/>
      <c r="B572" s="23"/>
      <c r="C572" s="23"/>
      <c r="D572" s="23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</row>
    <row r="573" spans="1:27" s="21" customFormat="1" ht="12.75">
      <c r="A573" s="23"/>
      <c r="B573" s="23"/>
      <c r="C573" s="23"/>
      <c r="D573" s="23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</row>
    <row r="574" spans="1:27" s="21" customFormat="1" ht="12.75">
      <c r="A574" s="23"/>
      <c r="B574" s="23"/>
      <c r="C574" s="23"/>
      <c r="D574" s="23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</row>
    <row r="575" spans="1:27" s="21" customFormat="1" ht="12.75">
      <c r="A575" s="23"/>
      <c r="B575" s="23"/>
      <c r="C575" s="23"/>
      <c r="D575" s="23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</row>
    <row r="576" spans="1:27" s="21" customFormat="1" ht="12.75">
      <c r="A576" s="23"/>
      <c r="B576" s="23"/>
      <c r="C576" s="23"/>
      <c r="D576" s="23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</row>
    <row r="577" spans="1:27" s="21" customFormat="1" ht="12.75">
      <c r="A577" s="23"/>
      <c r="B577" s="23"/>
      <c r="C577" s="23"/>
      <c r="D577" s="23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</row>
    <row r="578" spans="1:27" s="21" customFormat="1" ht="12.75">
      <c r="A578" s="23"/>
      <c r="B578" s="23"/>
      <c r="C578" s="23"/>
      <c r="D578" s="23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</row>
    <row r="579" spans="1:27" s="21" customFormat="1" ht="12.75">
      <c r="A579" s="23"/>
      <c r="B579" s="23"/>
      <c r="C579" s="23"/>
      <c r="D579" s="23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</row>
    <row r="580" spans="1:27" s="21" customFormat="1" ht="12.75">
      <c r="A580" s="23"/>
      <c r="B580" s="23"/>
      <c r="C580" s="23"/>
      <c r="D580" s="23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</row>
    <row r="581" spans="1:27" s="21" customFormat="1" ht="12.75">
      <c r="A581" s="23"/>
      <c r="B581" s="23"/>
      <c r="C581" s="23"/>
      <c r="D581" s="23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</row>
    <row r="582" spans="1:27" s="21" customFormat="1" ht="12.75">
      <c r="A582" s="23"/>
      <c r="B582" s="23"/>
      <c r="C582" s="23"/>
      <c r="D582" s="23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</row>
    <row r="583" spans="1:27" s="21" customFormat="1" ht="12.75">
      <c r="A583" s="23"/>
      <c r="B583" s="23"/>
      <c r="C583" s="23"/>
      <c r="D583" s="23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</row>
    <row r="584" spans="1:27" s="21" customFormat="1" ht="12.75">
      <c r="A584" s="23"/>
      <c r="B584" s="23"/>
      <c r="C584" s="23"/>
      <c r="D584" s="23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</row>
    <row r="585" spans="1:27" s="21" customFormat="1" ht="12.75">
      <c r="A585" s="23"/>
      <c r="B585" s="23"/>
      <c r="C585" s="23"/>
      <c r="D585" s="23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</row>
    <row r="586" spans="1:27" s="21" customFormat="1" ht="12.75">
      <c r="A586" s="23"/>
      <c r="B586" s="23"/>
      <c r="C586" s="23"/>
      <c r="D586" s="23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</row>
    <row r="587" spans="1:27" s="21" customFormat="1" ht="12.75">
      <c r="A587" s="23"/>
      <c r="B587" s="23"/>
      <c r="C587" s="23"/>
      <c r="D587" s="23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</row>
    <row r="588" spans="1:27" s="21" customFormat="1" ht="12.75">
      <c r="A588" s="23"/>
      <c r="B588" s="23"/>
      <c r="C588" s="23"/>
      <c r="D588" s="23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</row>
    <row r="589" spans="1:27" s="21" customFormat="1" ht="12.75">
      <c r="A589" s="23"/>
      <c r="B589" s="23"/>
      <c r="C589" s="23"/>
      <c r="D589" s="23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</row>
    <row r="590" spans="1:27" s="21" customFormat="1" ht="12.75">
      <c r="A590" s="23"/>
      <c r="B590" s="23"/>
      <c r="C590" s="23"/>
      <c r="D590" s="23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</row>
    <row r="591" spans="1:27" s="21" customFormat="1" ht="12.75">
      <c r="A591" s="23"/>
      <c r="B591" s="23"/>
      <c r="C591" s="23"/>
      <c r="D591" s="23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</row>
    <row r="592" spans="1:27" s="21" customFormat="1" ht="12.75">
      <c r="A592" s="23"/>
      <c r="B592" s="23"/>
      <c r="C592" s="23"/>
      <c r="D592" s="23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</row>
    <row r="593" spans="1:27" s="21" customFormat="1" ht="12.75">
      <c r="A593" s="23"/>
      <c r="B593" s="23"/>
      <c r="C593" s="23"/>
      <c r="D593" s="23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</row>
    <row r="594" spans="1:27" s="21" customFormat="1" ht="12.75">
      <c r="A594" s="23"/>
      <c r="B594" s="23"/>
      <c r="C594" s="23"/>
      <c r="D594" s="23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</row>
    <row r="595" spans="1:27" s="21" customFormat="1" ht="12.75">
      <c r="A595" s="23"/>
      <c r="B595" s="23"/>
      <c r="C595" s="23"/>
      <c r="D595" s="23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</row>
    <row r="596" spans="1:27" s="21" customFormat="1" ht="12.75">
      <c r="A596" s="23"/>
      <c r="B596" s="23"/>
      <c r="C596" s="23"/>
      <c r="D596" s="23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</row>
    <row r="597" spans="1:27" s="21" customFormat="1" ht="12.75">
      <c r="A597" s="23"/>
      <c r="B597" s="23"/>
      <c r="C597" s="23"/>
      <c r="D597" s="23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</row>
    <row r="598" spans="1:27" s="21" customFormat="1" ht="12.75">
      <c r="A598" s="23"/>
      <c r="B598" s="23"/>
      <c r="C598" s="23"/>
      <c r="D598" s="23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</row>
    <row r="599" spans="1:27" s="21" customFormat="1" ht="12.75">
      <c r="A599" s="23"/>
      <c r="B599" s="23"/>
      <c r="C599" s="23"/>
      <c r="D599" s="23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</row>
    <row r="600" spans="1:27" s="21" customFormat="1" ht="12.75">
      <c r="A600" s="23"/>
      <c r="B600" s="23"/>
      <c r="C600" s="23"/>
      <c r="D600" s="23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</row>
    <row r="601" spans="1:27" s="21" customFormat="1" ht="12.75">
      <c r="A601" s="23"/>
      <c r="B601" s="23"/>
      <c r="C601" s="23"/>
      <c r="D601" s="23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</row>
    <row r="602" spans="1:27" s="21" customFormat="1" ht="12.75">
      <c r="A602" s="23"/>
      <c r="B602" s="23"/>
      <c r="C602" s="23"/>
      <c r="D602" s="23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</row>
    <row r="603" spans="1:27" s="21" customFormat="1" ht="12.75">
      <c r="A603" s="23"/>
      <c r="B603" s="23"/>
      <c r="C603" s="23"/>
      <c r="D603" s="23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</row>
    <row r="604" spans="1:27" s="21" customFormat="1" ht="12.75">
      <c r="A604" s="23"/>
      <c r="B604" s="23"/>
      <c r="C604" s="23"/>
      <c r="D604" s="23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</row>
    <row r="605" spans="1:27" s="21" customFormat="1" ht="12.75">
      <c r="A605" s="23"/>
      <c r="B605" s="23"/>
      <c r="C605" s="23"/>
      <c r="D605" s="23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</row>
    <row r="606" spans="1:27" s="21" customFormat="1" ht="12.75">
      <c r="A606" s="23"/>
      <c r="B606" s="23"/>
      <c r="C606" s="23"/>
      <c r="D606" s="23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</row>
    <row r="607" spans="1:27" s="21" customFormat="1" ht="12.75">
      <c r="A607" s="23"/>
      <c r="B607" s="23"/>
      <c r="C607" s="23"/>
      <c r="D607" s="23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</row>
    <row r="608" spans="1:27" s="21" customFormat="1" ht="12.75">
      <c r="A608" s="23"/>
      <c r="B608" s="23"/>
      <c r="C608" s="23"/>
      <c r="D608" s="23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</row>
    <row r="609" spans="1:27" s="21" customFormat="1" ht="12.75">
      <c r="A609" s="23"/>
      <c r="B609" s="23"/>
      <c r="C609" s="23"/>
      <c r="D609" s="23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</row>
    <row r="610" spans="1:27" s="21" customFormat="1" ht="12.75">
      <c r="A610" s="23"/>
      <c r="B610" s="23"/>
      <c r="C610" s="23"/>
      <c r="D610" s="23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</row>
    <row r="611" spans="1:27" s="21" customFormat="1" ht="12.75">
      <c r="A611" s="23"/>
      <c r="B611" s="23"/>
      <c r="C611" s="23"/>
      <c r="D611" s="23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</row>
    <row r="612" spans="1:27" s="21" customFormat="1" ht="12.75">
      <c r="A612" s="23"/>
      <c r="B612" s="23"/>
      <c r="C612" s="23"/>
      <c r="D612" s="23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</row>
    <row r="613" spans="1:27" s="21" customFormat="1" ht="12.75">
      <c r="A613" s="23"/>
      <c r="B613" s="23"/>
      <c r="C613" s="23"/>
      <c r="D613" s="23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</row>
    <row r="614" spans="1:27" s="21" customFormat="1" ht="12.75">
      <c r="A614" s="23"/>
      <c r="B614" s="23"/>
      <c r="C614" s="23"/>
      <c r="D614" s="23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</row>
    <row r="615" spans="1:27" s="21" customFormat="1" ht="12.75">
      <c r="A615" s="23"/>
      <c r="B615" s="23"/>
      <c r="C615" s="23"/>
      <c r="D615" s="23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</row>
    <row r="616" spans="1:27" s="21" customFormat="1" ht="12.75">
      <c r="A616" s="23"/>
      <c r="B616" s="23"/>
      <c r="C616" s="23"/>
      <c r="D616" s="23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</row>
    <row r="617" spans="1:27" s="21" customFormat="1" ht="12.75">
      <c r="A617" s="23"/>
      <c r="B617" s="23"/>
      <c r="C617" s="23"/>
      <c r="D617" s="23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</row>
    <row r="618" spans="1:27" s="21" customFormat="1" ht="12.75">
      <c r="A618" s="23"/>
      <c r="B618" s="23"/>
      <c r="C618" s="23"/>
      <c r="D618" s="23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</row>
    <row r="619" spans="1:27" s="21" customFormat="1" ht="12.75">
      <c r="A619" s="23"/>
      <c r="B619" s="23"/>
      <c r="C619" s="23"/>
      <c r="D619" s="23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</row>
    <row r="620" spans="1:27" s="21" customFormat="1" ht="12.75">
      <c r="A620" s="23"/>
      <c r="B620" s="23"/>
      <c r="C620" s="23"/>
      <c r="D620" s="23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</row>
    <row r="621" spans="1:27" s="21" customFormat="1" ht="12.75">
      <c r="A621" s="23"/>
      <c r="B621" s="23"/>
      <c r="C621" s="23"/>
      <c r="D621" s="23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</row>
    <row r="622" spans="1:27" s="21" customFormat="1" ht="12.75">
      <c r="A622" s="23"/>
      <c r="B622" s="23"/>
      <c r="C622" s="23"/>
      <c r="D622" s="23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</row>
    <row r="623" spans="1:27" s="21" customFormat="1" ht="12.75">
      <c r="A623" s="23"/>
      <c r="B623" s="23"/>
      <c r="C623" s="23"/>
      <c r="D623" s="23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</row>
    <row r="624" spans="1:27" s="21" customFormat="1" ht="12.75">
      <c r="A624" s="23"/>
      <c r="B624" s="23"/>
      <c r="C624" s="23"/>
      <c r="D624" s="23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</row>
    <row r="625" spans="1:27" s="21" customFormat="1" ht="12.75">
      <c r="A625" s="23"/>
      <c r="B625" s="23"/>
      <c r="C625" s="23"/>
      <c r="D625" s="23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</row>
    <row r="626" spans="1:27" s="21" customFormat="1" ht="12.75">
      <c r="A626" s="23"/>
      <c r="B626" s="23"/>
      <c r="C626" s="23"/>
      <c r="D626" s="23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</row>
    <row r="627" spans="1:27" s="21" customFormat="1" ht="12.75">
      <c r="A627" s="23"/>
      <c r="B627" s="23"/>
      <c r="C627" s="23"/>
      <c r="D627" s="23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</row>
    <row r="628" spans="1:27" s="21" customFormat="1" ht="12.75">
      <c r="A628" s="23"/>
      <c r="B628" s="23"/>
      <c r="C628" s="23"/>
      <c r="D628" s="23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</row>
    <row r="629" spans="1:27" s="21" customFormat="1" ht="12.75">
      <c r="A629" s="23"/>
      <c r="B629" s="23"/>
      <c r="C629" s="23"/>
      <c r="D629" s="23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</row>
    <row r="630" spans="1:27" s="21" customFormat="1" ht="12.75">
      <c r="A630" s="23"/>
      <c r="B630" s="23"/>
      <c r="C630" s="23"/>
      <c r="D630" s="23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</row>
    <row r="631" spans="1:27" s="21" customFormat="1" ht="12.75">
      <c r="A631" s="23"/>
      <c r="B631" s="23"/>
      <c r="C631" s="23"/>
      <c r="D631" s="23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</row>
    <row r="632" spans="1:27" s="21" customFormat="1" ht="12.75">
      <c r="A632" s="23"/>
      <c r="B632" s="23"/>
      <c r="C632" s="23"/>
      <c r="D632" s="23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</row>
    <row r="633" spans="1:27" s="21" customFormat="1" ht="12.75">
      <c r="A633" s="23"/>
      <c r="B633" s="23"/>
      <c r="C633" s="23"/>
      <c r="D633" s="23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</row>
    <row r="634" spans="1:27" s="21" customFormat="1" ht="12.75">
      <c r="A634" s="23"/>
      <c r="B634" s="23"/>
      <c r="C634" s="23"/>
      <c r="D634" s="23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</row>
    <row r="635" spans="1:27" s="21" customFormat="1" ht="12.75">
      <c r="A635" s="23"/>
      <c r="B635" s="23"/>
      <c r="C635" s="23"/>
      <c r="D635" s="23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</row>
    <row r="636" spans="1:27" s="21" customFormat="1" ht="12.75">
      <c r="A636" s="23"/>
      <c r="B636" s="23"/>
      <c r="C636" s="23"/>
      <c r="D636" s="23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</row>
    <row r="637" spans="1:27" s="21" customFormat="1" ht="12.75">
      <c r="A637" s="23"/>
      <c r="B637" s="23"/>
      <c r="C637" s="23"/>
      <c r="D637" s="23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</row>
    <row r="638" spans="1:27" s="21" customFormat="1" ht="12.75">
      <c r="A638" s="23"/>
      <c r="B638" s="23"/>
      <c r="C638" s="23"/>
      <c r="D638" s="23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</row>
    <row r="639" spans="1:27" s="21" customFormat="1" ht="12.75">
      <c r="A639" s="23"/>
      <c r="B639" s="23"/>
      <c r="C639" s="23"/>
      <c r="D639" s="23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</row>
    <row r="640" spans="1:27" s="21" customFormat="1" ht="12.75">
      <c r="A640" s="23"/>
      <c r="B640" s="23"/>
      <c r="C640" s="23"/>
      <c r="D640" s="23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</row>
    <row r="641" spans="1:27" s="21" customFormat="1" ht="12.75">
      <c r="A641" s="23"/>
      <c r="B641" s="23"/>
      <c r="C641" s="23"/>
      <c r="D641" s="23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</row>
    <row r="642" spans="1:27" s="21" customFormat="1" ht="12.75">
      <c r="A642" s="23"/>
      <c r="B642" s="23"/>
      <c r="C642" s="23"/>
      <c r="D642" s="23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</row>
    <row r="643" spans="1:27" s="21" customFormat="1" ht="12.75">
      <c r="A643" s="23"/>
      <c r="B643" s="23"/>
      <c r="C643" s="23"/>
      <c r="D643" s="23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</row>
    <row r="644" spans="1:27" s="21" customFormat="1" ht="12.75">
      <c r="A644" s="23"/>
      <c r="B644" s="23"/>
      <c r="C644" s="23"/>
      <c r="D644" s="23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</row>
    <row r="645" spans="1:27" s="21" customFormat="1" ht="12.75">
      <c r="A645" s="23"/>
      <c r="B645" s="23"/>
      <c r="C645" s="23"/>
      <c r="D645" s="23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</row>
    <row r="646" spans="1:27" s="21" customFormat="1" ht="12.75">
      <c r="A646" s="23"/>
      <c r="B646" s="23"/>
      <c r="C646" s="23"/>
      <c r="D646" s="23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</row>
    <row r="647" spans="1:27" s="21" customFormat="1" ht="12.75">
      <c r="A647" s="23"/>
      <c r="B647" s="23"/>
      <c r="C647" s="23"/>
      <c r="D647" s="23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</row>
    <row r="648" spans="1:27" s="21" customFormat="1" ht="12.75">
      <c r="A648" s="23"/>
      <c r="B648" s="23"/>
      <c r="C648" s="23"/>
      <c r="D648" s="23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</row>
    <row r="649" spans="1:27" s="21" customFormat="1" ht="12.75">
      <c r="A649" s="23"/>
      <c r="B649" s="23"/>
      <c r="C649" s="23"/>
      <c r="D649" s="23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</row>
    <row r="650" spans="1:27" s="21" customFormat="1" ht="12.75">
      <c r="A650" s="23"/>
      <c r="B650" s="23"/>
      <c r="C650" s="23"/>
      <c r="D650" s="23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</row>
    <row r="651" spans="1:27" s="21" customFormat="1" ht="12.75">
      <c r="A651" s="23"/>
      <c r="B651" s="23"/>
      <c r="C651" s="23"/>
      <c r="D651" s="23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</row>
    <row r="652" spans="1:27" s="21" customFormat="1" ht="12.75">
      <c r="A652" s="23"/>
      <c r="B652" s="23"/>
      <c r="C652" s="23"/>
      <c r="D652" s="23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</row>
    <row r="653" spans="1:27" s="21" customFormat="1" ht="12.75">
      <c r="A653" s="23"/>
      <c r="B653" s="23"/>
      <c r="C653" s="23"/>
      <c r="D653" s="23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</row>
    <row r="654" spans="1:27" s="21" customFormat="1" ht="12.75">
      <c r="A654" s="23"/>
      <c r="B654" s="23"/>
      <c r="C654" s="23"/>
      <c r="D654" s="23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</row>
    <row r="655" spans="1:27" s="21" customFormat="1" ht="12.75">
      <c r="A655" s="23"/>
      <c r="B655" s="23"/>
      <c r="C655" s="23"/>
      <c r="D655" s="23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</row>
    <row r="656" spans="1:27" s="21" customFormat="1" ht="12.75">
      <c r="A656" s="23"/>
      <c r="B656" s="23"/>
      <c r="C656" s="23"/>
      <c r="D656" s="23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</row>
    <row r="657" spans="1:27" s="21" customFormat="1" ht="12.75">
      <c r="A657" s="23"/>
      <c r="B657" s="23"/>
      <c r="C657" s="23"/>
      <c r="D657" s="23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</row>
    <row r="658" spans="1:27" s="21" customFormat="1" ht="12.75">
      <c r="A658" s="23"/>
      <c r="B658" s="23"/>
      <c r="C658" s="23"/>
      <c r="D658" s="23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</row>
    <row r="659" spans="1:27" s="21" customFormat="1" ht="12.75">
      <c r="A659" s="23"/>
      <c r="B659" s="23"/>
      <c r="C659" s="23"/>
      <c r="D659" s="23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</row>
    <row r="660" spans="1:27" s="21" customFormat="1" ht="12.75">
      <c r="A660" s="23"/>
      <c r="B660" s="23"/>
      <c r="C660" s="23"/>
      <c r="D660" s="23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</row>
    <row r="661" spans="1:27" s="21" customFormat="1" ht="12.75">
      <c r="A661" s="23"/>
      <c r="B661" s="23"/>
      <c r="C661" s="23"/>
      <c r="D661" s="23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</row>
    <row r="662" spans="1:27" s="21" customFormat="1" ht="12.75">
      <c r="A662" s="23"/>
      <c r="B662" s="23"/>
      <c r="C662" s="23"/>
      <c r="D662" s="23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</row>
    <row r="663" spans="1:27" s="21" customFormat="1" ht="12.75">
      <c r="A663" s="23"/>
      <c r="B663" s="23"/>
      <c r="C663" s="23"/>
      <c r="D663" s="23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</row>
    <row r="664" spans="1:27" s="21" customFormat="1" ht="12.75">
      <c r="A664" s="23"/>
      <c r="B664" s="23"/>
      <c r="C664" s="23"/>
      <c r="D664" s="23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</row>
    <row r="665" spans="1:27" s="21" customFormat="1" ht="12.75">
      <c r="A665" s="23"/>
      <c r="B665" s="23"/>
      <c r="C665" s="23"/>
      <c r="D665" s="23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</row>
    <row r="666" spans="1:27" s="21" customFormat="1" ht="12.75">
      <c r="A666" s="23"/>
      <c r="B666" s="23"/>
      <c r="C666" s="23"/>
      <c r="D666" s="23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</row>
    <row r="667" spans="1:27" s="21" customFormat="1" ht="12.75">
      <c r="A667" s="23"/>
      <c r="B667" s="23"/>
      <c r="C667" s="23"/>
      <c r="D667" s="23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</row>
    <row r="668" spans="1:27" s="21" customFormat="1" ht="12.75">
      <c r="A668" s="23"/>
      <c r="B668" s="23"/>
      <c r="C668" s="23"/>
      <c r="D668" s="23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</row>
    <row r="669" spans="1:27" s="21" customFormat="1" ht="12.75">
      <c r="A669" s="23"/>
      <c r="B669" s="23"/>
      <c r="C669" s="23"/>
      <c r="D669" s="23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</row>
    <row r="670" spans="1:27" s="21" customFormat="1" ht="12.75">
      <c r="A670" s="23"/>
      <c r="B670" s="23"/>
      <c r="C670" s="23"/>
      <c r="D670" s="23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</row>
    <row r="671" spans="1:27" s="21" customFormat="1" ht="12.75">
      <c r="A671" s="23"/>
      <c r="B671" s="23"/>
      <c r="C671" s="23"/>
      <c r="D671" s="23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</row>
    <row r="672" spans="1:27" s="21" customFormat="1" ht="12.75">
      <c r="A672" s="23"/>
      <c r="B672" s="23"/>
      <c r="C672" s="23"/>
      <c r="D672" s="23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</row>
    <row r="673" spans="1:27" s="21" customFormat="1" ht="12.75">
      <c r="A673" s="23"/>
      <c r="B673" s="23"/>
      <c r="C673" s="23"/>
      <c r="D673" s="23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</row>
    <row r="674" spans="1:27" s="21" customFormat="1" ht="12.75">
      <c r="A674" s="23"/>
      <c r="B674" s="23"/>
      <c r="C674" s="23"/>
      <c r="D674" s="23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</row>
    <row r="675" spans="1:27" s="21" customFormat="1" ht="12.75">
      <c r="A675" s="23"/>
      <c r="B675" s="23"/>
      <c r="C675" s="23"/>
      <c r="D675" s="23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</row>
    <row r="676" spans="1:27" s="21" customFormat="1" ht="12.75">
      <c r="A676" s="23"/>
      <c r="B676" s="23"/>
      <c r="C676" s="23"/>
      <c r="D676" s="23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</row>
    <row r="677" spans="1:27" s="21" customFormat="1" ht="12.75">
      <c r="A677" s="23"/>
      <c r="B677" s="23"/>
      <c r="C677" s="23"/>
      <c r="D677" s="23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</row>
    <row r="678" spans="1:27" s="21" customFormat="1" ht="12.75">
      <c r="A678" s="23"/>
      <c r="B678" s="23"/>
      <c r="C678" s="23"/>
      <c r="D678" s="23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</row>
    <row r="679" spans="1:27" s="21" customFormat="1" ht="12.75">
      <c r="A679" s="23"/>
      <c r="B679" s="23"/>
      <c r="C679" s="23"/>
      <c r="D679" s="23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</row>
    <row r="680" spans="1:27" s="21" customFormat="1" ht="12.75">
      <c r="A680" s="23"/>
      <c r="B680" s="23"/>
      <c r="C680" s="23"/>
      <c r="D680" s="23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</row>
    <row r="681" spans="1:27" s="21" customFormat="1" ht="12.75">
      <c r="A681" s="23"/>
      <c r="B681" s="23"/>
      <c r="C681" s="23"/>
      <c r="D681" s="23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</row>
    <row r="682" spans="1:27" s="21" customFormat="1" ht="12.75">
      <c r="A682" s="23"/>
      <c r="B682" s="23"/>
      <c r="C682" s="23"/>
      <c r="D682" s="23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</row>
    <row r="683" spans="1:27" s="21" customFormat="1" ht="12.75">
      <c r="A683" s="23"/>
      <c r="B683" s="23"/>
      <c r="C683" s="23"/>
      <c r="D683" s="23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</row>
    <row r="684" spans="1:27" s="21" customFormat="1" ht="12.75">
      <c r="A684" s="23"/>
      <c r="B684" s="23"/>
      <c r="C684" s="23"/>
      <c r="D684" s="23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</row>
    <row r="685" spans="1:27" s="21" customFormat="1" ht="12.75">
      <c r="A685" s="23"/>
      <c r="B685" s="23"/>
      <c r="C685" s="23"/>
      <c r="D685" s="23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</row>
    <row r="686" spans="1:27" s="21" customFormat="1" ht="12.75">
      <c r="A686" s="23"/>
      <c r="B686" s="23"/>
      <c r="C686" s="23"/>
      <c r="D686" s="23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</row>
    <row r="687" spans="1:27" s="21" customFormat="1" ht="12.75">
      <c r="A687" s="23"/>
      <c r="B687" s="23"/>
      <c r="C687" s="23"/>
      <c r="D687" s="23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</row>
    <row r="688" spans="1:27" s="21" customFormat="1" ht="12.75">
      <c r="A688" s="23"/>
      <c r="B688" s="23"/>
      <c r="C688" s="23"/>
      <c r="D688" s="23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</row>
    <row r="689" spans="1:27" s="21" customFormat="1" ht="12.75">
      <c r="A689" s="23"/>
      <c r="B689" s="23"/>
      <c r="C689" s="23"/>
      <c r="D689" s="23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</row>
    <row r="690" spans="1:27" s="21" customFormat="1" ht="12.75">
      <c r="A690" s="23"/>
      <c r="B690" s="23"/>
      <c r="C690" s="23"/>
      <c r="D690" s="23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</row>
    <row r="691" spans="1:27" s="21" customFormat="1" ht="12.75">
      <c r="A691" s="23"/>
      <c r="B691" s="23"/>
      <c r="C691" s="23"/>
      <c r="D691" s="23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</row>
    <row r="692" spans="1:27" s="21" customFormat="1" ht="12.75">
      <c r="A692" s="23"/>
      <c r="B692" s="23"/>
      <c r="C692" s="23"/>
      <c r="D692" s="23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</row>
    <row r="693" spans="1:27" s="21" customFormat="1" ht="12.75">
      <c r="A693" s="23"/>
      <c r="B693" s="23"/>
      <c r="C693" s="23"/>
      <c r="D693" s="23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</row>
    <row r="694" spans="1:27" s="21" customFormat="1" ht="12.75">
      <c r="A694" s="23"/>
      <c r="B694" s="23"/>
      <c r="C694" s="23"/>
      <c r="D694" s="23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</row>
    <row r="695" spans="1:27" s="21" customFormat="1" ht="12.75">
      <c r="A695" s="23"/>
      <c r="B695" s="23"/>
      <c r="C695" s="23"/>
      <c r="D695" s="23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</row>
    <row r="696" spans="1:27" s="21" customFormat="1" ht="12.75">
      <c r="A696" s="23"/>
      <c r="B696" s="23"/>
      <c r="C696" s="23"/>
      <c r="D696" s="23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</row>
    <row r="697" spans="1:27" s="21" customFormat="1" ht="12.75">
      <c r="A697" s="23"/>
      <c r="B697" s="23"/>
      <c r="C697" s="23"/>
      <c r="D697" s="23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</row>
    <row r="698" spans="1:27" s="21" customFormat="1" ht="12.75">
      <c r="A698" s="23"/>
      <c r="B698" s="23"/>
      <c r="C698" s="23"/>
      <c r="D698" s="23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</row>
    <row r="699" spans="1:27" s="21" customFormat="1" ht="12.75">
      <c r="A699" s="23"/>
      <c r="B699" s="23"/>
      <c r="C699" s="23"/>
      <c r="D699" s="23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</row>
    <row r="700" spans="1:27" s="21" customFormat="1" ht="12.75">
      <c r="A700" s="23"/>
      <c r="B700" s="23"/>
      <c r="C700" s="23"/>
      <c r="D700" s="23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</row>
    <row r="701" spans="1:27" s="21" customFormat="1" ht="12.75">
      <c r="A701" s="23"/>
      <c r="B701" s="23"/>
      <c r="C701" s="23"/>
      <c r="D701" s="23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</row>
    <row r="702" spans="1:27" s="21" customFormat="1" ht="12.75">
      <c r="A702" s="23"/>
      <c r="B702" s="23"/>
      <c r="C702" s="23"/>
      <c r="D702" s="23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</row>
    <row r="703" spans="1:27" s="21" customFormat="1" ht="12.75">
      <c r="A703" s="23"/>
      <c r="B703" s="23"/>
      <c r="C703" s="23"/>
      <c r="D703" s="23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</row>
    <row r="704" spans="1:27" s="21" customFormat="1" ht="12.75">
      <c r="A704" s="23"/>
      <c r="B704" s="23"/>
      <c r="C704" s="23"/>
      <c r="D704" s="23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</row>
    <row r="705" spans="1:27" s="21" customFormat="1" ht="12.75">
      <c r="A705" s="23"/>
      <c r="B705" s="23"/>
      <c r="C705" s="23"/>
      <c r="D705" s="23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</row>
    <row r="706" spans="1:27" s="21" customFormat="1" ht="12.75">
      <c r="A706" s="23"/>
      <c r="B706" s="23"/>
      <c r="C706" s="23"/>
      <c r="D706" s="23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</row>
    <row r="707" spans="1:27" s="21" customFormat="1" ht="12.75">
      <c r="A707" s="23"/>
      <c r="B707" s="23"/>
      <c r="C707" s="23"/>
      <c r="D707" s="23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</row>
    <row r="708" spans="1:27" s="21" customFormat="1" ht="12.75">
      <c r="A708" s="23"/>
      <c r="B708" s="23"/>
      <c r="C708" s="23"/>
      <c r="D708" s="23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</row>
    <row r="709" spans="1:27" s="21" customFormat="1" ht="12.75">
      <c r="A709" s="23"/>
      <c r="B709" s="23"/>
      <c r="C709" s="23"/>
      <c r="D709" s="23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</row>
    <row r="710" spans="1:27" s="21" customFormat="1" ht="12.75">
      <c r="A710" s="23"/>
      <c r="B710" s="23"/>
      <c r="C710" s="23"/>
      <c r="D710" s="23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</row>
    <row r="711" spans="1:27" s="21" customFormat="1" ht="12.75">
      <c r="A711" s="23"/>
      <c r="B711" s="23"/>
      <c r="C711" s="23"/>
      <c r="D711" s="23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</row>
    <row r="712" spans="1:27" s="21" customFormat="1" ht="12.75">
      <c r="A712" s="23"/>
      <c r="B712" s="23"/>
      <c r="C712" s="23"/>
      <c r="D712" s="23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</row>
    <row r="713" spans="1:27" s="21" customFormat="1" ht="12.75">
      <c r="A713" s="23"/>
      <c r="B713" s="23"/>
      <c r="C713" s="23"/>
      <c r="D713" s="23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</row>
    <row r="714" spans="1:27" s="21" customFormat="1" ht="12.75">
      <c r="A714" s="23"/>
      <c r="B714" s="23"/>
      <c r="C714" s="23"/>
      <c r="D714" s="23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</row>
    <row r="715" spans="1:27" s="21" customFormat="1" ht="12.75">
      <c r="A715" s="23"/>
      <c r="B715" s="23"/>
      <c r="C715" s="23"/>
      <c r="D715" s="23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</row>
    <row r="716" spans="1:27" s="21" customFormat="1" ht="12.75">
      <c r="A716" s="23"/>
      <c r="B716" s="23"/>
      <c r="C716" s="23"/>
      <c r="D716" s="23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</row>
    <row r="717" spans="1:27" s="21" customFormat="1" ht="12.75">
      <c r="A717" s="23"/>
      <c r="B717" s="23"/>
      <c r="C717" s="23"/>
      <c r="D717" s="23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</row>
    <row r="718" spans="1:27" s="21" customFormat="1" ht="12.75">
      <c r="A718" s="23"/>
      <c r="B718" s="23"/>
      <c r="C718" s="23"/>
      <c r="D718" s="23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</row>
    <row r="719" spans="1:27" s="21" customFormat="1" ht="12.75">
      <c r="A719" s="23"/>
      <c r="B719" s="23"/>
      <c r="C719" s="23"/>
      <c r="D719" s="23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</row>
    <row r="720" spans="1:27" s="21" customFormat="1" ht="12.75">
      <c r="A720" s="23"/>
      <c r="B720" s="23"/>
      <c r="C720" s="23"/>
      <c r="D720" s="23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</row>
    <row r="721" spans="1:27" s="21" customFormat="1" ht="12.75">
      <c r="A721" s="23"/>
      <c r="B721" s="23"/>
      <c r="C721" s="23"/>
      <c r="D721" s="23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</row>
    <row r="722" spans="1:27" s="21" customFormat="1" ht="12.75">
      <c r="A722" s="23"/>
      <c r="B722" s="23"/>
      <c r="C722" s="23"/>
      <c r="D722" s="23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</row>
    <row r="723" spans="1:27" s="21" customFormat="1" ht="12.75">
      <c r="A723" s="23"/>
      <c r="B723" s="23"/>
      <c r="C723" s="23"/>
      <c r="D723" s="23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</row>
    <row r="724" spans="1:27" s="21" customFormat="1" ht="12.75">
      <c r="A724" s="23"/>
      <c r="B724" s="23"/>
      <c r="C724" s="23"/>
      <c r="D724" s="23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</row>
    <row r="725" spans="1:27" s="21" customFormat="1" ht="12.75">
      <c r="A725" s="23"/>
      <c r="B725" s="23"/>
      <c r="C725" s="23"/>
      <c r="D725" s="23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</row>
    <row r="726" spans="1:27" s="21" customFormat="1" ht="12.75">
      <c r="A726" s="23"/>
      <c r="B726" s="23"/>
      <c r="C726" s="23"/>
      <c r="D726" s="23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</row>
    <row r="727" spans="1:27" s="21" customFormat="1" ht="12.75">
      <c r="A727" s="23"/>
      <c r="B727" s="23"/>
      <c r="C727" s="23"/>
      <c r="D727" s="23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</row>
    <row r="728" spans="1:27" s="21" customFormat="1" ht="12.75">
      <c r="A728" s="23"/>
      <c r="B728" s="23"/>
      <c r="C728" s="23"/>
      <c r="D728" s="23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</row>
    <row r="729" spans="1:27" s="21" customFormat="1" ht="12.75">
      <c r="A729" s="23"/>
      <c r="B729" s="23"/>
      <c r="C729" s="23"/>
      <c r="D729" s="23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</row>
    <row r="730" spans="1:27" s="21" customFormat="1" ht="12.75">
      <c r="A730" s="23"/>
      <c r="B730" s="23"/>
      <c r="C730" s="23"/>
      <c r="D730" s="23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</row>
    <row r="731" spans="1:27" s="21" customFormat="1" ht="12.75">
      <c r="A731" s="23"/>
      <c r="B731" s="23"/>
      <c r="C731" s="23"/>
      <c r="D731" s="23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</row>
    <row r="732" spans="1:27" s="21" customFormat="1" ht="12.75">
      <c r="A732" s="23"/>
      <c r="B732" s="23"/>
      <c r="C732" s="23"/>
      <c r="D732" s="23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</row>
    <row r="733" spans="1:27" s="21" customFormat="1" ht="12.75">
      <c r="A733" s="23"/>
      <c r="B733" s="23"/>
      <c r="C733" s="23"/>
      <c r="D733" s="23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</row>
    <row r="734" spans="1:27" s="21" customFormat="1" ht="12.75">
      <c r="A734" s="23"/>
      <c r="B734" s="23"/>
      <c r="C734" s="23"/>
      <c r="D734" s="23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</row>
    <row r="735" spans="1:27" s="21" customFormat="1" ht="12.75">
      <c r="A735" s="23"/>
      <c r="B735" s="23"/>
      <c r="C735" s="23"/>
      <c r="D735" s="23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</row>
    <row r="736" spans="1:27" s="21" customFormat="1" ht="12.75">
      <c r="A736" s="23"/>
      <c r="B736" s="23"/>
      <c r="C736" s="23"/>
      <c r="D736" s="23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</row>
    <row r="737" spans="1:27" s="21" customFormat="1" ht="12.75">
      <c r="A737" s="23"/>
      <c r="B737" s="23"/>
      <c r="C737" s="23"/>
      <c r="D737" s="23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</row>
    <row r="738" spans="1:27" s="21" customFormat="1" ht="12.75">
      <c r="A738" s="23"/>
      <c r="B738" s="23"/>
      <c r="C738" s="23"/>
      <c r="D738" s="23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</row>
    <row r="739" spans="1:27" s="21" customFormat="1" ht="12.75">
      <c r="A739" s="23"/>
      <c r="B739" s="23"/>
      <c r="C739" s="23"/>
      <c r="D739" s="23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</row>
    <row r="740" spans="1:27" s="21" customFormat="1" ht="12.75">
      <c r="A740" s="23"/>
      <c r="B740" s="23"/>
      <c r="C740" s="23"/>
      <c r="D740" s="23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</row>
    <row r="741" spans="1:27" s="21" customFormat="1" ht="12.75">
      <c r="A741" s="23"/>
      <c r="B741" s="23"/>
      <c r="C741" s="23"/>
      <c r="D741" s="23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</row>
    <row r="742" spans="1:27" s="21" customFormat="1" ht="12.75">
      <c r="A742" s="23"/>
      <c r="B742" s="23"/>
      <c r="C742" s="23"/>
      <c r="D742" s="23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</row>
    <row r="743" spans="1:27" s="21" customFormat="1" ht="12.75">
      <c r="A743" s="23"/>
      <c r="B743" s="23"/>
      <c r="C743" s="23"/>
      <c r="D743" s="23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</row>
    <row r="744" spans="1:27" s="21" customFormat="1" ht="12.75">
      <c r="A744" s="23"/>
      <c r="B744" s="23"/>
      <c r="C744" s="23"/>
      <c r="D744" s="23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</row>
    <row r="745" spans="1:27" s="21" customFormat="1" ht="12.75">
      <c r="A745" s="23"/>
      <c r="B745" s="23"/>
      <c r="C745" s="23"/>
      <c r="D745" s="23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</row>
    <row r="746" spans="1:27" s="21" customFormat="1" ht="12.75">
      <c r="A746" s="23"/>
      <c r="B746" s="23"/>
      <c r="C746" s="23"/>
      <c r="D746" s="23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</row>
    <row r="747" spans="1:27" s="21" customFormat="1" ht="12.75">
      <c r="A747" s="23"/>
      <c r="B747" s="23"/>
      <c r="C747" s="23"/>
      <c r="D747" s="23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</row>
    <row r="748" spans="1:27" s="21" customFormat="1" ht="12.75">
      <c r="A748" s="23"/>
      <c r="B748" s="23"/>
      <c r="C748" s="23"/>
      <c r="D748" s="23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</row>
  </sheetData>
  <sheetProtection/>
  <mergeCells count="1">
    <mergeCell ref="A5:AA5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3"/>
  <headerFooter alignWithMargins="0">
    <oddFooter>&amp;C&amp;8Wydatki - str.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5.625" style="7" customWidth="1"/>
    <col min="2" max="2" width="7.125" style="7" customWidth="1"/>
    <col min="3" max="3" width="5.75390625" style="7" customWidth="1"/>
    <col min="4" max="4" width="32.875" style="7" customWidth="1"/>
    <col min="5" max="5" width="13.75390625" style="7" hidden="1" customWidth="1"/>
    <col min="6" max="6" width="14.875" style="7" hidden="1" customWidth="1"/>
    <col min="7" max="7" width="0.12890625" style="7" hidden="1" customWidth="1"/>
    <col min="8" max="8" width="14.875" style="7" hidden="1" customWidth="1"/>
    <col min="9" max="9" width="43.375" style="7" hidden="1" customWidth="1"/>
    <col min="10" max="10" width="9.25390625" style="7" hidden="1" customWidth="1"/>
    <col min="11" max="11" width="44.875" style="7" hidden="1" customWidth="1"/>
    <col min="12" max="12" width="10.75390625" style="7" hidden="1" customWidth="1"/>
    <col min="13" max="13" width="14.375" style="7" hidden="1" customWidth="1"/>
    <col min="14" max="14" width="14.875" style="7" hidden="1" customWidth="1"/>
    <col min="15" max="15" width="13.375" style="7" hidden="1" customWidth="1"/>
    <col min="16" max="16" width="14.875" style="7" hidden="1" customWidth="1"/>
    <col min="17" max="17" width="43.25390625" style="7" hidden="1" customWidth="1"/>
    <col min="18" max="18" width="9.25390625" style="7" hidden="1" customWidth="1"/>
    <col min="19" max="19" width="13.375" style="7" hidden="1" customWidth="1"/>
    <col min="20" max="20" width="14.875" style="7" hidden="1" customWidth="1"/>
    <col min="21" max="21" width="13.375" style="7" hidden="1" customWidth="1"/>
    <col min="22" max="22" width="14.875" style="7" hidden="1" customWidth="1"/>
    <col min="23" max="23" width="13.375" style="7" customWidth="1"/>
    <col min="24" max="24" width="14.875" style="7" customWidth="1"/>
    <col min="25" max="25" width="13.375" style="7" customWidth="1"/>
  </cols>
  <sheetData>
    <row r="1" spans="1:25" ht="12.75">
      <c r="A1" s="56"/>
      <c r="B1" s="56"/>
      <c r="C1" s="56"/>
      <c r="D1" s="56"/>
      <c r="E1" s="57" t="s">
        <v>342</v>
      </c>
      <c r="F1" s="57"/>
      <c r="G1" s="57" t="s">
        <v>355</v>
      </c>
      <c r="H1" s="57"/>
      <c r="I1" s="57" t="s">
        <v>420</v>
      </c>
      <c r="J1" s="57"/>
      <c r="K1" s="57" t="s">
        <v>448</v>
      </c>
      <c r="L1" s="57"/>
      <c r="M1" s="57" t="s">
        <v>459</v>
      </c>
      <c r="N1" s="57"/>
      <c r="O1" s="57" t="s">
        <v>480</v>
      </c>
      <c r="P1" s="57"/>
      <c r="Q1" s="57" t="s">
        <v>497</v>
      </c>
      <c r="R1" s="57"/>
      <c r="S1" s="57" t="s">
        <v>507</v>
      </c>
      <c r="T1" s="57"/>
      <c r="U1" s="57" t="s">
        <v>514</v>
      </c>
      <c r="V1" s="57"/>
      <c r="W1" s="57" t="s">
        <v>522</v>
      </c>
      <c r="X1" s="57"/>
      <c r="Y1" s="57"/>
    </row>
    <row r="2" spans="1:25" ht="12.75">
      <c r="A2" s="56"/>
      <c r="B2" s="56"/>
      <c r="C2" s="56"/>
      <c r="D2" s="56"/>
      <c r="E2" s="57" t="s">
        <v>337</v>
      </c>
      <c r="F2" s="57"/>
      <c r="G2" s="57" t="s">
        <v>352</v>
      </c>
      <c r="H2" s="57"/>
      <c r="I2" s="57" t="s">
        <v>418</v>
      </c>
      <c r="J2" s="57"/>
      <c r="K2" s="57" t="s">
        <v>444</v>
      </c>
      <c r="L2" s="57"/>
      <c r="M2" s="57" t="s">
        <v>457</v>
      </c>
      <c r="N2" s="57"/>
      <c r="O2" s="57" t="s">
        <v>479</v>
      </c>
      <c r="P2" s="57"/>
      <c r="Q2" s="57" t="s">
        <v>490</v>
      </c>
      <c r="R2" s="57"/>
      <c r="S2" s="57" t="s">
        <v>499</v>
      </c>
      <c r="T2" s="57"/>
      <c r="U2" s="57" t="s">
        <v>512</v>
      </c>
      <c r="V2" s="57"/>
      <c r="W2" s="57" t="s">
        <v>521</v>
      </c>
      <c r="X2" s="57"/>
      <c r="Y2" s="57"/>
    </row>
    <row r="3" spans="1:25" ht="12.75">
      <c r="A3" s="56"/>
      <c r="B3" s="56"/>
      <c r="C3" s="56"/>
      <c r="D3" s="56"/>
      <c r="E3" s="57" t="s">
        <v>343</v>
      </c>
      <c r="F3" s="57"/>
      <c r="G3" s="57" t="s">
        <v>342</v>
      </c>
      <c r="H3" s="57"/>
      <c r="I3" s="57" t="s">
        <v>355</v>
      </c>
      <c r="J3" s="57"/>
      <c r="K3" s="57" t="s">
        <v>420</v>
      </c>
      <c r="L3" s="57"/>
      <c r="M3" s="57" t="s">
        <v>448</v>
      </c>
      <c r="N3" s="57"/>
      <c r="O3" s="57" t="s">
        <v>459</v>
      </c>
      <c r="P3" s="57"/>
      <c r="Q3" s="57" t="s">
        <v>480</v>
      </c>
      <c r="R3" s="57"/>
      <c r="S3" s="57" t="s">
        <v>497</v>
      </c>
      <c r="T3" s="57"/>
      <c r="U3" s="57" t="s">
        <v>507</v>
      </c>
      <c r="V3" s="57"/>
      <c r="W3" s="57" t="s">
        <v>514</v>
      </c>
      <c r="X3" s="57"/>
      <c r="Y3" s="57"/>
    </row>
    <row r="4" spans="1:25" ht="12.75">
      <c r="A4" s="56"/>
      <c r="B4" s="56"/>
      <c r="C4" s="56"/>
      <c r="D4" s="56"/>
      <c r="E4" s="57" t="s">
        <v>339</v>
      </c>
      <c r="F4" s="57"/>
      <c r="G4" s="57" t="s">
        <v>345</v>
      </c>
      <c r="H4" s="57"/>
      <c r="I4" s="57" t="s">
        <v>364</v>
      </c>
      <c r="J4" s="57"/>
      <c r="K4" s="57" t="s">
        <v>428</v>
      </c>
      <c r="L4" s="57"/>
      <c r="M4" s="57" t="s">
        <v>449</v>
      </c>
      <c r="N4" s="57"/>
      <c r="O4" s="57" t="s">
        <v>474</v>
      </c>
      <c r="P4" s="57"/>
      <c r="Q4" s="57" t="s">
        <v>488</v>
      </c>
      <c r="R4" s="57"/>
      <c r="S4" s="57" t="s">
        <v>492</v>
      </c>
      <c r="T4" s="57"/>
      <c r="U4" s="57" t="s">
        <v>510</v>
      </c>
      <c r="V4" s="57"/>
      <c r="W4" s="57" t="s">
        <v>516</v>
      </c>
      <c r="X4" s="57"/>
      <c r="Y4" s="57"/>
    </row>
    <row r="5" spans="1:25" ht="15.75" customHeight="1">
      <c r="A5" s="311" t="s">
        <v>310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</row>
    <row r="6" spans="1:25" s="7" customFormat="1" ht="28.5" customHeight="1">
      <c r="A6" s="61" t="s">
        <v>0</v>
      </c>
      <c r="B6" s="61" t="s">
        <v>1</v>
      </c>
      <c r="C6" s="96" t="s">
        <v>2</v>
      </c>
      <c r="D6" s="61" t="s">
        <v>3</v>
      </c>
      <c r="E6" s="106" t="s">
        <v>142</v>
      </c>
      <c r="F6" s="106" t="s">
        <v>335</v>
      </c>
      <c r="G6" s="106" t="s">
        <v>356</v>
      </c>
      <c r="H6" s="106" t="s">
        <v>335</v>
      </c>
      <c r="I6" s="106" t="s">
        <v>361</v>
      </c>
      <c r="J6" s="106" t="s">
        <v>335</v>
      </c>
      <c r="K6" s="106" t="s">
        <v>143</v>
      </c>
      <c r="L6" s="106" t="s">
        <v>335</v>
      </c>
      <c r="M6" s="106" t="s">
        <v>143</v>
      </c>
      <c r="N6" s="106" t="s">
        <v>335</v>
      </c>
      <c r="O6" s="106" t="s">
        <v>143</v>
      </c>
      <c r="P6" s="106" t="s">
        <v>335</v>
      </c>
      <c r="Q6" s="106" t="s">
        <v>143</v>
      </c>
      <c r="R6" s="106" t="s">
        <v>335</v>
      </c>
      <c r="S6" s="106" t="s">
        <v>143</v>
      </c>
      <c r="T6" s="106" t="s">
        <v>335</v>
      </c>
      <c r="U6" s="106" t="s">
        <v>143</v>
      </c>
      <c r="V6" s="106" t="s">
        <v>335</v>
      </c>
      <c r="W6" s="106" t="s">
        <v>143</v>
      </c>
      <c r="X6" s="106" t="s">
        <v>335</v>
      </c>
      <c r="Y6" s="106" t="s">
        <v>333</v>
      </c>
    </row>
    <row r="7" spans="1:25" s="170" customFormat="1" ht="28.5" customHeight="1">
      <c r="A7" s="298" t="s">
        <v>4</v>
      </c>
      <c r="B7" s="292"/>
      <c r="C7" s="293"/>
      <c r="D7" s="129" t="s">
        <v>5</v>
      </c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7">
        <f aca="true" t="shared" si="0" ref="O7:Y8">SUM(O8)</f>
        <v>0</v>
      </c>
      <c r="P7" s="297">
        <f t="shared" si="0"/>
        <v>271797</v>
      </c>
      <c r="Q7" s="297">
        <f t="shared" si="0"/>
        <v>271797</v>
      </c>
      <c r="R7" s="297">
        <f t="shared" si="0"/>
        <v>0</v>
      </c>
      <c r="S7" s="297">
        <f t="shared" si="0"/>
        <v>271797</v>
      </c>
      <c r="T7" s="297">
        <f t="shared" si="0"/>
        <v>0</v>
      </c>
      <c r="U7" s="297">
        <f t="shared" si="0"/>
        <v>271797</v>
      </c>
      <c r="V7" s="297">
        <f t="shared" si="0"/>
        <v>0</v>
      </c>
      <c r="W7" s="297">
        <f t="shared" si="0"/>
        <v>271797</v>
      </c>
      <c r="X7" s="297">
        <f t="shared" si="0"/>
        <v>0</v>
      </c>
      <c r="Y7" s="297">
        <f t="shared" si="0"/>
        <v>271797</v>
      </c>
    </row>
    <row r="8" spans="1:25" s="133" customFormat="1" ht="28.5" customHeight="1">
      <c r="A8" s="164"/>
      <c r="B8" s="162" t="s">
        <v>242</v>
      </c>
      <c r="C8" s="295"/>
      <c r="D8" s="165" t="s">
        <v>6</v>
      </c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22">
        <f t="shared" si="0"/>
        <v>0</v>
      </c>
      <c r="P8" s="222">
        <f t="shared" si="0"/>
        <v>271797</v>
      </c>
      <c r="Q8" s="222">
        <f t="shared" si="0"/>
        <v>271797</v>
      </c>
      <c r="R8" s="222">
        <f t="shared" si="0"/>
        <v>0</v>
      </c>
      <c r="S8" s="222">
        <f t="shared" si="0"/>
        <v>271797</v>
      </c>
      <c r="T8" s="222">
        <f t="shared" si="0"/>
        <v>0</v>
      </c>
      <c r="U8" s="222">
        <f t="shared" si="0"/>
        <v>271797</v>
      </c>
      <c r="V8" s="222">
        <f t="shared" si="0"/>
        <v>0</v>
      </c>
      <c r="W8" s="222">
        <f t="shared" si="0"/>
        <v>271797</v>
      </c>
      <c r="X8" s="222">
        <f t="shared" si="0"/>
        <v>0</v>
      </c>
      <c r="Y8" s="222">
        <f t="shared" si="0"/>
        <v>271797</v>
      </c>
    </row>
    <row r="9" spans="1:25" s="133" customFormat="1" ht="56.25">
      <c r="A9" s="164"/>
      <c r="B9" s="164"/>
      <c r="C9" s="295">
        <v>2010</v>
      </c>
      <c r="D9" s="38" t="s">
        <v>211</v>
      </c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22">
        <v>0</v>
      </c>
      <c r="P9" s="222">
        <v>271797</v>
      </c>
      <c r="Q9" s="222">
        <f>SUM(O9:P9)</f>
        <v>271797</v>
      </c>
      <c r="R9" s="222"/>
      <c r="S9" s="222">
        <f>SUM(Q9:R9)</f>
        <v>271797</v>
      </c>
      <c r="T9" s="222"/>
      <c r="U9" s="222">
        <f>SUM(S9:T9)</f>
        <v>271797</v>
      </c>
      <c r="V9" s="222"/>
      <c r="W9" s="222">
        <f>SUM(U9:V9)</f>
        <v>271797</v>
      </c>
      <c r="X9" s="222"/>
      <c r="Y9" s="222">
        <f>SUM(W9:X9)</f>
        <v>271797</v>
      </c>
    </row>
    <row r="10" spans="1:25" s="7" customFormat="1" ht="24.75" customHeight="1">
      <c r="A10" s="33" t="s">
        <v>15</v>
      </c>
      <c r="B10" s="27"/>
      <c r="C10" s="55"/>
      <c r="D10" s="36" t="s">
        <v>16</v>
      </c>
      <c r="E10" s="63">
        <f aca="true" t="shared" si="1" ref="E10:V10">SUM(E11)</f>
        <v>156600</v>
      </c>
      <c r="F10" s="63">
        <f t="shared" si="1"/>
        <v>0</v>
      </c>
      <c r="G10" s="63">
        <f t="shared" si="1"/>
        <v>156600</v>
      </c>
      <c r="H10" s="63">
        <f t="shared" si="1"/>
        <v>0</v>
      </c>
      <c r="I10" s="63">
        <f t="shared" si="1"/>
        <v>156600</v>
      </c>
      <c r="J10" s="63">
        <f t="shared" si="1"/>
        <v>0</v>
      </c>
      <c r="K10" s="63">
        <f t="shared" si="1"/>
        <v>156600</v>
      </c>
      <c r="L10" s="63">
        <f t="shared" si="1"/>
        <v>0</v>
      </c>
      <c r="M10" s="63">
        <f t="shared" si="1"/>
        <v>156600</v>
      </c>
      <c r="N10" s="63">
        <f t="shared" si="1"/>
        <v>0</v>
      </c>
      <c r="O10" s="63">
        <f t="shared" si="1"/>
        <v>156600</v>
      </c>
      <c r="P10" s="63">
        <f t="shared" si="1"/>
        <v>0</v>
      </c>
      <c r="Q10" s="63">
        <f t="shared" si="1"/>
        <v>156600</v>
      </c>
      <c r="R10" s="63">
        <f t="shared" si="1"/>
        <v>0</v>
      </c>
      <c r="S10" s="63">
        <f t="shared" si="1"/>
        <v>156600</v>
      </c>
      <c r="T10" s="63">
        <f t="shared" si="1"/>
        <v>0</v>
      </c>
      <c r="U10" s="63">
        <f t="shared" si="1"/>
        <v>156600</v>
      </c>
      <c r="V10" s="63">
        <f t="shared" si="1"/>
        <v>0</v>
      </c>
      <c r="W10" s="63">
        <f>SUM(W11,W13)</f>
        <v>156600</v>
      </c>
      <c r="X10" s="63">
        <f>SUM(X11,X13)</f>
        <v>14329</v>
      </c>
      <c r="Y10" s="63">
        <f>SUM(Y11,Y13)</f>
        <v>170929</v>
      </c>
    </row>
    <row r="11" spans="1:25" s="24" customFormat="1" ht="21" customHeight="1">
      <c r="A11" s="67"/>
      <c r="B11" s="67">
        <v>75011</v>
      </c>
      <c r="C11" s="68"/>
      <c r="D11" s="38" t="s">
        <v>17</v>
      </c>
      <c r="E11" s="93">
        <f aca="true" t="shared" si="2" ref="E11:Y11">E12</f>
        <v>156600</v>
      </c>
      <c r="F11" s="93">
        <f t="shared" si="2"/>
        <v>0</v>
      </c>
      <c r="G11" s="93">
        <f t="shared" si="2"/>
        <v>156600</v>
      </c>
      <c r="H11" s="93">
        <f t="shared" si="2"/>
        <v>0</v>
      </c>
      <c r="I11" s="93">
        <f t="shared" si="2"/>
        <v>156600</v>
      </c>
      <c r="J11" s="93">
        <f t="shared" si="2"/>
        <v>0</v>
      </c>
      <c r="K11" s="93">
        <f t="shared" si="2"/>
        <v>156600</v>
      </c>
      <c r="L11" s="93">
        <f t="shared" si="2"/>
        <v>0</v>
      </c>
      <c r="M11" s="93">
        <f t="shared" si="2"/>
        <v>156600</v>
      </c>
      <c r="N11" s="93">
        <f t="shared" si="2"/>
        <v>0</v>
      </c>
      <c r="O11" s="93">
        <f t="shared" si="2"/>
        <v>156600</v>
      </c>
      <c r="P11" s="93">
        <f t="shared" si="2"/>
        <v>0</v>
      </c>
      <c r="Q11" s="93">
        <f t="shared" si="2"/>
        <v>156600</v>
      </c>
      <c r="R11" s="93">
        <f t="shared" si="2"/>
        <v>0</v>
      </c>
      <c r="S11" s="93">
        <f t="shared" si="2"/>
        <v>156600</v>
      </c>
      <c r="T11" s="93">
        <f t="shared" si="2"/>
        <v>0</v>
      </c>
      <c r="U11" s="93">
        <f t="shared" si="2"/>
        <v>156600</v>
      </c>
      <c r="V11" s="93">
        <f t="shared" si="2"/>
        <v>0</v>
      </c>
      <c r="W11" s="93">
        <f t="shared" si="2"/>
        <v>156600</v>
      </c>
      <c r="X11" s="93">
        <f t="shared" si="2"/>
        <v>0</v>
      </c>
      <c r="Y11" s="93">
        <f t="shared" si="2"/>
        <v>156600</v>
      </c>
    </row>
    <row r="12" spans="1:25" s="24" customFormat="1" ht="61.5" customHeight="1">
      <c r="A12" s="67"/>
      <c r="B12" s="86"/>
      <c r="C12" s="69" t="s">
        <v>178</v>
      </c>
      <c r="D12" s="38" t="s">
        <v>211</v>
      </c>
      <c r="E12" s="93">
        <v>156600</v>
      </c>
      <c r="F12" s="93"/>
      <c r="G12" s="93">
        <f>SUM(E12:F12)</f>
        <v>156600</v>
      </c>
      <c r="H12" s="93"/>
      <c r="I12" s="93">
        <f>SUM(G12:H12)</f>
        <v>156600</v>
      </c>
      <c r="J12" s="93"/>
      <c r="K12" s="93">
        <f>SUM(I12:J12)</f>
        <v>156600</v>
      </c>
      <c r="L12" s="93"/>
      <c r="M12" s="93">
        <f>SUM(K12:L12)</f>
        <v>156600</v>
      </c>
      <c r="N12" s="93"/>
      <c r="O12" s="93">
        <f>SUM(M12:N12)</f>
        <v>156600</v>
      </c>
      <c r="P12" s="93"/>
      <c r="Q12" s="93">
        <f>SUM(O12:P12)</f>
        <v>156600</v>
      </c>
      <c r="R12" s="93"/>
      <c r="S12" s="93">
        <f>SUM(Q12:R12)</f>
        <v>156600</v>
      </c>
      <c r="T12" s="93"/>
      <c r="U12" s="93">
        <f>SUM(S12:T12)</f>
        <v>156600</v>
      </c>
      <c r="V12" s="93"/>
      <c r="W12" s="93">
        <f>SUM(U12:V12)</f>
        <v>156600</v>
      </c>
      <c r="X12" s="93"/>
      <c r="Y12" s="93">
        <f>SUM(W12:X12)</f>
        <v>156600</v>
      </c>
    </row>
    <row r="13" spans="1:25" s="24" customFormat="1" ht="24.75" customHeight="1">
      <c r="A13" s="67"/>
      <c r="B13" s="86">
        <v>75056</v>
      </c>
      <c r="C13" s="69"/>
      <c r="D13" s="38" t="s">
        <v>518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>
        <f>SUM(W14)</f>
        <v>0</v>
      </c>
      <c r="X13" s="93">
        <f>SUM(X14)</f>
        <v>14329</v>
      </c>
      <c r="Y13" s="93">
        <f>SUM(Y14)</f>
        <v>14329</v>
      </c>
    </row>
    <row r="14" spans="1:25" s="24" customFormat="1" ht="61.5" customHeight="1">
      <c r="A14" s="67"/>
      <c r="B14" s="86"/>
      <c r="C14" s="69">
        <v>2010</v>
      </c>
      <c r="D14" s="38" t="s">
        <v>211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>
        <v>0</v>
      </c>
      <c r="X14" s="93">
        <v>14329</v>
      </c>
      <c r="Y14" s="93">
        <f>SUM(W14:X14)</f>
        <v>14329</v>
      </c>
    </row>
    <row r="15" spans="1:25" s="7" customFormat="1" ht="40.5" customHeight="1">
      <c r="A15" s="33">
        <v>751</v>
      </c>
      <c r="B15" s="35"/>
      <c r="C15" s="64"/>
      <c r="D15" s="36" t="s">
        <v>20</v>
      </c>
      <c r="E15" s="65">
        <f aca="true" t="shared" si="3" ref="E15:N15">SUM(E16)</f>
        <v>3952</v>
      </c>
      <c r="F15" s="65">
        <f t="shared" si="3"/>
        <v>0</v>
      </c>
      <c r="G15" s="65">
        <f t="shared" si="3"/>
        <v>3952</v>
      </c>
      <c r="H15" s="65">
        <f t="shared" si="3"/>
        <v>0</v>
      </c>
      <c r="I15" s="65">
        <f t="shared" si="3"/>
        <v>3952</v>
      </c>
      <c r="J15" s="65">
        <f t="shared" si="3"/>
        <v>0</v>
      </c>
      <c r="K15" s="65">
        <f t="shared" si="3"/>
        <v>3952</v>
      </c>
      <c r="L15" s="65">
        <f t="shared" si="3"/>
        <v>0</v>
      </c>
      <c r="M15" s="65">
        <f t="shared" si="3"/>
        <v>3952</v>
      </c>
      <c r="N15" s="65">
        <f t="shared" si="3"/>
        <v>0</v>
      </c>
      <c r="O15" s="65">
        <f aca="true" t="shared" si="4" ref="O15:U15">SUM(O16,O18)</f>
        <v>3952</v>
      </c>
      <c r="P15" s="65">
        <f t="shared" si="4"/>
        <v>20663</v>
      </c>
      <c r="Q15" s="65">
        <f t="shared" si="4"/>
        <v>24615</v>
      </c>
      <c r="R15" s="65">
        <f t="shared" si="4"/>
        <v>21375</v>
      </c>
      <c r="S15" s="65">
        <f t="shared" si="4"/>
        <v>45990</v>
      </c>
      <c r="T15" s="65">
        <f t="shared" si="4"/>
        <v>11000</v>
      </c>
      <c r="U15" s="65">
        <f t="shared" si="4"/>
        <v>56990</v>
      </c>
      <c r="V15" s="65">
        <f>SUM(V16,V18)</f>
        <v>21375</v>
      </c>
      <c r="W15" s="65">
        <f>SUM(W16,W18)</f>
        <v>78365</v>
      </c>
      <c r="X15" s="65">
        <f>SUM(X16,X18)</f>
        <v>0</v>
      </c>
      <c r="Y15" s="65">
        <f>SUM(Y16,Y18)</f>
        <v>78365</v>
      </c>
    </row>
    <row r="16" spans="1:25" s="24" customFormat="1" ht="27" customHeight="1">
      <c r="A16" s="86"/>
      <c r="B16" s="67">
        <v>75101</v>
      </c>
      <c r="C16" s="68"/>
      <c r="D16" s="38" t="s">
        <v>21</v>
      </c>
      <c r="E16" s="94">
        <f aca="true" t="shared" si="5" ref="E16:Y16">E17</f>
        <v>3952</v>
      </c>
      <c r="F16" s="94">
        <f t="shared" si="5"/>
        <v>0</v>
      </c>
      <c r="G16" s="94">
        <f t="shared" si="5"/>
        <v>3952</v>
      </c>
      <c r="H16" s="94">
        <f t="shared" si="5"/>
        <v>0</v>
      </c>
      <c r="I16" s="94">
        <f t="shared" si="5"/>
        <v>3952</v>
      </c>
      <c r="J16" s="94">
        <f t="shared" si="5"/>
        <v>0</v>
      </c>
      <c r="K16" s="94">
        <f t="shared" si="5"/>
        <v>3952</v>
      </c>
      <c r="L16" s="94">
        <f t="shared" si="5"/>
        <v>0</v>
      </c>
      <c r="M16" s="94">
        <f t="shared" si="5"/>
        <v>3952</v>
      </c>
      <c r="N16" s="94">
        <f t="shared" si="5"/>
        <v>0</v>
      </c>
      <c r="O16" s="94">
        <f t="shared" si="5"/>
        <v>3952</v>
      </c>
      <c r="P16" s="94">
        <f t="shared" si="5"/>
        <v>0</v>
      </c>
      <c r="Q16" s="94">
        <f t="shared" si="5"/>
        <v>3952</v>
      </c>
      <c r="R16" s="94">
        <f t="shared" si="5"/>
        <v>0</v>
      </c>
      <c r="S16" s="94">
        <f t="shared" si="5"/>
        <v>3952</v>
      </c>
      <c r="T16" s="94">
        <f t="shared" si="5"/>
        <v>0</v>
      </c>
      <c r="U16" s="94">
        <f t="shared" si="5"/>
        <v>3952</v>
      </c>
      <c r="V16" s="94">
        <f t="shared" si="5"/>
        <v>0</v>
      </c>
      <c r="W16" s="94">
        <f t="shared" si="5"/>
        <v>3952</v>
      </c>
      <c r="X16" s="94">
        <f t="shared" si="5"/>
        <v>0</v>
      </c>
      <c r="Y16" s="94">
        <f t="shared" si="5"/>
        <v>3952</v>
      </c>
    </row>
    <row r="17" spans="1:25" s="24" customFormat="1" ht="64.5" customHeight="1">
      <c r="A17" s="86"/>
      <c r="B17" s="67"/>
      <c r="C17" s="69" t="s">
        <v>178</v>
      </c>
      <c r="D17" s="38" t="s">
        <v>216</v>
      </c>
      <c r="E17" s="94">
        <v>3952</v>
      </c>
      <c r="F17" s="94"/>
      <c r="G17" s="94">
        <f>SUM(E17:F17)</f>
        <v>3952</v>
      </c>
      <c r="H17" s="94"/>
      <c r="I17" s="94">
        <f>SUM(G17:H17)</f>
        <v>3952</v>
      </c>
      <c r="J17" s="94"/>
      <c r="K17" s="94">
        <f>SUM(I17:J17)</f>
        <v>3952</v>
      </c>
      <c r="L17" s="94"/>
      <c r="M17" s="94">
        <f>SUM(K17:L17)</f>
        <v>3952</v>
      </c>
      <c r="N17" s="94"/>
      <c r="O17" s="94">
        <f>SUM(M17:N17)</f>
        <v>3952</v>
      </c>
      <c r="P17" s="94"/>
      <c r="Q17" s="94">
        <f>SUM(O17:P17)</f>
        <v>3952</v>
      </c>
      <c r="R17" s="94"/>
      <c r="S17" s="94">
        <f>SUM(Q17:R17)</f>
        <v>3952</v>
      </c>
      <c r="T17" s="94"/>
      <c r="U17" s="94">
        <f>SUM(S17:T17)</f>
        <v>3952</v>
      </c>
      <c r="V17" s="94"/>
      <c r="W17" s="94">
        <f>SUM(U17:V17)</f>
        <v>3952</v>
      </c>
      <c r="X17" s="94"/>
      <c r="Y17" s="94">
        <f>SUM(W17:X17)</f>
        <v>3952</v>
      </c>
    </row>
    <row r="18" spans="1:25" s="24" customFormat="1" ht="28.5" customHeight="1">
      <c r="A18" s="86"/>
      <c r="B18" s="67">
        <v>75107</v>
      </c>
      <c r="C18" s="67"/>
      <c r="D18" s="38" t="s">
        <v>484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>
        <f aca="true" t="shared" si="6" ref="O18:Y18">SUM(O19)</f>
        <v>0</v>
      </c>
      <c r="P18" s="94">
        <f t="shared" si="6"/>
        <v>20663</v>
      </c>
      <c r="Q18" s="94">
        <f t="shared" si="6"/>
        <v>20663</v>
      </c>
      <c r="R18" s="94">
        <f t="shared" si="6"/>
        <v>21375</v>
      </c>
      <c r="S18" s="94">
        <f t="shared" si="6"/>
        <v>42038</v>
      </c>
      <c r="T18" s="94">
        <f t="shared" si="6"/>
        <v>11000</v>
      </c>
      <c r="U18" s="94">
        <f t="shared" si="6"/>
        <v>53038</v>
      </c>
      <c r="V18" s="94">
        <f t="shared" si="6"/>
        <v>21375</v>
      </c>
      <c r="W18" s="94">
        <f t="shared" si="6"/>
        <v>74413</v>
      </c>
      <c r="X18" s="94">
        <f t="shared" si="6"/>
        <v>0</v>
      </c>
      <c r="Y18" s="94">
        <f t="shared" si="6"/>
        <v>74413</v>
      </c>
    </row>
    <row r="19" spans="1:25" s="24" customFormat="1" ht="64.5" customHeight="1">
      <c r="A19" s="86"/>
      <c r="B19" s="67"/>
      <c r="C19" s="67" t="s">
        <v>178</v>
      </c>
      <c r="D19" s="38" t="s">
        <v>216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>
        <v>0</v>
      </c>
      <c r="P19" s="94">
        <v>20663</v>
      </c>
      <c r="Q19" s="94">
        <f>SUM(O19:P19)</f>
        <v>20663</v>
      </c>
      <c r="R19" s="94">
        <v>21375</v>
      </c>
      <c r="S19" s="94">
        <f>SUM(Q19:R19)</f>
        <v>42038</v>
      </c>
      <c r="T19" s="94">
        <v>11000</v>
      </c>
      <c r="U19" s="94">
        <f>SUM(S19:T19)</f>
        <v>53038</v>
      </c>
      <c r="V19" s="94">
        <v>21375</v>
      </c>
      <c r="W19" s="94">
        <f>SUM(U19:V19)</f>
        <v>74413</v>
      </c>
      <c r="X19" s="94"/>
      <c r="Y19" s="94">
        <f>SUM(W19:X19)</f>
        <v>74413</v>
      </c>
    </row>
    <row r="20" spans="1:25" s="234" customFormat="1" ht="23.25" customHeight="1">
      <c r="A20" s="238" t="s">
        <v>109</v>
      </c>
      <c r="B20" s="239"/>
      <c r="C20" s="240"/>
      <c r="D20" s="241" t="s">
        <v>110</v>
      </c>
      <c r="E20" s="242">
        <f aca="true" t="shared" si="7" ref="E20:Y20">SUM(E21,)</f>
        <v>4782</v>
      </c>
      <c r="F20" s="242">
        <f t="shared" si="7"/>
        <v>0</v>
      </c>
      <c r="G20" s="242">
        <f t="shared" si="7"/>
        <v>4782</v>
      </c>
      <c r="H20" s="242">
        <f t="shared" si="7"/>
        <v>0</v>
      </c>
      <c r="I20" s="242">
        <f t="shared" si="7"/>
        <v>4782</v>
      </c>
      <c r="J20" s="242">
        <f t="shared" si="7"/>
        <v>2904</v>
      </c>
      <c r="K20" s="242">
        <f t="shared" si="7"/>
        <v>7686</v>
      </c>
      <c r="L20" s="242">
        <f t="shared" si="7"/>
        <v>0</v>
      </c>
      <c r="M20" s="242">
        <f t="shared" si="7"/>
        <v>7686</v>
      </c>
      <c r="N20" s="242">
        <f t="shared" si="7"/>
        <v>75816</v>
      </c>
      <c r="O20" s="242">
        <f t="shared" si="7"/>
        <v>83502</v>
      </c>
      <c r="P20" s="242">
        <f t="shared" si="7"/>
        <v>0</v>
      </c>
      <c r="Q20" s="242">
        <f t="shared" si="7"/>
        <v>83502</v>
      </c>
      <c r="R20" s="242">
        <f t="shared" si="7"/>
        <v>0</v>
      </c>
      <c r="S20" s="242">
        <f t="shared" si="7"/>
        <v>83502</v>
      </c>
      <c r="T20" s="242">
        <f t="shared" si="7"/>
        <v>0</v>
      </c>
      <c r="U20" s="242">
        <f t="shared" si="7"/>
        <v>83502</v>
      </c>
      <c r="V20" s="242">
        <f t="shared" si="7"/>
        <v>0</v>
      </c>
      <c r="W20" s="242">
        <f t="shared" si="7"/>
        <v>83502</v>
      </c>
      <c r="X20" s="242">
        <f t="shared" si="7"/>
        <v>0</v>
      </c>
      <c r="Y20" s="242">
        <f t="shared" si="7"/>
        <v>83502</v>
      </c>
    </row>
    <row r="21" spans="1:25" s="202" customFormat="1" ht="23.25" customHeight="1">
      <c r="A21" s="67"/>
      <c r="B21" s="82" t="s">
        <v>111</v>
      </c>
      <c r="C21" s="86"/>
      <c r="D21" s="38" t="s">
        <v>51</v>
      </c>
      <c r="E21" s="93">
        <f aca="true" t="shared" si="8" ref="E21:L21">SUM(E23)</f>
        <v>4782</v>
      </c>
      <c r="F21" s="93">
        <f t="shared" si="8"/>
        <v>0</v>
      </c>
      <c r="G21" s="93">
        <f t="shared" si="8"/>
        <v>4782</v>
      </c>
      <c r="H21" s="93">
        <f t="shared" si="8"/>
        <v>0</v>
      </c>
      <c r="I21" s="93">
        <f t="shared" si="8"/>
        <v>4782</v>
      </c>
      <c r="J21" s="93">
        <f t="shared" si="8"/>
        <v>2904</v>
      </c>
      <c r="K21" s="93">
        <f t="shared" si="8"/>
        <v>7686</v>
      </c>
      <c r="L21" s="93">
        <f t="shared" si="8"/>
        <v>0</v>
      </c>
      <c r="M21" s="93">
        <f aca="true" t="shared" si="9" ref="M21:S21">SUM(M22:M24)</f>
        <v>7686</v>
      </c>
      <c r="N21" s="93">
        <f t="shared" si="9"/>
        <v>75816</v>
      </c>
      <c r="O21" s="93">
        <f t="shared" si="9"/>
        <v>83502</v>
      </c>
      <c r="P21" s="93">
        <f t="shared" si="9"/>
        <v>0</v>
      </c>
      <c r="Q21" s="93">
        <f t="shared" si="9"/>
        <v>83502</v>
      </c>
      <c r="R21" s="93">
        <f t="shared" si="9"/>
        <v>0</v>
      </c>
      <c r="S21" s="93">
        <f t="shared" si="9"/>
        <v>83502</v>
      </c>
      <c r="T21" s="93">
        <f aca="true" t="shared" si="10" ref="T21:Y21">SUM(T22:T24)</f>
        <v>0</v>
      </c>
      <c r="U21" s="93">
        <f t="shared" si="10"/>
        <v>83502</v>
      </c>
      <c r="V21" s="93">
        <f t="shared" si="10"/>
        <v>0</v>
      </c>
      <c r="W21" s="93">
        <f t="shared" si="10"/>
        <v>83502</v>
      </c>
      <c r="X21" s="93">
        <f t="shared" si="10"/>
        <v>0</v>
      </c>
      <c r="Y21" s="93">
        <f t="shared" si="10"/>
        <v>83502</v>
      </c>
    </row>
    <row r="22" spans="1:25" s="202" customFormat="1" ht="33.75">
      <c r="A22" s="67"/>
      <c r="B22" s="67"/>
      <c r="C22" s="86">
        <v>2030</v>
      </c>
      <c r="D22" s="77" t="s">
        <v>212</v>
      </c>
      <c r="E22" s="93"/>
      <c r="F22" s="93"/>
      <c r="G22" s="93"/>
      <c r="H22" s="93"/>
      <c r="I22" s="93"/>
      <c r="J22" s="93"/>
      <c r="K22" s="93"/>
      <c r="L22" s="93"/>
      <c r="M22" s="93">
        <v>0</v>
      </c>
      <c r="N22" s="93">
        <v>11966</v>
      </c>
      <c r="O22" s="71">
        <f>SUM(M22:N22)</f>
        <v>11966</v>
      </c>
      <c r="P22" s="93"/>
      <c r="Q22" s="71">
        <f>SUM(O22:P22)</f>
        <v>11966</v>
      </c>
      <c r="R22" s="93"/>
      <c r="S22" s="71">
        <f>SUM(Q22:R22)</f>
        <v>11966</v>
      </c>
      <c r="T22" s="93"/>
      <c r="U22" s="71">
        <f>SUM(S22:T22)</f>
        <v>11966</v>
      </c>
      <c r="V22" s="93"/>
      <c r="W22" s="71">
        <f>SUM(U22:V22)</f>
        <v>11966</v>
      </c>
      <c r="X22" s="93"/>
      <c r="Y22" s="71">
        <f>SUM(W22:X22)</f>
        <v>11966</v>
      </c>
    </row>
    <row r="23" spans="1:25" s="202" customFormat="1" ht="45">
      <c r="A23" s="86"/>
      <c r="B23" s="67"/>
      <c r="C23" s="121">
        <v>2310</v>
      </c>
      <c r="D23" s="38" t="s">
        <v>226</v>
      </c>
      <c r="E23" s="71">
        <v>4782</v>
      </c>
      <c r="F23" s="71"/>
      <c r="G23" s="71">
        <f>SUM(E23:F23)</f>
        <v>4782</v>
      </c>
      <c r="H23" s="71"/>
      <c r="I23" s="71">
        <f>SUM(G23:H23)</f>
        <v>4782</v>
      </c>
      <c r="J23" s="71">
        <v>2904</v>
      </c>
      <c r="K23" s="71">
        <f>SUM(I23:J23)</f>
        <v>7686</v>
      </c>
      <c r="L23" s="71"/>
      <c r="M23" s="71">
        <f>SUM(K23:L23)</f>
        <v>7686</v>
      </c>
      <c r="N23" s="71"/>
      <c r="O23" s="71">
        <f>SUM(M23:N23)</f>
        <v>7686</v>
      </c>
      <c r="P23" s="71"/>
      <c r="Q23" s="71">
        <f>SUM(O23:P23)</f>
        <v>7686</v>
      </c>
      <c r="R23" s="71"/>
      <c r="S23" s="71">
        <f>SUM(Q23:R23)</f>
        <v>7686</v>
      </c>
      <c r="T23" s="71"/>
      <c r="U23" s="71">
        <f>SUM(S23:T23)</f>
        <v>7686</v>
      </c>
      <c r="V23" s="71"/>
      <c r="W23" s="71">
        <f>SUM(U23:V23)</f>
        <v>7686</v>
      </c>
      <c r="X23" s="71"/>
      <c r="Y23" s="71">
        <f>SUM(W23:X23)</f>
        <v>7686</v>
      </c>
    </row>
    <row r="24" spans="1:25" s="202" customFormat="1" ht="45">
      <c r="A24" s="86"/>
      <c r="B24" s="67"/>
      <c r="C24" s="121">
        <v>6330</v>
      </c>
      <c r="D24" s="38" t="s">
        <v>451</v>
      </c>
      <c r="E24" s="71"/>
      <c r="F24" s="71"/>
      <c r="G24" s="71"/>
      <c r="H24" s="71"/>
      <c r="I24" s="71"/>
      <c r="J24" s="71"/>
      <c r="K24" s="71"/>
      <c r="L24" s="71"/>
      <c r="M24" s="71">
        <v>0</v>
      </c>
      <c r="N24" s="71">
        <v>63850</v>
      </c>
      <c r="O24" s="71">
        <f>SUM(M24:N24)</f>
        <v>63850</v>
      </c>
      <c r="P24" s="71"/>
      <c r="Q24" s="71">
        <f>SUM(O24:P24)</f>
        <v>63850</v>
      </c>
      <c r="R24" s="71"/>
      <c r="S24" s="71">
        <f>SUM(Q24:R24)</f>
        <v>63850</v>
      </c>
      <c r="T24" s="71"/>
      <c r="U24" s="71">
        <f>SUM(S24:T24)</f>
        <v>63850</v>
      </c>
      <c r="V24" s="71"/>
      <c r="W24" s="71">
        <f>SUM(U24:V24)</f>
        <v>63850</v>
      </c>
      <c r="X24" s="71"/>
      <c r="Y24" s="71">
        <f>SUM(W24:X24)</f>
        <v>63850</v>
      </c>
    </row>
    <row r="25" spans="1:25" s="40" customFormat="1" ht="20.25" customHeight="1">
      <c r="A25" s="33" t="s">
        <v>153</v>
      </c>
      <c r="B25" s="35"/>
      <c r="C25" s="64"/>
      <c r="D25" s="36" t="s">
        <v>185</v>
      </c>
      <c r="E25" s="63">
        <f aca="true" t="shared" si="11" ref="E25:K25">SUM(E26,E28,E31,E35,E33,E38)</f>
        <v>7964296</v>
      </c>
      <c r="F25" s="63">
        <f t="shared" si="11"/>
        <v>530000</v>
      </c>
      <c r="G25" s="63">
        <f t="shared" si="11"/>
        <v>8494296</v>
      </c>
      <c r="H25" s="63">
        <f t="shared" si="11"/>
        <v>-73</v>
      </c>
      <c r="I25" s="63">
        <f t="shared" si="11"/>
        <v>8494223</v>
      </c>
      <c r="J25" s="63">
        <f t="shared" si="11"/>
        <v>5500</v>
      </c>
      <c r="K25" s="63">
        <f t="shared" si="11"/>
        <v>8499723</v>
      </c>
      <c r="L25" s="63">
        <f aca="true" t="shared" si="12" ref="L25:Q25">SUM(L26,L28,L31,L35,L33,L38)</f>
        <v>0</v>
      </c>
      <c r="M25" s="63">
        <f t="shared" si="12"/>
        <v>8499723</v>
      </c>
      <c r="N25" s="63">
        <f t="shared" si="12"/>
        <v>82751</v>
      </c>
      <c r="O25" s="63">
        <f t="shared" si="12"/>
        <v>8582474</v>
      </c>
      <c r="P25" s="63">
        <f t="shared" si="12"/>
        <v>0</v>
      </c>
      <c r="Q25" s="63">
        <f t="shared" si="12"/>
        <v>8582474</v>
      </c>
      <c r="R25" s="63">
        <f aca="true" t="shared" si="13" ref="R25:W25">SUM(R26,R28,R31,R35,R33,R38)</f>
        <v>0</v>
      </c>
      <c r="S25" s="63">
        <f t="shared" si="13"/>
        <v>8582474</v>
      </c>
      <c r="T25" s="63">
        <f t="shared" si="13"/>
        <v>0</v>
      </c>
      <c r="U25" s="63">
        <f t="shared" si="13"/>
        <v>8582474</v>
      </c>
      <c r="V25" s="63">
        <f t="shared" si="13"/>
        <v>88119</v>
      </c>
      <c r="W25" s="63">
        <f t="shared" si="13"/>
        <v>8670593</v>
      </c>
      <c r="X25" s="63">
        <f>SUM(X26,X28,X31,X35,X33,X38)</f>
        <v>17765</v>
      </c>
      <c r="Y25" s="63">
        <f>SUM(Y26,Y28,Y31,Y35,Y33,Y38)</f>
        <v>8688358</v>
      </c>
    </row>
    <row r="26" spans="1:25" s="24" customFormat="1" ht="51.75" customHeight="1">
      <c r="A26" s="67"/>
      <c r="B26" s="47">
        <v>85212</v>
      </c>
      <c r="C26" s="79"/>
      <c r="D26" s="77" t="s">
        <v>270</v>
      </c>
      <c r="E26" s="91">
        <f aca="true" t="shared" si="14" ref="E26:Y26">SUM(E27)</f>
        <v>6551300</v>
      </c>
      <c r="F26" s="91">
        <f t="shared" si="14"/>
        <v>0</v>
      </c>
      <c r="G26" s="91">
        <f t="shared" si="14"/>
        <v>6551300</v>
      </c>
      <c r="H26" s="91">
        <f t="shared" si="14"/>
        <v>0</v>
      </c>
      <c r="I26" s="91">
        <f t="shared" si="14"/>
        <v>6551300</v>
      </c>
      <c r="J26" s="91">
        <f t="shared" si="14"/>
        <v>0</v>
      </c>
      <c r="K26" s="91">
        <f t="shared" si="14"/>
        <v>6551300</v>
      </c>
      <c r="L26" s="91">
        <f t="shared" si="14"/>
        <v>0</v>
      </c>
      <c r="M26" s="91">
        <f t="shared" si="14"/>
        <v>6551300</v>
      </c>
      <c r="N26" s="91">
        <f t="shared" si="14"/>
        <v>0</v>
      </c>
      <c r="O26" s="91">
        <f t="shared" si="14"/>
        <v>6551300</v>
      </c>
      <c r="P26" s="91">
        <f t="shared" si="14"/>
        <v>0</v>
      </c>
      <c r="Q26" s="91">
        <f t="shared" si="14"/>
        <v>6551300</v>
      </c>
      <c r="R26" s="91">
        <f t="shared" si="14"/>
        <v>0</v>
      </c>
      <c r="S26" s="91">
        <f t="shared" si="14"/>
        <v>6551300</v>
      </c>
      <c r="T26" s="91">
        <f t="shared" si="14"/>
        <v>0</v>
      </c>
      <c r="U26" s="91">
        <f t="shared" si="14"/>
        <v>6551300</v>
      </c>
      <c r="V26" s="91">
        <f t="shared" si="14"/>
        <v>0</v>
      </c>
      <c r="W26" s="91">
        <f t="shared" si="14"/>
        <v>6551300</v>
      </c>
      <c r="X26" s="91">
        <f t="shared" si="14"/>
        <v>0</v>
      </c>
      <c r="Y26" s="91">
        <f t="shared" si="14"/>
        <v>6551300</v>
      </c>
    </row>
    <row r="27" spans="1:25" s="24" customFormat="1" ht="60" customHeight="1">
      <c r="A27" s="67"/>
      <c r="B27" s="47"/>
      <c r="C27" s="79">
        <v>2010</v>
      </c>
      <c r="D27" s="38" t="s">
        <v>211</v>
      </c>
      <c r="E27" s="91">
        <v>6551300</v>
      </c>
      <c r="F27" s="91"/>
      <c r="G27" s="91">
        <f>SUM(E27:F27)</f>
        <v>6551300</v>
      </c>
      <c r="H27" s="91"/>
      <c r="I27" s="91">
        <f>SUM(G27:H27)</f>
        <v>6551300</v>
      </c>
      <c r="J27" s="91"/>
      <c r="K27" s="91">
        <f>SUM(I27:J27)</f>
        <v>6551300</v>
      </c>
      <c r="L27" s="91"/>
      <c r="M27" s="91">
        <f>SUM(K27:L27)</f>
        <v>6551300</v>
      </c>
      <c r="N27" s="91"/>
      <c r="O27" s="91">
        <f>SUM(M27:N27)</f>
        <v>6551300</v>
      </c>
      <c r="P27" s="91"/>
      <c r="Q27" s="91">
        <f>SUM(O27:P27)</f>
        <v>6551300</v>
      </c>
      <c r="R27" s="91"/>
      <c r="S27" s="91">
        <f>SUM(Q27:R27)</f>
        <v>6551300</v>
      </c>
      <c r="T27" s="91"/>
      <c r="U27" s="91">
        <f>SUM(S27:T27)</f>
        <v>6551300</v>
      </c>
      <c r="V27" s="91"/>
      <c r="W27" s="91">
        <f>SUM(U27:V27)</f>
        <v>6551300</v>
      </c>
      <c r="X27" s="91"/>
      <c r="Y27" s="91">
        <f>SUM(W27:X27)</f>
        <v>6551300</v>
      </c>
    </row>
    <row r="28" spans="1:25" s="24" customFormat="1" ht="72" customHeight="1">
      <c r="A28" s="67"/>
      <c r="B28" s="86">
        <v>85213</v>
      </c>
      <c r="C28" s="68"/>
      <c r="D28" s="77" t="s">
        <v>268</v>
      </c>
      <c r="E28" s="91">
        <f aca="true" t="shared" si="15" ref="E28:K28">SUM(E29:E30)</f>
        <v>49134</v>
      </c>
      <c r="F28" s="91">
        <f t="shared" si="15"/>
        <v>0</v>
      </c>
      <c r="G28" s="91">
        <f t="shared" si="15"/>
        <v>49134</v>
      </c>
      <c r="H28" s="91">
        <f t="shared" si="15"/>
        <v>-73</v>
      </c>
      <c r="I28" s="91">
        <f t="shared" si="15"/>
        <v>49061</v>
      </c>
      <c r="J28" s="91">
        <f t="shared" si="15"/>
        <v>0</v>
      </c>
      <c r="K28" s="91">
        <f t="shared" si="15"/>
        <v>49061</v>
      </c>
      <c r="L28" s="91">
        <f aca="true" t="shared" si="16" ref="L28:Q28">SUM(L29:L30)</f>
        <v>0</v>
      </c>
      <c r="M28" s="91">
        <f t="shared" si="16"/>
        <v>49061</v>
      </c>
      <c r="N28" s="91">
        <f t="shared" si="16"/>
        <v>0</v>
      </c>
      <c r="O28" s="91">
        <f t="shared" si="16"/>
        <v>49061</v>
      </c>
      <c r="P28" s="91">
        <f t="shared" si="16"/>
        <v>0</v>
      </c>
      <c r="Q28" s="91">
        <f t="shared" si="16"/>
        <v>49061</v>
      </c>
      <c r="R28" s="91">
        <f aca="true" t="shared" si="17" ref="R28:W28">SUM(R29:R30)</f>
        <v>0</v>
      </c>
      <c r="S28" s="91">
        <f t="shared" si="17"/>
        <v>49061</v>
      </c>
      <c r="T28" s="91">
        <f t="shared" si="17"/>
        <v>0</v>
      </c>
      <c r="U28" s="91">
        <f t="shared" si="17"/>
        <v>49061</v>
      </c>
      <c r="V28" s="91">
        <f t="shared" si="17"/>
        <v>3673</v>
      </c>
      <c r="W28" s="91">
        <f t="shared" si="17"/>
        <v>52734</v>
      </c>
      <c r="X28" s="91">
        <f>SUM(X29:X30)</f>
        <v>0</v>
      </c>
      <c r="Y28" s="91">
        <f>SUM(Y29:Y30)</f>
        <v>52734</v>
      </c>
    </row>
    <row r="29" spans="1:25" s="24" customFormat="1" ht="60.75" customHeight="1">
      <c r="A29" s="67"/>
      <c r="B29" s="86"/>
      <c r="C29" s="68">
        <v>2010</v>
      </c>
      <c r="D29" s="38" t="s">
        <v>211</v>
      </c>
      <c r="E29" s="91">
        <v>12000</v>
      </c>
      <c r="F29" s="91"/>
      <c r="G29" s="91">
        <f>SUM(E29:F29)</f>
        <v>12000</v>
      </c>
      <c r="H29" s="91">
        <v>-73</v>
      </c>
      <c r="I29" s="91">
        <f>SUM(G29:H29)</f>
        <v>11927</v>
      </c>
      <c r="J29" s="91"/>
      <c r="K29" s="91">
        <f>SUM(I29:J29)</f>
        <v>11927</v>
      </c>
      <c r="L29" s="91"/>
      <c r="M29" s="91">
        <f>SUM(K29:L29)</f>
        <v>11927</v>
      </c>
      <c r="N29" s="91"/>
      <c r="O29" s="91">
        <f>SUM(M29:N29)</f>
        <v>11927</v>
      </c>
      <c r="P29" s="91"/>
      <c r="Q29" s="91">
        <f>SUM(O29:P29)</f>
        <v>11927</v>
      </c>
      <c r="R29" s="91"/>
      <c r="S29" s="91">
        <f>SUM(Q29:R29)</f>
        <v>11927</v>
      </c>
      <c r="T29" s="91"/>
      <c r="U29" s="91">
        <f>SUM(S29:T29)</f>
        <v>11927</v>
      </c>
      <c r="V29" s="91">
        <v>3673</v>
      </c>
      <c r="W29" s="91">
        <f>SUM(U29:V29)</f>
        <v>15600</v>
      </c>
      <c r="X29" s="91"/>
      <c r="Y29" s="91">
        <f>SUM(W29:X29)</f>
        <v>15600</v>
      </c>
    </row>
    <row r="30" spans="1:25" s="24" customFormat="1" ht="39.75" customHeight="1">
      <c r="A30" s="67"/>
      <c r="B30" s="86"/>
      <c r="C30" s="68">
        <v>2030</v>
      </c>
      <c r="D30" s="77" t="s">
        <v>212</v>
      </c>
      <c r="E30" s="91">
        <v>37134</v>
      </c>
      <c r="F30" s="91"/>
      <c r="G30" s="91">
        <f>SUM(E30:F30)</f>
        <v>37134</v>
      </c>
      <c r="H30" s="91"/>
      <c r="I30" s="91">
        <f>SUM(G30:H30)</f>
        <v>37134</v>
      </c>
      <c r="J30" s="91"/>
      <c r="K30" s="91">
        <f>SUM(I30:J30)</f>
        <v>37134</v>
      </c>
      <c r="L30" s="91"/>
      <c r="M30" s="91">
        <f>SUM(K30:L30)</f>
        <v>37134</v>
      </c>
      <c r="N30" s="91"/>
      <c r="O30" s="91">
        <f>SUM(M30:N30)</f>
        <v>37134</v>
      </c>
      <c r="P30" s="91"/>
      <c r="Q30" s="91">
        <f>SUM(O30:P30)</f>
        <v>37134</v>
      </c>
      <c r="R30" s="91"/>
      <c r="S30" s="91">
        <f>SUM(Q30:R30)</f>
        <v>37134</v>
      </c>
      <c r="T30" s="91"/>
      <c r="U30" s="91">
        <f>SUM(S30:T30)</f>
        <v>37134</v>
      </c>
      <c r="V30" s="91"/>
      <c r="W30" s="91">
        <f>SUM(U30:V30)</f>
        <v>37134</v>
      </c>
      <c r="X30" s="91"/>
      <c r="Y30" s="91">
        <f>SUM(W30:X30)</f>
        <v>37134</v>
      </c>
    </row>
    <row r="31" spans="1:25" s="24" customFormat="1" ht="28.5" customHeight="1">
      <c r="A31" s="67"/>
      <c r="B31" s="67" t="s">
        <v>154</v>
      </c>
      <c r="C31" s="68"/>
      <c r="D31" s="38" t="s">
        <v>219</v>
      </c>
      <c r="E31" s="93">
        <f aca="true" t="shared" si="18" ref="E31:Y31">SUM(E32:E32)</f>
        <v>539695</v>
      </c>
      <c r="F31" s="93">
        <f t="shared" si="18"/>
        <v>0</v>
      </c>
      <c r="G31" s="93">
        <f t="shared" si="18"/>
        <v>539695</v>
      </c>
      <c r="H31" s="93">
        <f t="shared" si="18"/>
        <v>0</v>
      </c>
      <c r="I31" s="93">
        <f t="shared" si="18"/>
        <v>539695</v>
      </c>
      <c r="J31" s="93">
        <f t="shared" si="18"/>
        <v>0</v>
      </c>
      <c r="K31" s="93">
        <f t="shared" si="18"/>
        <v>539695</v>
      </c>
      <c r="L31" s="93">
        <f t="shared" si="18"/>
        <v>0</v>
      </c>
      <c r="M31" s="93">
        <f t="shared" si="18"/>
        <v>539695</v>
      </c>
      <c r="N31" s="93">
        <f t="shared" si="18"/>
        <v>0</v>
      </c>
      <c r="O31" s="93">
        <f t="shared" si="18"/>
        <v>539695</v>
      </c>
      <c r="P31" s="93">
        <f t="shared" si="18"/>
        <v>0</v>
      </c>
      <c r="Q31" s="93">
        <f t="shared" si="18"/>
        <v>539695</v>
      </c>
      <c r="R31" s="93">
        <f t="shared" si="18"/>
        <v>0</v>
      </c>
      <c r="S31" s="93">
        <f t="shared" si="18"/>
        <v>539695</v>
      </c>
      <c r="T31" s="93">
        <f t="shared" si="18"/>
        <v>0</v>
      </c>
      <c r="U31" s="93">
        <f t="shared" si="18"/>
        <v>539695</v>
      </c>
      <c r="V31" s="93">
        <f t="shared" si="18"/>
        <v>73405</v>
      </c>
      <c r="W31" s="93">
        <f t="shared" si="18"/>
        <v>613100</v>
      </c>
      <c r="X31" s="93">
        <f t="shared" si="18"/>
        <v>0</v>
      </c>
      <c r="Y31" s="93">
        <f t="shared" si="18"/>
        <v>613100</v>
      </c>
    </row>
    <row r="32" spans="1:25" s="24" customFormat="1" ht="39" customHeight="1">
      <c r="A32" s="67"/>
      <c r="B32" s="67"/>
      <c r="C32" s="69">
        <v>2030</v>
      </c>
      <c r="D32" s="77" t="s">
        <v>212</v>
      </c>
      <c r="E32" s="93">
        <v>539695</v>
      </c>
      <c r="F32" s="93"/>
      <c r="G32" s="93">
        <f>SUM(E32:F32)</f>
        <v>539695</v>
      </c>
      <c r="H32" s="93"/>
      <c r="I32" s="93">
        <f>SUM(G32:H32)</f>
        <v>539695</v>
      </c>
      <c r="J32" s="93"/>
      <c r="K32" s="93">
        <f>SUM(I32:J32)</f>
        <v>539695</v>
      </c>
      <c r="L32" s="93"/>
      <c r="M32" s="93">
        <f>SUM(K32:L32)</f>
        <v>539695</v>
      </c>
      <c r="N32" s="93"/>
      <c r="O32" s="93">
        <f>SUM(M32:N32)</f>
        <v>539695</v>
      </c>
      <c r="P32" s="93"/>
      <c r="Q32" s="93">
        <f>SUM(O32:P32)</f>
        <v>539695</v>
      </c>
      <c r="R32" s="93"/>
      <c r="S32" s="93">
        <f>SUM(Q32:R32)</f>
        <v>539695</v>
      </c>
      <c r="T32" s="93"/>
      <c r="U32" s="93">
        <f>SUM(S32:T32)</f>
        <v>539695</v>
      </c>
      <c r="V32" s="93">
        <v>73405</v>
      </c>
      <c r="W32" s="93">
        <f>SUM(U32:V32)</f>
        <v>613100</v>
      </c>
      <c r="X32" s="93"/>
      <c r="Y32" s="93">
        <f>SUM(W32:X32)</f>
        <v>613100</v>
      </c>
    </row>
    <row r="33" spans="1:25" s="24" customFormat="1" ht="20.25" customHeight="1">
      <c r="A33" s="67"/>
      <c r="B33" s="67">
        <v>85216</v>
      </c>
      <c r="C33" s="69"/>
      <c r="D33" s="77" t="s">
        <v>278</v>
      </c>
      <c r="E33" s="93">
        <f aca="true" t="shared" si="19" ref="E33:Y33">SUM(E34)</f>
        <v>449868</v>
      </c>
      <c r="F33" s="93">
        <f t="shared" si="19"/>
        <v>0</v>
      </c>
      <c r="G33" s="93">
        <f t="shared" si="19"/>
        <v>449868</v>
      </c>
      <c r="H33" s="93">
        <f t="shared" si="19"/>
        <v>0</v>
      </c>
      <c r="I33" s="93">
        <f t="shared" si="19"/>
        <v>449868</v>
      </c>
      <c r="J33" s="93">
        <f t="shared" si="19"/>
        <v>0</v>
      </c>
      <c r="K33" s="93">
        <f t="shared" si="19"/>
        <v>449868</v>
      </c>
      <c r="L33" s="93">
        <f t="shared" si="19"/>
        <v>0</v>
      </c>
      <c r="M33" s="93">
        <f t="shared" si="19"/>
        <v>449868</v>
      </c>
      <c r="N33" s="93">
        <f t="shared" si="19"/>
        <v>0</v>
      </c>
      <c r="O33" s="93">
        <f t="shared" si="19"/>
        <v>449868</v>
      </c>
      <c r="P33" s="93">
        <f t="shared" si="19"/>
        <v>0</v>
      </c>
      <c r="Q33" s="93">
        <f t="shared" si="19"/>
        <v>449868</v>
      </c>
      <c r="R33" s="93">
        <f t="shared" si="19"/>
        <v>0</v>
      </c>
      <c r="S33" s="93">
        <f t="shared" si="19"/>
        <v>449868</v>
      </c>
      <c r="T33" s="93">
        <f t="shared" si="19"/>
        <v>0</v>
      </c>
      <c r="U33" s="93">
        <f t="shared" si="19"/>
        <v>449868</v>
      </c>
      <c r="V33" s="93">
        <f t="shared" si="19"/>
        <v>11041</v>
      </c>
      <c r="W33" s="93">
        <f t="shared" si="19"/>
        <v>460909</v>
      </c>
      <c r="X33" s="93">
        <f t="shared" si="19"/>
        <v>0</v>
      </c>
      <c r="Y33" s="93">
        <f t="shared" si="19"/>
        <v>460909</v>
      </c>
    </row>
    <row r="34" spans="1:25" s="24" customFormat="1" ht="37.5" customHeight="1">
      <c r="A34" s="67"/>
      <c r="B34" s="67"/>
      <c r="C34" s="69">
        <v>2030</v>
      </c>
      <c r="D34" s="77" t="s">
        <v>212</v>
      </c>
      <c r="E34" s="93">
        <v>449868</v>
      </c>
      <c r="F34" s="93"/>
      <c r="G34" s="93">
        <f>SUM(E34:F34)</f>
        <v>449868</v>
      </c>
      <c r="H34" s="93"/>
      <c r="I34" s="93">
        <f>SUM(G34:H34)</f>
        <v>449868</v>
      </c>
      <c r="J34" s="93"/>
      <c r="K34" s="93">
        <f>SUM(I34:J34)</f>
        <v>449868</v>
      </c>
      <c r="L34" s="93"/>
      <c r="M34" s="93">
        <f>SUM(K34:L34)</f>
        <v>449868</v>
      </c>
      <c r="N34" s="93"/>
      <c r="O34" s="93">
        <f>SUM(M34:N34)</f>
        <v>449868</v>
      </c>
      <c r="P34" s="93"/>
      <c r="Q34" s="93">
        <f>SUM(O34:P34)</f>
        <v>449868</v>
      </c>
      <c r="R34" s="93"/>
      <c r="S34" s="93">
        <f>SUM(Q34:R34)</f>
        <v>449868</v>
      </c>
      <c r="T34" s="93"/>
      <c r="U34" s="93">
        <f>SUM(S34:T34)</f>
        <v>449868</v>
      </c>
      <c r="V34" s="93">
        <v>11041</v>
      </c>
      <c r="W34" s="93">
        <f>SUM(U34:V34)</f>
        <v>460909</v>
      </c>
      <c r="X34" s="93"/>
      <c r="Y34" s="93">
        <f>SUM(W34:X34)</f>
        <v>460909</v>
      </c>
    </row>
    <row r="35" spans="1:25" s="24" customFormat="1" ht="19.5" customHeight="1">
      <c r="A35" s="67"/>
      <c r="B35" s="67" t="s">
        <v>155</v>
      </c>
      <c r="C35" s="68"/>
      <c r="D35" s="38" t="s">
        <v>58</v>
      </c>
      <c r="E35" s="93">
        <f>E37</f>
        <v>374299</v>
      </c>
      <c r="F35" s="93">
        <f>F37</f>
        <v>0</v>
      </c>
      <c r="G35" s="93">
        <f>G37</f>
        <v>374299</v>
      </c>
      <c r="H35" s="93">
        <f>H37</f>
        <v>0</v>
      </c>
      <c r="I35" s="93">
        <f aca="true" t="shared" si="20" ref="I35:O35">SUM(I36:I37)</f>
        <v>374299</v>
      </c>
      <c r="J35" s="93">
        <f t="shared" si="20"/>
        <v>5500</v>
      </c>
      <c r="K35" s="93">
        <f t="shared" si="20"/>
        <v>379799</v>
      </c>
      <c r="L35" s="93">
        <f t="shared" si="20"/>
        <v>0</v>
      </c>
      <c r="M35" s="93">
        <f t="shared" si="20"/>
        <v>379799</v>
      </c>
      <c r="N35" s="93">
        <f t="shared" si="20"/>
        <v>13351</v>
      </c>
      <c r="O35" s="93">
        <f t="shared" si="20"/>
        <v>393150</v>
      </c>
      <c r="P35" s="93">
        <f aca="true" t="shared" si="21" ref="P35:U35">SUM(P36:P37)</f>
        <v>0</v>
      </c>
      <c r="Q35" s="93">
        <f t="shared" si="21"/>
        <v>393150</v>
      </c>
      <c r="R35" s="93">
        <f t="shared" si="21"/>
        <v>0</v>
      </c>
      <c r="S35" s="93">
        <f t="shared" si="21"/>
        <v>393150</v>
      </c>
      <c r="T35" s="93">
        <f t="shared" si="21"/>
        <v>0</v>
      </c>
      <c r="U35" s="93">
        <f t="shared" si="21"/>
        <v>393150</v>
      </c>
      <c r="V35" s="93">
        <f>SUM(V36:V37)</f>
        <v>0</v>
      </c>
      <c r="W35" s="93">
        <f>SUM(W36:W37)</f>
        <v>393150</v>
      </c>
      <c r="X35" s="93">
        <f>SUM(X36:X37)</f>
        <v>17765</v>
      </c>
      <c r="Y35" s="93">
        <f>SUM(Y36:Y37)</f>
        <v>410915</v>
      </c>
    </row>
    <row r="36" spans="1:25" s="24" customFormat="1" ht="63" customHeight="1">
      <c r="A36" s="67"/>
      <c r="B36" s="67"/>
      <c r="C36" s="68">
        <v>2010</v>
      </c>
      <c r="D36" s="38" t="s">
        <v>211</v>
      </c>
      <c r="E36" s="93"/>
      <c r="F36" s="93"/>
      <c r="G36" s="93"/>
      <c r="H36" s="93"/>
      <c r="I36" s="93">
        <v>0</v>
      </c>
      <c r="J36" s="93">
        <v>5500</v>
      </c>
      <c r="K36" s="93">
        <f>SUM(I36:J36)</f>
        <v>5500</v>
      </c>
      <c r="L36" s="93"/>
      <c r="M36" s="93">
        <f>SUM(K36:L36)</f>
        <v>5500</v>
      </c>
      <c r="N36" s="93"/>
      <c r="O36" s="93">
        <f>SUM(M36:N36)</f>
        <v>5500</v>
      </c>
      <c r="P36" s="93"/>
      <c r="Q36" s="93">
        <f>SUM(O36:P36)</f>
        <v>5500</v>
      </c>
      <c r="R36" s="93"/>
      <c r="S36" s="93">
        <f>SUM(Q36:R36)</f>
        <v>5500</v>
      </c>
      <c r="T36" s="93"/>
      <c r="U36" s="93">
        <f>SUM(S36:T36)</f>
        <v>5500</v>
      </c>
      <c r="V36" s="93"/>
      <c r="W36" s="93">
        <f>SUM(U36:V36)</f>
        <v>5500</v>
      </c>
      <c r="X36" s="93">
        <v>4000</v>
      </c>
      <c r="Y36" s="93">
        <f>SUM(W36:X36)</f>
        <v>9500</v>
      </c>
    </row>
    <row r="37" spans="1:25" s="24" customFormat="1" ht="41.25" customHeight="1">
      <c r="A37" s="67"/>
      <c r="B37" s="67"/>
      <c r="C37" s="69">
        <v>2030</v>
      </c>
      <c r="D37" s="77" t="s">
        <v>212</v>
      </c>
      <c r="E37" s="93">
        <v>374299</v>
      </c>
      <c r="F37" s="93"/>
      <c r="G37" s="93">
        <f>SUM(E37:F37)</f>
        <v>374299</v>
      </c>
      <c r="H37" s="93"/>
      <c r="I37" s="93">
        <f>SUM(G37:H37)</f>
        <v>374299</v>
      </c>
      <c r="J37" s="93"/>
      <c r="K37" s="93">
        <f>SUM(I37:J37)</f>
        <v>374299</v>
      </c>
      <c r="L37" s="93"/>
      <c r="M37" s="93">
        <f>SUM(K37:L37)</f>
        <v>374299</v>
      </c>
      <c r="N37" s="93">
        <v>13351</v>
      </c>
      <c r="O37" s="93">
        <f>SUM(M37:N37)</f>
        <v>387650</v>
      </c>
      <c r="P37" s="93"/>
      <c r="Q37" s="93">
        <f>SUM(O37:P37)</f>
        <v>387650</v>
      </c>
      <c r="R37" s="93"/>
      <c r="S37" s="93">
        <f>SUM(Q37:R37)</f>
        <v>387650</v>
      </c>
      <c r="T37" s="93"/>
      <c r="U37" s="93">
        <f>SUM(S37:T37)</f>
        <v>387650</v>
      </c>
      <c r="V37" s="93"/>
      <c r="W37" s="93">
        <f>SUM(U37:V37)</f>
        <v>387650</v>
      </c>
      <c r="X37" s="93">
        <v>13765</v>
      </c>
      <c r="Y37" s="93">
        <f>SUM(W37:X37)</f>
        <v>401415</v>
      </c>
    </row>
    <row r="38" spans="1:25" s="24" customFormat="1" ht="21.75" customHeight="1">
      <c r="A38" s="67"/>
      <c r="B38" s="67">
        <v>85295</v>
      </c>
      <c r="C38" s="69"/>
      <c r="D38" s="77" t="s">
        <v>6</v>
      </c>
      <c r="E38" s="93">
        <f aca="true" t="shared" si="22" ref="E38:Y38">SUM(E39)</f>
        <v>0</v>
      </c>
      <c r="F38" s="93">
        <f t="shared" si="22"/>
        <v>530000</v>
      </c>
      <c r="G38" s="93">
        <f t="shared" si="22"/>
        <v>530000</v>
      </c>
      <c r="H38" s="93">
        <f t="shared" si="22"/>
        <v>0</v>
      </c>
      <c r="I38" s="93">
        <f t="shared" si="22"/>
        <v>530000</v>
      </c>
      <c r="J38" s="93">
        <f t="shared" si="22"/>
        <v>0</v>
      </c>
      <c r="K38" s="93">
        <f t="shared" si="22"/>
        <v>530000</v>
      </c>
      <c r="L38" s="93">
        <f t="shared" si="22"/>
        <v>0</v>
      </c>
      <c r="M38" s="93">
        <f t="shared" si="22"/>
        <v>530000</v>
      </c>
      <c r="N38" s="93">
        <f t="shared" si="22"/>
        <v>69400</v>
      </c>
      <c r="O38" s="93">
        <f t="shared" si="22"/>
        <v>599400</v>
      </c>
      <c r="P38" s="93">
        <f t="shared" si="22"/>
        <v>0</v>
      </c>
      <c r="Q38" s="93">
        <f t="shared" si="22"/>
        <v>599400</v>
      </c>
      <c r="R38" s="93">
        <f t="shared" si="22"/>
        <v>0</v>
      </c>
      <c r="S38" s="93">
        <f t="shared" si="22"/>
        <v>599400</v>
      </c>
      <c r="T38" s="93">
        <f t="shared" si="22"/>
        <v>0</v>
      </c>
      <c r="U38" s="93">
        <f t="shared" si="22"/>
        <v>599400</v>
      </c>
      <c r="V38" s="93">
        <f t="shared" si="22"/>
        <v>0</v>
      </c>
      <c r="W38" s="93">
        <f t="shared" si="22"/>
        <v>599400</v>
      </c>
      <c r="X38" s="93">
        <f t="shared" si="22"/>
        <v>0</v>
      </c>
      <c r="Y38" s="93">
        <f t="shared" si="22"/>
        <v>599400</v>
      </c>
    </row>
    <row r="39" spans="1:25" s="24" customFormat="1" ht="39.75" customHeight="1">
      <c r="A39" s="67"/>
      <c r="B39" s="67"/>
      <c r="C39" s="69">
        <v>2030</v>
      </c>
      <c r="D39" s="77" t="s">
        <v>212</v>
      </c>
      <c r="E39" s="93">
        <v>0</v>
      </c>
      <c r="F39" s="93">
        <v>530000</v>
      </c>
      <c r="G39" s="93">
        <f>SUM(E39:F39)</f>
        <v>530000</v>
      </c>
      <c r="H39" s="93"/>
      <c r="I39" s="93">
        <f>SUM(G39:H39)</f>
        <v>530000</v>
      </c>
      <c r="J39" s="93"/>
      <c r="K39" s="93">
        <f>SUM(I39:J39)</f>
        <v>530000</v>
      </c>
      <c r="L39" s="93"/>
      <c r="M39" s="93">
        <f>SUM(K39:L39)</f>
        <v>530000</v>
      </c>
      <c r="N39" s="93">
        <v>69400</v>
      </c>
      <c r="O39" s="93">
        <f>SUM(M39:N39)</f>
        <v>599400</v>
      </c>
      <c r="P39" s="93"/>
      <c r="Q39" s="93">
        <f>SUM(O39:P39)</f>
        <v>599400</v>
      </c>
      <c r="R39" s="93"/>
      <c r="S39" s="93">
        <f>SUM(Q39:R39)</f>
        <v>599400</v>
      </c>
      <c r="T39" s="93"/>
      <c r="U39" s="93">
        <f>SUM(S39:T39)</f>
        <v>599400</v>
      </c>
      <c r="V39" s="93"/>
      <c r="W39" s="93">
        <f>SUM(U39:V39)</f>
        <v>599400</v>
      </c>
      <c r="X39" s="93"/>
      <c r="Y39" s="93">
        <f>SUM(W39:X39)</f>
        <v>599400</v>
      </c>
    </row>
    <row r="40" spans="1:25" s="177" customFormat="1" ht="27" customHeight="1">
      <c r="A40" s="260">
        <v>854</v>
      </c>
      <c r="B40" s="261"/>
      <c r="C40" s="262"/>
      <c r="D40" s="263" t="s">
        <v>59</v>
      </c>
      <c r="E40" s="265"/>
      <c r="F40" s="265"/>
      <c r="G40" s="265"/>
      <c r="H40" s="265"/>
      <c r="I40" s="265"/>
      <c r="J40" s="265"/>
      <c r="K40" s="265">
        <f aca="true" t="shared" si="23" ref="K40:Y41">SUM(K41)</f>
        <v>0</v>
      </c>
      <c r="L40" s="265">
        <f t="shared" si="23"/>
        <v>279792</v>
      </c>
      <c r="M40" s="265">
        <f t="shared" si="23"/>
        <v>279792</v>
      </c>
      <c r="N40" s="265">
        <f t="shared" si="23"/>
        <v>0</v>
      </c>
      <c r="O40" s="265">
        <f t="shared" si="23"/>
        <v>279792</v>
      </c>
      <c r="P40" s="265">
        <f t="shared" si="23"/>
        <v>0</v>
      </c>
      <c r="Q40" s="265">
        <f t="shared" si="23"/>
        <v>279792</v>
      </c>
      <c r="R40" s="265">
        <f t="shared" si="23"/>
        <v>0</v>
      </c>
      <c r="S40" s="265">
        <f t="shared" si="23"/>
        <v>279792</v>
      </c>
      <c r="T40" s="265">
        <f t="shared" si="23"/>
        <v>0</v>
      </c>
      <c r="U40" s="265">
        <f t="shared" si="23"/>
        <v>279792</v>
      </c>
      <c r="V40" s="265">
        <f t="shared" si="23"/>
        <v>0</v>
      </c>
      <c r="W40" s="265">
        <f t="shared" si="23"/>
        <v>279792</v>
      </c>
      <c r="X40" s="265">
        <f t="shared" si="23"/>
        <v>60600</v>
      </c>
      <c r="Y40" s="265">
        <f t="shared" si="23"/>
        <v>340392</v>
      </c>
    </row>
    <row r="41" spans="1:25" s="24" customFormat="1" ht="23.25" customHeight="1">
      <c r="A41" s="72"/>
      <c r="B41" s="73">
        <v>85415</v>
      </c>
      <c r="C41" s="79"/>
      <c r="D41" s="77" t="s">
        <v>434</v>
      </c>
      <c r="E41" s="93"/>
      <c r="F41" s="93"/>
      <c r="G41" s="93"/>
      <c r="H41" s="93"/>
      <c r="I41" s="93"/>
      <c r="J41" s="93"/>
      <c r="K41" s="93">
        <f t="shared" si="23"/>
        <v>0</v>
      </c>
      <c r="L41" s="93">
        <f t="shared" si="23"/>
        <v>279792</v>
      </c>
      <c r="M41" s="93">
        <f t="shared" si="23"/>
        <v>279792</v>
      </c>
      <c r="N41" s="93">
        <f t="shared" si="23"/>
        <v>0</v>
      </c>
      <c r="O41" s="93">
        <f t="shared" si="23"/>
        <v>279792</v>
      </c>
      <c r="P41" s="93">
        <f t="shared" si="23"/>
        <v>0</v>
      </c>
      <c r="Q41" s="93">
        <f t="shared" si="23"/>
        <v>279792</v>
      </c>
      <c r="R41" s="93">
        <f t="shared" si="23"/>
        <v>0</v>
      </c>
      <c r="S41" s="93">
        <f t="shared" si="23"/>
        <v>279792</v>
      </c>
      <c r="T41" s="93">
        <f t="shared" si="23"/>
        <v>0</v>
      </c>
      <c r="U41" s="93">
        <f t="shared" si="23"/>
        <v>279792</v>
      </c>
      <c r="V41" s="93">
        <f t="shared" si="23"/>
        <v>0</v>
      </c>
      <c r="W41" s="93">
        <f t="shared" si="23"/>
        <v>279792</v>
      </c>
      <c r="X41" s="93">
        <f t="shared" si="23"/>
        <v>60600</v>
      </c>
      <c r="Y41" s="93">
        <f t="shared" si="23"/>
        <v>340392</v>
      </c>
    </row>
    <row r="42" spans="1:25" s="24" customFormat="1" ht="33.75">
      <c r="A42" s="72"/>
      <c r="B42" s="73"/>
      <c r="C42" s="79">
        <v>2030</v>
      </c>
      <c r="D42" s="77" t="s">
        <v>212</v>
      </c>
      <c r="E42" s="93"/>
      <c r="F42" s="93"/>
      <c r="G42" s="93"/>
      <c r="H42" s="93"/>
      <c r="I42" s="93"/>
      <c r="J42" s="93"/>
      <c r="K42" s="93">
        <v>0</v>
      </c>
      <c r="L42" s="93">
        <v>279792</v>
      </c>
      <c r="M42" s="93">
        <f>SUM(K42:L42)</f>
        <v>279792</v>
      </c>
      <c r="N42" s="93"/>
      <c r="O42" s="93">
        <f>SUM(M42:N42)</f>
        <v>279792</v>
      </c>
      <c r="P42" s="93"/>
      <c r="Q42" s="93">
        <f>SUM(O42:P42)</f>
        <v>279792</v>
      </c>
      <c r="R42" s="93"/>
      <c r="S42" s="93">
        <f>SUM(Q42:R42)</f>
        <v>279792</v>
      </c>
      <c r="T42" s="93"/>
      <c r="U42" s="93">
        <f>SUM(S42:T42)</f>
        <v>279792</v>
      </c>
      <c r="V42" s="93"/>
      <c r="W42" s="93">
        <f>SUM(U42:V42)</f>
        <v>279792</v>
      </c>
      <c r="X42" s="93">
        <v>60600</v>
      </c>
      <c r="Y42" s="93">
        <f>SUM(W42:X42)</f>
        <v>340392</v>
      </c>
    </row>
    <row r="43" spans="1:25" s="7" customFormat="1" ht="24">
      <c r="A43" s="33" t="s">
        <v>63</v>
      </c>
      <c r="B43" s="27"/>
      <c r="C43" s="55"/>
      <c r="D43" s="36" t="s">
        <v>69</v>
      </c>
      <c r="E43" s="63">
        <f>SUM(E46)</f>
        <v>60000</v>
      </c>
      <c r="F43" s="63">
        <f>SUM(F46)</f>
        <v>0</v>
      </c>
      <c r="G43" s="63">
        <f>SUM(G46)</f>
        <v>60000</v>
      </c>
      <c r="H43" s="63">
        <f>SUM(H46)</f>
        <v>0</v>
      </c>
      <c r="I43" s="63">
        <f aca="true" t="shared" si="24" ref="I43:O43">SUM(I46,I44)</f>
        <v>60000</v>
      </c>
      <c r="J43" s="63">
        <f t="shared" si="24"/>
        <v>11400</v>
      </c>
      <c r="K43" s="63">
        <f t="shared" si="24"/>
        <v>71400</v>
      </c>
      <c r="L43" s="63">
        <f t="shared" si="24"/>
        <v>0</v>
      </c>
      <c r="M43" s="63">
        <f t="shared" si="24"/>
        <v>71400</v>
      </c>
      <c r="N43" s="63">
        <f t="shared" si="24"/>
        <v>0</v>
      </c>
      <c r="O43" s="63">
        <f t="shared" si="24"/>
        <v>71400</v>
      </c>
      <c r="P43" s="63">
        <f aca="true" t="shared" si="25" ref="P43:U43">SUM(P46,P44)</f>
        <v>0</v>
      </c>
      <c r="Q43" s="63">
        <f t="shared" si="25"/>
        <v>71400</v>
      </c>
      <c r="R43" s="63">
        <f t="shared" si="25"/>
        <v>0</v>
      </c>
      <c r="S43" s="63">
        <f t="shared" si="25"/>
        <v>71400</v>
      </c>
      <c r="T43" s="63">
        <f t="shared" si="25"/>
        <v>0</v>
      </c>
      <c r="U43" s="63">
        <f t="shared" si="25"/>
        <v>71400</v>
      </c>
      <c r="V43" s="63">
        <f>SUM(V46,V44)</f>
        <v>0</v>
      </c>
      <c r="W43" s="63">
        <f>SUM(W46,W44)</f>
        <v>71400</v>
      </c>
      <c r="X43" s="63">
        <f>SUM(X46,X44)</f>
        <v>0</v>
      </c>
      <c r="Y43" s="63">
        <f>SUM(Y46,Y44)</f>
        <v>71400</v>
      </c>
    </row>
    <row r="44" spans="1:25" s="7" customFormat="1" ht="23.25" customHeight="1">
      <c r="A44" s="33"/>
      <c r="B44" s="141">
        <v>92105</v>
      </c>
      <c r="C44" s="151"/>
      <c r="D44" s="221" t="s">
        <v>369</v>
      </c>
      <c r="E44" s="63"/>
      <c r="F44" s="63"/>
      <c r="G44" s="63"/>
      <c r="H44" s="63"/>
      <c r="I44" s="222">
        <f aca="true" t="shared" si="26" ref="I44:Y44">SUM(I45)</f>
        <v>0</v>
      </c>
      <c r="J44" s="222">
        <f t="shared" si="26"/>
        <v>11400</v>
      </c>
      <c r="K44" s="222">
        <f t="shared" si="26"/>
        <v>11400</v>
      </c>
      <c r="L44" s="222">
        <f t="shared" si="26"/>
        <v>0</v>
      </c>
      <c r="M44" s="222">
        <f t="shared" si="26"/>
        <v>11400</v>
      </c>
      <c r="N44" s="222">
        <f t="shared" si="26"/>
        <v>0</v>
      </c>
      <c r="O44" s="222">
        <f t="shared" si="26"/>
        <v>11400</v>
      </c>
      <c r="P44" s="222">
        <f t="shared" si="26"/>
        <v>0</v>
      </c>
      <c r="Q44" s="222">
        <f t="shared" si="26"/>
        <v>11400</v>
      </c>
      <c r="R44" s="222">
        <f t="shared" si="26"/>
        <v>0</v>
      </c>
      <c r="S44" s="222">
        <f t="shared" si="26"/>
        <v>11400</v>
      </c>
      <c r="T44" s="222">
        <f t="shared" si="26"/>
        <v>0</v>
      </c>
      <c r="U44" s="222">
        <f t="shared" si="26"/>
        <v>11400</v>
      </c>
      <c r="V44" s="222">
        <f t="shared" si="26"/>
        <v>0</v>
      </c>
      <c r="W44" s="222">
        <f t="shared" si="26"/>
        <v>11400</v>
      </c>
      <c r="X44" s="222">
        <f t="shared" si="26"/>
        <v>0</v>
      </c>
      <c r="Y44" s="222">
        <f t="shared" si="26"/>
        <v>11400</v>
      </c>
    </row>
    <row r="45" spans="1:25" s="7" customFormat="1" ht="45">
      <c r="A45" s="33"/>
      <c r="B45" s="2"/>
      <c r="C45" s="74">
        <v>2320</v>
      </c>
      <c r="D45" s="77" t="s">
        <v>213</v>
      </c>
      <c r="E45" s="63"/>
      <c r="F45" s="63"/>
      <c r="G45" s="63"/>
      <c r="H45" s="63"/>
      <c r="I45" s="222">
        <v>0</v>
      </c>
      <c r="J45" s="222">
        <v>11400</v>
      </c>
      <c r="K45" s="222">
        <f>SUM(I45:J45)</f>
        <v>11400</v>
      </c>
      <c r="L45" s="222"/>
      <c r="M45" s="222">
        <f>SUM(K45:L45)</f>
        <v>11400</v>
      </c>
      <c r="N45" s="222"/>
      <c r="O45" s="222">
        <f>SUM(M45:N45)</f>
        <v>11400</v>
      </c>
      <c r="P45" s="222"/>
      <c r="Q45" s="222">
        <f>SUM(O45:P45)</f>
        <v>11400</v>
      </c>
      <c r="R45" s="222"/>
      <c r="S45" s="222">
        <f>SUM(Q45:R45)</f>
        <v>11400</v>
      </c>
      <c r="T45" s="222"/>
      <c r="U45" s="222">
        <f>SUM(S45:T45)</f>
        <v>11400</v>
      </c>
      <c r="V45" s="222"/>
      <c r="W45" s="222">
        <f>SUM(U45:V45)</f>
        <v>11400</v>
      </c>
      <c r="X45" s="222"/>
      <c r="Y45" s="222">
        <f>SUM(W45:X45)</f>
        <v>11400</v>
      </c>
    </row>
    <row r="46" spans="1:25" s="24" customFormat="1" ht="18" customHeight="1">
      <c r="A46" s="67"/>
      <c r="B46" s="67" t="s">
        <v>64</v>
      </c>
      <c r="C46" s="68"/>
      <c r="D46" s="38" t="s">
        <v>65</v>
      </c>
      <c r="E46" s="93">
        <f aca="true" t="shared" si="27" ref="E46:Y46">E47</f>
        <v>60000</v>
      </c>
      <c r="F46" s="93">
        <f t="shared" si="27"/>
        <v>0</v>
      </c>
      <c r="G46" s="93">
        <f t="shared" si="27"/>
        <v>60000</v>
      </c>
      <c r="H46" s="93">
        <f t="shared" si="27"/>
        <v>0</v>
      </c>
      <c r="I46" s="93">
        <f t="shared" si="27"/>
        <v>60000</v>
      </c>
      <c r="J46" s="93">
        <f t="shared" si="27"/>
        <v>0</v>
      </c>
      <c r="K46" s="93">
        <f t="shared" si="27"/>
        <v>60000</v>
      </c>
      <c r="L46" s="93">
        <f t="shared" si="27"/>
        <v>0</v>
      </c>
      <c r="M46" s="93">
        <f t="shared" si="27"/>
        <v>60000</v>
      </c>
      <c r="N46" s="93">
        <f t="shared" si="27"/>
        <v>0</v>
      </c>
      <c r="O46" s="93">
        <f t="shared" si="27"/>
        <v>60000</v>
      </c>
      <c r="P46" s="93">
        <f t="shared" si="27"/>
        <v>0</v>
      </c>
      <c r="Q46" s="93">
        <f t="shared" si="27"/>
        <v>60000</v>
      </c>
      <c r="R46" s="93">
        <f t="shared" si="27"/>
        <v>0</v>
      </c>
      <c r="S46" s="93">
        <f t="shared" si="27"/>
        <v>60000</v>
      </c>
      <c r="T46" s="93">
        <f t="shared" si="27"/>
        <v>0</v>
      </c>
      <c r="U46" s="93">
        <f t="shared" si="27"/>
        <v>60000</v>
      </c>
      <c r="V46" s="93">
        <f t="shared" si="27"/>
        <v>0</v>
      </c>
      <c r="W46" s="93">
        <f t="shared" si="27"/>
        <v>60000</v>
      </c>
      <c r="X46" s="93">
        <f t="shared" si="27"/>
        <v>0</v>
      </c>
      <c r="Y46" s="93">
        <f t="shared" si="27"/>
        <v>60000</v>
      </c>
    </row>
    <row r="47" spans="1:25" s="24" customFormat="1" ht="48.75" customHeight="1">
      <c r="A47" s="67"/>
      <c r="B47" s="67"/>
      <c r="C47" s="69">
        <v>2320</v>
      </c>
      <c r="D47" s="38" t="s">
        <v>213</v>
      </c>
      <c r="E47" s="93">
        <v>60000</v>
      </c>
      <c r="F47" s="93"/>
      <c r="G47" s="93">
        <f>SUM(E47:F47)</f>
        <v>60000</v>
      </c>
      <c r="H47" s="93"/>
      <c r="I47" s="93">
        <f>SUM(G47:H47)</f>
        <v>60000</v>
      </c>
      <c r="J47" s="93"/>
      <c r="K47" s="93">
        <f>SUM(I47:J47)</f>
        <v>60000</v>
      </c>
      <c r="L47" s="93"/>
      <c r="M47" s="93">
        <f>SUM(K47:L47)</f>
        <v>60000</v>
      </c>
      <c r="N47" s="93"/>
      <c r="O47" s="93">
        <f>SUM(M47:N47)</f>
        <v>60000</v>
      </c>
      <c r="P47" s="93"/>
      <c r="Q47" s="93">
        <f>SUM(O47:P47)</f>
        <v>60000</v>
      </c>
      <c r="R47" s="93"/>
      <c r="S47" s="93">
        <f>SUM(Q47:R47)</f>
        <v>60000</v>
      </c>
      <c r="T47" s="93"/>
      <c r="U47" s="93">
        <f>SUM(S47:T47)</f>
        <v>60000</v>
      </c>
      <c r="V47" s="93"/>
      <c r="W47" s="93">
        <f>SUM(U47:V47)</f>
        <v>60000</v>
      </c>
      <c r="X47" s="93"/>
      <c r="Y47" s="93">
        <f>SUM(W47:X47)</f>
        <v>60000</v>
      </c>
    </row>
    <row r="48" spans="1:25" s="24" customFormat="1" ht="24" customHeight="1">
      <c r="A48" s="218">
        <v>926</v>
      </c>
      <c r="B48" s="218"/>
      <c r="C48" s="218"/>
      <c r="D48" s="182" t="s">
        <v>66</v>
      </c>
      <c r="E48" s="93"/>
      <c r="F48" s="93"/>
      <c r="G48" s="93"/>
      <c r="H48" s="93"/>
      <c r="I48" s="223">
        <f aca="true" t="shared" si="28" ref="I48:X49">SUM(I49)</f>
        <v>0</v>
      </c>
      <c r="J48" s="223">
        <f t="shared" si="28"/>
        <v>2200</v>
      </c>
      <c r="K48" s="223">
        <f t="shared" si="28"/>
        <v>2200</v>
      </c>
      <c r="L48" s="223">
        <f t="shared" si="28"/>
        <v>0</v>
      </c>
      <c r="M48" s="223">
        <f t="shared" si="28"/>
        <v>2200</v>
      </c>
      <c r="N48" s="223">
        <f t="shared" si="28"/>
        <v>0</v>
      </c>
      <c r="O48" s="223">
        <f t="shared" si="28"/>
        <v>2200</v>
      </c>
      <c r="P48" s="223">
        <f t="shared" si="28"/>
        <v>20000</v>
      </c>
      <c r="Q48" s="223">
        <f t="shared" si="28"/>
        <v>22200</v>
      </c>
      <c r="R48" s="223">
        <f t="shared" si="28"/>
        <v>0</v>
      </c>
      <c r="S48" s="223">
        <f t="shared" si="28"/>
        <v>22200</v>
      </c>
      <c r="T48" s="223">
        <f t="shared" si="28"/>
        <v>0</v>
      </c>
      <c r="U48" s="223">
        <f t="shared" si="28"/>
        <v>22200</v>
      </c>
      <c r="V48" s="223">
        <f t="shared" si="28"/>
        <v>0</v>
      </c>
      <c r="W48" s="223">
        <f t="shared" si="28"/>
        <v>22200</v>
      </c>
      <c r="X48" s="223">
        <f t="shared" si="28"/>
        <v>0</v>
      </c>
      <c r="Y48" s="223">
        <f>SUM(Y49)</f>
        <v>22200</v>
      </c>
    </row>
    <row r="49" spans="1:25" s="24" customFormat="1" ht="21.75" customHeight="1">
      <c r="A49" s="73"/>
      <c r="B49" s="73">
        <v>92605</v>
      </c>
      <c r="C49" s="73"/>
      <c r="D49" s="13" t="s">
        <v>67</v>
      </c>
      <c r="E49" s="93"/>
      <c r="F49" s="93"/>
      <c r="G49" s="93"/>
      <c r="H49" s="93"/>
      <c r="I49" s="93">
        <f t="shared" si="28"/>
        <v>0</v>
      </c>
      <c r="J49" s="93">
        <f t="shared" si="28"/>
        <v>2200</v>
      </c>
      <c r="K49" s="93">
        <f t="shared" si="28"/>
        <v>2200</v>
      </c>
      <c r="L49" s="93">
        <f t="shared" si="28"/>
        <v>0</v>
      </c>
      <c r="M49" s="93">
        <f t="shared" si="28"/>
        <v>2200</v>
      </c>
      <c r="N49" s="93">
        <f t="shared" si="28"/>
        <v>0</v>
      </c>
      <c r="O49" s="93">
        <f aca="true" t="shared" si="29" ref="O49:U49">SUM(O50:O51)</f>
        <v>2200</v>
      </c>
      <c r="P49" s="93">
        <f t="shared" si="29"/>
        <v>20000</v>
      </c>
      <c r="Q49" s="93">
        <f t="shared" si="29"/>
        <v>22200</v>
      </c>
      <c r="R49" s="93">
        <f t="shared" si="29"/>
        <v>0</v>
      </c>
      <c r="S49" s="93">
        <f t="shared" si="29"/>
        <v>22200</v>
      </c>
      <c r="T49" s="93">
        <f t="shared" si="29"/>
        <v>0</v>
      </c>
      <c r="U49" s="93">
        <f t="shared" si="29"/>
        <v>22200</v>
      </c>
      <c r="V49" s="93">
        <f>SUM(V50:V51)</f>
        <v>0</v>
      </c>
      <c r="W49" s="93">
        <f>SUM(W50:W51)</f>
        <v>22200</v>
      </c>
      <c r="X49" s="93">
        <f>SUM(X50:X51)</f>
        <v>0</v>
      </c>
      <c r="Y49" s="93">
        <f>SUM(Y50:Y51)</f>
        <v>22200</v>
      </c>
    </row>
    <row r="50" spans="1:25" s="24" customFormat="1" ht="53.25" customHeight="1">
      <c r="A50" s="73"/>
      <c r="B50" s="73"/>
      <c r="C50" s="73">
        <v>2320</v>
      </c>
      <c r="D50" s="13" t="s">
        <v>213</v>
      </c>
      <c r="E50" s="93"/>
      <c r="F50" s="93"/>
      <c r="G50" s="93"/>
      <c r="H50" s="93"/>
      <c r="I50" s="93">
        <v>0</v>
      </c>
      <c r="J50" s="93">
        <v>2200</v>
      </c>
      <c r="K50" s="93">
        <f>SUM(I50:J50)</f>
        <v>2200</v>
      </c>
      <c r="L50" s="93"/>
      <c r="M50" s="93">
        <f>SUM(K50:L50)</f>
        <v>2200</v>
      </c>
      <c r="N50" s="93"/>
      <c r="O50" s="93">
        <f>SUM(M50:N50)</f>
        <v>2200</v>
      </c>
      <c r="P50" s="93"/>
      <c r="Q50" s="93">
        <f>SUM(O50:P50)</f>
        <v>2200</v>
      </c>
      <c r="R50" s="93"/>
      <c r="S50" s="93">
        <f>SUM(Q50:R50)</f>
        <v>2200</v>
      </c>
      <c r="T50" s="93"/>
      <c r="U50" s="93">
        <f>SUM(S50:T50)</f>
        <v>2200</v>
      </c>
      <c r="V50" s="93"/>
      <c r="W50" s="93">
        <f>SUM(U50:V50)</f>
        <v>2200</v>
      </c>
      <c r="X50" s="93"/>
      <c r="Y50" s="93">
        <f>SUM(W50:X50)</f>
        <v>2200</v>
      </c>
    </row>
    <row r="51" spans="1:25" s="24" customFormat="1" ht="53.25" customHeight="1">
      <c r="A51" s="73"/>
      <c r="B51" s="73"/>
      <c r="C51" s="73">
        <v>2440</v>
      </c>
      <c r="D51" s="77" t="s">
        <v>477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>
        <v>0</v>
      </c>
      <c r="P51" s="93">
        <v>20000</v>
      </c>
      <c r="Q51" s="93">
        <f>SUM(O51:P51)</f>
        <v>20000</v>
      </c>
      <c r="R51" s="93"/>
      <c r="S51" s="93">
        <f>SUM(Q51:R51)</f>
        <v>20000</v>
      </c>
      <c r="T51" s="93"/>
      <c r="U51" s="93">
        <f>SUM(S51:T51)</f>
        <v>20000</v>
      </c>
      <c r="V51" s="93"/>
      <c r="W51" s="93">
        <f>SUM(U51:V51)</f>
        <v>20000</v>
      </c>
      <c r="X51" s="93"/>
      <c r="Y51" s="93">
        <f>SUM(W51:X51)</f>
        <v>20000</v>
      </c>
    </row>
    <row r="52" spans="1:25" s="24" customFormat="1" ht="19.5" customHeight="1">
      <c r="A52" s="110"/>
      <c r="B52" s="111"/>
      <c r="C52" s="112"/>
      <c r="D52" s="98" t="s">
        <v>68</v>
      </c>
      <c r="E52" s="100">
        <f>SUM(E43,E25,E15,E10,E20,)</f>
        <v>8189630</v>
      </c>
      <c r="F52" s="100">
        <f>SUM(F43,F25,F15,F10,F20,)</f>
        <v>530000</v>
      </c>
      <c r="G52" s="100">
        <f>SUM(G43,G25,G15,G10,G20,)</f>
        <v>8719630</v>
      </c>
      <c r="H52" s="100">
        <f>SUM(H43,H25,H15,H10,H20,)</f>
        <v>-73</v>
      </c>
      <c r="I52" s="100">
        <f>SUM(I43,I25,I15,I10,I20,I48)</f>
        <v>8719557</v>
      </c>
      <c r="J52" s="100">
        <f>SUM(J43,J25,J15,J10,J20,J48)</f>
        <v>22004</v>
      </c>
      <c r="K52" s="100">
        <f>SUM(K43,K25,K15,K10,K20,K48,K40)</f>
        <v>8741561</v>
      </c>
      <c r="L52" s="100">
        <f>SUM(L43,L25,L15,L10,L20,L48,L40)</f>
        <v>279792</v>
      </c>
      <c r="M52" s="100">
        <f>SUM(M43,M25,M15,M10,M20,M48,M40)</f>
        <v>9021353</v>
      </c>
      <c r="N52" s="100">
        <f>SUM(N43,N25,N15,N10,N20,N48,N40)</f>
        <v>158567</v>
      </c>
      <c r="O52" s="100">
        <f aca="true" t="shared" si="30" ref="O52:U52">SUM(O43,O25,O15,O10,O20,O48,O40,O7)</f>
        <v>9179920</v>
      </c>
      <c r="P52" s="100">
        <f t="shared" si="30"/>
        <v>312460</v>
      </c>
      <c r="Q52" s="100">
        <f t="shared" si="30"/>
        <v>9492380</v>
      </c>
      <c r="R52" s="100">
        <f t="shared" si="30"/>
        <v>21375</v>
      </c>
      <c r="S52" s="100">
        <f t="shared" si="30"/>
        <v>9513755</v>
      </c>
      <c r="T52" s="100">
        <f t="shared" si="30"/>
        <v>11000</v>
      </c>
      <c r="U52" s="100">
        <f t="shared" si="30"/>
        <v>9524755</v>
      </c>
      <c r="V52" s="100">
        <f>SUM(V43,V25,V15,V10,V20,V48,V40,V7)</f>
        <v>109494</v>
      </c>
      <c r="W52" s="100">
        <f>SUM(W43,W25,W15,W10,W20,W48,W40,W7)</f>
        <v>9634249</v>
      </c>
      <c r="X52" s="100">
        <f>SUM(X43,X25,X15,X10,X20,X48,X40,X7)</f>
        <v>92694</v>
      </c>
      <c r="Y52" s="100">
        <f>SUM(Y43,Y25,Y15,Y10,Y20,Y48,Y40,Y7)</f>
        <v>9726943</v>
      </c>
    </row>
    <row r="53" spans="1:3" ht="12.75">
      <c r="A53" s="56"/>
      <c r="B53" s="56"/>
      <c r="C53" s="56"/>
    </row>
    <row r="56" spans="5:25" ht="12.75">
      <c r="E56" s="102"/>
      <c r="F56" s="102"/>
      <c r="G56" s="102"/>
      <c r="H56" s="102"/>
      <c r="I56" s="102"/>
      <c r="J56" s="25"/>
      <c r="K56" s="102"/>
      <c r="L56" s="25"/>
      <c r="M56" s="102"/>
      <c r="N56" s="25"/>
      <c r="O56" s="102"/>
      <c r="P56" s="25"/>
      <c r="Q56" s="102"/>
      <c r="R56" s="25"/>
      <c r="S56" s="102"/>
      <c r="T56" s="25"/>
      <c r="U56" s="102"/>
      <c r="V56" s="25"/>
      <c r="W56" s="102"/>
      <c r="X56" s="25"/>
      <c r="Y56" s="102"/>
    </row>
    <row r="57" spans="10:24" ht="12.75">
      <c r="J57" s="25"/>
      <c r="L57" s="25"/>
      <c r="N57" s="25"/>
      <c r="P57" s="25"/>
      <c r="R57" s="25"/>
      <c r="T57" s="25"/>
      <c r="V57" s="25"/>
      <c r="X57" s="25"/>
    </row>
    <row r="58" spans="10:24" ht="12.75">
      <c r="J58" s="25"/>
      <c r="L58" s="25"/>
      <c r="N58" s="25"/>
      <c r="P58" s="25"/>
      <c r="R58" s="25"/>
      <c r="T58" s="25"/>
      <c r="V58" s="25"/>
      <c r="X58" s="25"/>
    </row>
    <row r="59" spans="10:24" ht="12.75">
      <c r="J59" s="237"/>
      <c r="L59" s="237"/>
      <c r="N59" s="237"/>
      <c r="P59" s="237"/>
      <c r="R59" s="237"/>
      <c r="T59" s="237"/>
      <c r="V59" s="237"/>
      <c r="X59" s="237"/>
    </row>
    <row r="60" spans="10:24" ht="12.75">
      <c r="J60" s="25"/>
      <c r="L60" s="25"/>
      <c r="N60" s="25"/>
      <c r="P60" s="25"/>
      <c r="R60" s="25"/>
      <c r="T60" s="25"/>
      <c r="V60" s="25"/>
      <c r="X60" s="25"/>
    </row>
    <row r="61" spans="10:24" ht="12.75">
      <c r="J61" s="25"/>
      <c r="L61" s="25"/>
      <c r="N61" s="25"/>
      <c r="P61" s="25"/>
      <c r="R61" s="25"/>
      <c r="T61" s="25"/>
      <c r="V61" s="25"/>
      <c r="X61" s="25"/>
    </row>
  </sheetData>
  <sheetProtection/>
  <mergeCells count="1">
    <mergeCell ref="A5:Y5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&amp;C&amp;8Dotacje - str.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E79"/>
  <sheetViews>
    <sheetView zoomScalePageLayoutView="0" workbookViewId="0" topLeftCell="A1">
      <selection activeCell="T24" sqref="T24"/>
    </sheetView>
  </sheetViews>
  <sheetFormatPr defaultColWidth="9.00390625" defaultRowHeight="12.75"/>
  <cols>
    <col min="1" max="1" width="5.25390625" style="7" customWidth="1"/>
    <col min="2" max="2" width="7.75390625" style="7" customWidth="1"/>
    <col min="3" max="3" width="5.75390625" style="7" customWidth="1"/>
    <col min="4" max="4" width="29.75390625" style="7" customWidth="1"/>
    <col min="5" max="5" width="40.25390625" style="0" hidden="1" customWidth="1"/>
    <col min="6" max="6" width="6.75390625" style="0" hidden="1" customWidth="1"/>
    <col min="7" max="7" width="43.375" style="0" hidden="1" customWidth="1"/>
    <col min="8" max="8" width="7.875" style="0" hidden="1" customWidth="1"/>
    <col min="9" max="9" width="13.75390625" style="0" hidden="1" customWidth="1"/>
    <col min="10" max="10" width="15.875" style="0" hidden="1" customWidth="1"/>
    <col min="11" max="11" width="13.125" style="0" hidden="1" customWidth="1"/>
    <col min="12" max="12" width="14.00390625" style="0" hidden="1" customWidth="1"/>
    <col min="13" max="13" width="13.875" style="0" hidden="1" customWidth="1"/>
    <col min="14" max="14" width="8.875" style="0" hidden="1" customWidth="1"/>
    <col min="15" max="15" width="13.875" style="0" hidden="1" customWidth="1"/>
    <col min="16" max="16" width="14.00390625" style="0" hidden="1" customWidth="1"/>
    <col min="17" max="17" width="16.125" style="0" hidden="1" customWidth="1"/>
    <col min="18" max="18" width="14.00390625" style="0" hidden="1" customWidth="1"/>
    <col min="19" max="19" width="13.875" style="0" customWidth="1"/>
    <col min="20" max="20" width="14.00390625" style="0" customWidth="1"/>
    <col min="21" max="21" width="13.875" style="0" customWidth="1"/>
  </cols>
  <sheetData>
    <row r="1" spans="5:21" ht="12.75">
      <c r="E1" s="57" t="s">
        <v>359</v>
      </c>
      <c r="F1" s="57"/>
      <c r="G1" s="57" t="s">
        <v>417</v>
      </c>
      <c r="H1" s="57"/>
      <c r="I1" s="57" t="s">
        <v>461</v>
      </c>
      <c r="J1" s="57"/>
      <c r="K1" s="57" t="s">
        <v>482</v>
      </c>
      <c r="L1" s="57"/>
      <c r="M1" s="57" t="s">
        <v>491</v>
      </c>
      <c r="N1" s="57"/>
      <c r="O1" s="57" t="s">
        <v>508</v>
      </c>
      <c r="P1" s="57"/>
      <c r="Q1" s="57" t="s">
        <v>515</v>
      </c>
      <c r="R1" s="57"/>
      <c r="S1" s="57" t="s">
        <v>538</v>
      </c>
      <c r="T1" s="57"/>
      <c r="U1" s="57"/>
    </row>
    <row r="2" spans="4:21" ht="12.75">
      <c r="D2" s="7" t="s">
        <v>208</v>
      </c>
      <c r="E2" s="57" t="s">
        <v>352</v>
      </c>
      <c r="F2" s="57"/>
      <c r="G2" s="57" t="s">
        <v>418</v>
      </c>
      <c r="H2" s="57"/>
      <c r="I2" s="57" t="s">
        <v>457</v>
      </c>
      <c r="J2" s="57"/>
      <c r="K2" s="57" t="s">
        <v>479</v>
      </c>
      <c r="L2" s="57"/>
      <c r="M2" s="57" t="s">
        <v>490</v>
      </c>
      <c r="N2" s="57"/>
      <c r="O2" s="57" t="s">
        <v>499</v>
      </c>
      <c r="P2" s="57"/>
      <c r="Q2" s="57" t="s">
        <v>512</v>
      </c>
      <c r="R2" s="57"/>
      <c r="S2" s="57" t="s">
        <v>521</v>
      </c>
      <c r="T2" s="57"/>
      <c r="U2" s="57"/>
    </row>
    <row r="3" spans="4:21" ht="12.75">
      <c r="D3" s="7" t="s">
        <v>206</v>
      </c>
      <c r="E3" s="57" t="s">
        <v>360</v>
      </c>
      <c r="F3" s="57"/>
      <c r="G3" s="57" t="s">
        <v>359</v>
      </c>
      <c r="H3" s="57"/>
      <c r="I3" s="57" t="s">
        <v>417</v>
      </c>
      <c r="J3" s="57"/>
      <c r="K3" s="57" t="s">
        <v>461</v>
      </c>
      <c r="L3" s="57"/>
      <c r="M3" s="57" t="s">
        <v>482</v>
      </c>
      <c r="N3" s="57"/>
      <c r="O3" s="57" t="s">
        <v>498</v>
      </c>
      <c r="P3" s="57"/>
      <c r="Q3" s="57" t="s">
        <v>508</v>
      </c>
      <c r="R3" s="57"/>
      <c r="S3" s="57" t="s">
        <v>515</v>
      </c>
      <c r="T3" s="57"/>
      <c r="U3" s="57"/>
    </row>
    <row r="4" spans="5:21" ht="12.75">
      <c r="E4" s="57" t="s">
        <v>350</v>
      </c>
      <c r="F4" s="57"/>
      <c r="G4" s="57" t="s">
        <v>364</v>
      </c>
      <c r="H4" s="57"/>
      <c r="I4" s="57" t="s">
        <v>427</v>
      </c>
      <c r="J4" s="57"/>
      <c r="K4" s="57" t="s">
        <v>474</v>
      </c>
      <c r="L4" s="57"/>
      <c r="M4" s="57" t="s">
        <v>488</v>
      </c>
      <c r="N4" s="57"/>
      <c r="O4" s="57" t="s">
        <v>492</v>
      </c>
      <c r="P4" s="57"/>
      <c r="Q4" s="57" t="s">
        <v>510</v>
      </c>
      <c r="R4" s="57"/>
      <c r="S4" s="57" t="s">
        <v>516</v>
      </c>
      <c r="T4" s="57"/>
      <c r="U4" s="57"/>
    </row>
    <row r="5" spans="1:21" ht="36" customHeight="1">
      <c r="A5" s="333" t="s">
        <v>311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</row>
    <row r="6" spans="1:21" s="7" customFormat="1" ht="24.75" customHeight="1">
      <c r="A6" s="11" t="s">
        <v>0</v>
      </c>
      <c r="B6" s="11" t="s">
        <v>1</v>
      </c>
      <c r="C6" s="11" t="s">
        <v>2</v>
      </c>
      <c r="D6" s="17" t="s">
        <v>3</v>
      </c>
      <c r="E6" s="105" t="s">
        <v>361</v>
      </c>
      <c r="F6" s="105" t="s">
        <v>335</v>
      </c>
      <c r="G6" s="105" t="s">
        <v>363</v>
      </c>
      <c r="H6" s="105" t="s">
        <v>335</v>
      </c>
      <c r="I6" s="105" t="s">
        <v>143</v>
      </c>
      <c r="J6" s="105" t="s">
        <v>335</v>
      </c>
      <c r="K6" s="105" t="s">
        <v>143</v>
      </c>
      <c r="L6" s="105" t="s">
        <v>335</v>
      </c>
      <c r="M6" s="105" t="s">
        <v>143</v>
      </c>
      <c r="N6" s="105" t="s">
        <v>335</v>
      </c>
      <c r="O6" s="105" t="s">
        <v>143</v>
      </c>
      <c r="P6" s="105" t="s">
        <v>335</v>
      </c>
      <c r="Q6" s="105" t="s">
        <v>143</v>
      </c>
      <c r="R6" s="105" t="s">
        <v>335</v>
      </c>
      <c r="S6" s="105" t="s">
        <v>143</v>
      </c>
      <c r="T6" s="105" t="s">
        <v>335</v>
      </c>
      <c r="U6" s="105" t="s">
        <v>348</v>
      </c>
    </row>
    <row r="7" spans="1:21" s="7" customFormat="1" ht="24.75" customHeight="1">
      <c r="A7" s="31" t="s">
        <v>4</v>
      </c>
      <c r="B7" s="17"/>
      <c r="C7" s="11"/>
      <c r="D7" s="30" t="s">
        <v>5</v>
      </c>
      <c r="E7" s="105"/>
      <c r="F7" s="105"/>
      <c r="G7" s="105"/>
      <c r="H7" s="105"/>
      <c r="I7" s="105"/>
      <c r="J7" s="105"/>
      <c r="K7" s="299">
        <f aca="true" t="shared" si="0" ref="K7:U7">SUM(K8)</f>
        <v>0</v>
      </c>
      <c r="L7" s="269">
        <f t="shared" si="0"/>
        <v>271797</v>
      </c>
      <c r="M7" s="269">
        <f t="shared" si="0"/>
        <v>271797</v>
      </c>
      <c r="N7" s="269">
        <f t="shared" si="0"/>
        <v>0</v>
      </c>
      <c r="O7" s="269">
        <f t="shared" si="0"/>
        <v>271797</v>
      </c>
      <c r="P7" s="269">
        <f t="shared" si="0"/>
        <v>0</v>
      </c>
      <c r="Q7" s="269">
        <f t="shared" si="0"/>
        <v>271797</v>
      </c>
      <c r="R7" s="269">
        <f t="shared" si="0"/>
        <v>0</v>
      </c>
      <c r="S7" s="269">
        <f t="shared" si="0"/>
        <v>271797</v>
      </c>
      <c r="T7" s="269">
        <f t="shared" si="0"/>
        <v>0</v>
      </c>
      <c r="U7" s="269">
        <f t="shared" si="0"/>
        <v>271797</v>
      </c>
    </row>
    <row r="8" spans="1:21" s="7" customFormat="1" ht="24.75" customHeight="1">
      <c r="A8" s="11"/>
      <c r="B8" s="84" t="s">
        <v>242</v>
      </c>
      <c r="C8" s="70"/>
      <c r="D8" s="38" t="s">
        <v>6</v>
      </c>
      <c r="E8" s="105"/>
      <c r="F8" s="105"/>
      <c r="G8" s="105"/>
      <c r="H8" s="105"/>
      <c r="I8" s="105"/>
      <c r="J8" s="105"/>
      <c r="K8" s="299">
        <f aca="true" t="shared" si="1" ref="K8:Q8">SUM(K9:K16)</f>
        <v>0</v>
      </c>
      <c r="L8" s="268">
        <f t="shared" si="1"/>
        <v>271797</v>
      </c>
      <c r="M8" s="268">
        <f t="shared" si="1"/>
        <v>271797</v>
      </c>
      <c r="N8" s="268">
        <f t="shared" si="1"/>
        <v>0</v>
      </c>
      <c r="O8" s="268">
        <f t="shared" si="1"/>
        <v>271797</v>
      </c>
      <c r="P8" s="268">
        <f t="shared" si="1"/>
        <v>0</v>
      </c>
      <c r="Q8" s="268">
        <f t="shared" si="1"/>
        <v>271797</v>
      </c>
      <c r="R8" s="268">
        <f>SUM(R9:R16)</f>
        <v>0</v>
      </c>
      <c r="S8" s="268">
        <f>SUM(S9:S16)</f>
        <v>271797</v>
      </c>
      <c r="T8" s="268">
        <f>SUM(T9:T16)</f>
        <v>0</v>
      </c>
      <c r="U8" s="268">
        <f>SUM(U9:U16)</f>
        <v>271797</v>
      </c>
    </row>
    <row r="9" spans="1:21" s="7" customFormat="1" ht="24.75" customHeight="1">
      <c r="A9" s="11"/>
      <c r="B9" s="84"/>
      <c r="C9" s="70">
        <v>4010</v>
      </c>
      <c r="D9" s="38" t="s">
        <v>84</v>
      </c>
      <c r="E9" s="105"/>
      <c r="F9" s="105"/>
      <c r="G9" s="105"/>
      <c r="H9" s="105"/>
      <c r="I9" s="105"/>
      <c r="J9" s="105"/>
      <c r="K9" s="299">
        <v>0</v>
      </c>
      <c r="L9" s="81">
        <v>3378</v>
      </c>
      <c r="M9" s="299">
        <f>SUM(K9:L9)</f>
        <v>3378</v>
      </c>
      <c r="N9" s="81"/>
      <c r="O9" s="299">
        <f>SUM(M9:N9)</f>
        <v>3378</v>
      </c>
      <c r="P9" s="81"/>
      <c r="Q9" s="299">
        <f>SUM(O9:P9)</f>
        <v>3378</v>
      </c>
      <c r="R9" s="81"/>
      <c r="S9" s="299">
        <f>SUM(Q9:R9)</f>
        <v>3378</v>
      </c>
      <c r="T9" s="81"/>
      <c r="U9" s="299">
        <f>SUM(S9:T9)</f>
        <v>3378</v>
      </c>
    </row>
    <row r="10" spans="1:21" s="7" customFormat="1" ht="24.75" customHeight="1">
      <c r="A10" s="11"/>
      <c r="B10" s="84"/>
      <c r="C10" s="70">
        <v>4110</v>
      </c>
      <c r="D10" s="38" t="s">
        <v>86</v>
      </c>
      <c r="E10" s="105"/>
      <c r="F10" s="105"/>
      <c r="G10" s="105"/>
      <c r="H10" s="105"/>
      <c r="I10" s="105"/>
      <c r="J10" s="105"/>
      <c r="K10" s="299">
        <v>0</v>
      </c>
      <c r="L10" s="81">
        <v>513</v>
      </c>
      <c r="M10" s="299">
        <f aca="true" t="shared" si="2" ref="M10:M16">SUM(K10:L10)</f>
        <v>513</v>
      </c>
      <c r="N10" s="81"/>
      <c r="O10" s="299">
        <f aca="true" t="shared" si="3" ref="O10:O16">SUM(M10:N10)</f>
        <v>513</v>
      </c>
      <c r="P10" s="81"/>
      <c r="Q10" s="299">
        <f aca="true" t="shared" si="4" ref="Q10:Q16">SUM(O10:P10)</f>
        <v>513</v>
      </c>
      <c r="R10" s="81"/>
      <c r="S10" s="299">
        <f aca="true" t="shared" si="5" ref="S10:S16">SUM(Q10:R10)</f>
        <v>513</v>
      </c>
      <c r="T10" s="81"/>
      <c r="U10" s="299">
        <f aca="true" t="shared" si="6" ref="U10:U16">SUM(S10:T10)</f>
        <v>513</v>
      </c>
    </row>
    <row r="11" spans="1:21" s="7" customFormat="1" ht="24.75" customHeight="1">
      <c r="A11" s="11"/>
      <c r="B11" s="84"/>
      <c r="C11" s="70">
        <v>4120</v>
      </c>
      <c r="D11" s="38" t="s">
        <v>87</v>
      </c>
      <c r="E11" s="105"/>
      <c r="F11" s="105"/>
      <c r="G11" s="105"/>
      <c r="H11" s="105"/>
      <c r="I11" s="105"/>
      <c r="J11" s="105"/>
      <c r="K11" s="299">
        <v>0</v>
      </c>
      <c r="L11" s="81">
        <v>82</v>
      </c>
      <c r="M11" s="299">
        <f t="shared" si="2"/>
        <v>82</v>
      </c>
      <c r="N11" s="81"/>
      <c r="O11" s="299">
        <f t="shared" si="3"/>
        <v>82</v>
      </c>
      <c r="P11" s="81"/>
      <c r="Q11" s="299">
        <f t="shared" si="4"/>
        <v>82</v>
      </c>
      <c r="R11" s="81"/>
      <c r="S11" s="299">
        <f t="shared" si="5"/>
        <v>82</v>
      </c>
      <c r="T11" s="81"/>
      <c r="U11" s="299">
        <f t="shared" si="6"/>
        <v>82</v>
      </c>
    </row>
    <row r="12" spans="1:21" s="7" customFormat="1" ht="24.75" customHeight="1">
      <c r="A12" s="11"/>
      <c r="B12" s="84"/>
      <c r="C12" s="70">
        <v>4210</v>
      </c>
      <c r="D12" s="38" t="s">
        <v>72</v>
      </c>
      <c r="E12" s="105"/>
      <c r="F12" s="105"/>
      <c r="G12" s="105"/>
      <c r="H12" s="105"/>
      <c r="I12" s="105"/>
      <c r="J12" s="105"/>
      <c r="K12" s="299">
        <v>0</v>
      </c>
      <c r="L12" s="81">
        <v>251</v>
      </c>
      <c r="M12" s="299">
        <f t="shared" si="2"/>
        <v>251</v>
      </c>
      <c r="N12" s="81"/>
      <c r="O12" s="299">
        <f t="shared" si="3"/>
        <v>251</v>
      </c>
      <c r="P12" s="81"/>
      <c r="Q12" s="299">
        <f t="shared" si="4"/>
        <v>251</v>
      </c>
      <c r="R12" s="81"/>
      <c r="S12" s="299">
        <f t="shared" si="5"/>
        <v>251</v>
      </c>
      <c r="T12" s="81"/>
      <c r="U12" s="299">
        <f t="shared" si="6"/>
        <v>251</v>
      </c>
    </row>
    <row r="13" spans="1:21" s="7" customFormat="1" ht="24.75" customHeight="1">
      <c r="A13" s="11"/>
      <c r="B13" s="84"/>
      <c r="C13" s="70">
        <v>4300</v>
      </c>
      <c r="D13" s="38" t="s">
        <v>79</v>
      </c>
      <c r="E13" s="105"/>
      <c r="F13" s="105"/>
      <c r="G13" s="105"/>
      <c r="H13" s="105"/>
      <c r="I13" s="105"/>
      <c r="J13" s="105"/>
      <c r="K13" s="299">
        <v>0</v>
      </c>
      <c r="L13" s="81">
        <v>822</v>
      </c>
      <c r="M13" s="299">
        <f t="shared" si="2"/>
        <v>822</v>
      </c>
      <c r="N13" s="81"/>
      <c r="O13" s="299">
        <f t="shared" si="3"/>
        <v>822</v>
      </c>
      <c r="P13" s="81"/>
      <c r="Q13" s="299">
        <f t="shared" si="4"/>
        <v>822</v>
      </c>
      <c r="R13" s="81"/>
      <c r="S13" s="299">
        <f t="shared" si="5"/>
        <v>822</v>
      </c>
      <c r="T13" s="81"/>
      <c r="U13" s="299">
        <f t="shared" si="6"/>
        <v>822</v>
      </c>
    </row>
    <row r="14" spans="1:21" s="7" customFormat="1" ht="24.75" customHeight="1">
      <c r="A14" s="11"/>
      <c r="B14" s="84"/>
      <c r="C14" s="70">
        <v>4430</v>
      </c>
      <c r="D14" s="38" t="s">
        <v>94</v>
      </c>
      <c r="E14" s="105"/>
      <c r="F14" s="105"/>
      <c r="G14" s="105"/>
      <c r="H14" s="105"/>
      <c r="I14" s="105"/>
      <c r="J14" s="105"/>
      <c r="K14" s="299">
        <v>0</v>
      </c>
      <c r="L14" s="81">
        <v>266467</v>
      </c>
      <c r="M14" s="299">
        <f t="shared" si="2"/>
        <v>266467</v>
      </c>
      <c r="N14" s="81"/>
      <c r="O14" s="299">
        <f t="shared" si="3"/>
        <v>266467</v>
      </c>
      <c r="P14" s="81"/>
      <c r="Q14" s="299">
        <f t="shared" si="4"/>
        <v>266467</v>
      </c>
      <c r="R14" s="81"/>
      <c r="S14" s="299">
        <f t="shared" si="5"/>
        <v>266467</v>
      </c>
      <c r="T14" s="81"/>
      <c r="U14" s="299">
        <f t="shared" si="6"/>
        <v>266467</v>
      </c>
    </row>
    <row r="15" spans="1:21" s="7" customFormat="1" ht="24.75" customHeight="1">
      <c r="A15" s="11"/>
      <c r="B15" s="84"/>
      <c r="C15" s="70">
        <v>4740</v>
      </c>
      <c r="D15" s="38" t="s">
        <v>267</v>
      </c>
      <c r="E15" s="105"/>
      <c r="F15" s="105"/>
      <c r="G15" s="105"/>
      <c r="H15" s="105"/>
      <c r="I15" s="105"/>
      <c r="J15" s="105"/>
      <c r="K15" s="299">
        <v>0</v>
      </c>
      <c r="L15" s="81">
        <v>25</v>
      </c>
      <c r="M15" s="299">
        <f t="shared" si="2"/>
        <v>25</v>
      </c>
      <c r="N15" s="81"/>
      <c r="O15" s="299">
        <f t="shared" si="3"/>
        <v>25</v>
      </c>
      <c r="P15" s="81"/>
      <c r="Q15" s="299">
        <f t="shared" si="4"/>
        <v>25</v>
      </c>
      <c r="R15" s="81"/>
      <c r="S15" s="299">
        <f t="shared" si="5"/>
        <v>25</v>
      </c>
      <c r="T15" s="81"/>
      <c r="U15" s="299">
        <f t="shared" si="6"/>
        <v>25</v>
      </c>
    </row>
    <row r="16" spans="1:21" s="7" customFormat="1" ht="24" customHeight="1">
      <c r="A16" s="11"/>
      <c r="B16" s="84"/>
      <c r="C16" s="70">
        <v>4750</v>
      </c>
      <c r="D16" s="38" t="s">
        <v>485</v>
      </c>
      <c r="E16" s="105"/>
      <c r="F16" s="105"/>
      <c r="G16" s="105"/>
      <c r="H16" s="105"/>
      <c r="I16" s="105"/>
      <c r="J16" s="105"/>
      <c r="K16" s="299">
        <v>0</v>
      </c>
      <c r="L16" s="81">
        <v>259</v>
      </c>
      <c r="M16" s="299">
        <f t="shared" si="2"/>
        <v>259</v>
      </c>
      <c r="N16" s="81"/>
      <c r="O16" s="299">
        <f t="shared" si="3"/>
        <v>259</v>
      </c>
      <c r="P16" s="81"/>
      <c r="Q16" s="299">
        <f t="shared" si="4"/>
        <v>259</v>
      </c>
      <c r="R16" s="81"/>
      <c r="S16" s="299">
        <f t="shared" si="5"/>
        <v>259</v>
      </c>
      <c r="T16" s="81"/>
      <c r="U16" s="299">
        <f t="shared" si="6"/>
        <v>259</v>
      </c>
    </row>
    <row r="17" spans="1:21" s="24" customFormat="1" ht="21" customHeight="1">
      <c r="A17" s="31" t="s">
        <v>15</v>
      </c>
      <c r="B17" s="4"/>
      <c r="C17" s="20"/>
      <c r="D17" s="30" t="s">
        <v>16</v>
      </c>
      <c r="E17" s="41">
        <f aca="true" t="shared" si="7" ref="E17:R17">SUM(E18)</f>
        <v>156600</v>
      </c>
      <c r="F17" s="41">
        <f t="shared" si="7"/>
        <v>0</v>
      </c>
      <c r="G17" s="41">
        <f t="shared" si="7"/>
        <v>156600</v>
      </c>
      <c r="H17" s="41">
        <f t="shared" si="7"/>
        <v>0</v>
      </c>
      <c r="I17" s="41">
        <f t="shared" si="7"/>
        <v>156600</v>
      </c>
      <c r="J17" s="41">
        <f t="shared" si="7"/>
        <v>0</v>
      </c>
      <c r="K17" s="41">
        <f t="shared" si="7"/>
        <v>156600</v>
      </c>
      <c r="L17" s="41">
        <f t="shared" si="7"/>
        <v>0</v>
      </c>
      <c r="M17" s="41">
        <f t="shared" si="7"/>
        <v>156600</v>
      </c>
      <c r="N17" s="41">
        <f t="shared" si="7"/>
        <v>0</v>
      </c>
      <c r="O17" s="41">
        <f t="shared" si="7"/>
        <v>156600</v>
      </c>
      <c r="P17" s="41">
        <f t="shared" si="7"/>
        <v>0</v>
      </c>
      <c r="Q17" s="41">
        <f t="shared" si="7"/>
        <v>156600</v>
      </c>
      <c r="R17" s="41">
        <f t="shared" si="7"/>
        <v>0</v>
      </c>
      <c r="S17" s="41">
        <f>SUM(S18,S24)</f>
        <v>156600</v>
      </c>
      <c r="T17" s="41">
        <f>SUM(T18,T24)</f>
        <v>14329</v>
      </c>
      <c r="U17" s="41">
        <f>SUM(U18,U24)</f>
        <v>170929</v>
      </c>
    </row>
    <row r="18" spans="1:21" s="24" customFormat="1" ht="21" customHeight="1">
      <c r="A18" s="73"/>
      <c r="B18" s="73">
        <v>75011</v>
      </c>
      <c r="C18" s="80"/>
      <c r="D18" s="77" t="s">
        <v>17</v>
      </c>
      <c r="E18" s="92">
        <f aca="true" t="shared" si="8" ref="E18:K18">SUM(E19:E23)</f>
        <v>156600</v>
      </c>
      <c r="F18" s="92">
        <f t="shared" si="8"/>
        <v>0</v>
      </c>
      <c r="G18" s="92">
        <f t="shared" si="8"/>
        <v>156600</v>
      </c>
      <c r="H18" s="92">
        <f t="shared" si="8"/>
        <v>0</v>
      </c>
      <c r="I18" s="92">
        <f t="shared" si="8"/>
        <v>156600</v>
      </c>
      <c r="J18" s="92">
        <f t="shared" si="8"/>
        <v>0</v>
      </c>
      <c r="K18" s="92">
        <f t="shared" si="8"/>
        <v>156600</v>
      </c>
      <c r="L18" s="92">
        <f aca="true" t="shared" si="9" ref="L18:Q18">SUM(L19:L23)</f>
        <v>0</v>
      </c>
      <c r="M18" s="92">
        <f t="shared" si="9"/>
        <v>156600</v>
      </c>
      <c r="N18" s="92">
        <f t="shared" si="9"/>
        <v>0</v>
      </c>
      <c r="O18" s="92">
        <f t="shared" si="9"/>
        <v>156600</v>
      </c>
      <c r="P18" s="92">
        <f t="shared" si="9"/>
        <v>0</v>
      </c>
      <c r="Q18" s="92">
        <f t="shared" si="9"/>
        <v>156600</v>
      </c>
      <c r="R18" s="92">
        <f>SUM(R19:R23)</f>
        <v>0</v>
      </c>
      <c r="S18" s="92">
        <f>SUM(S19:S23)</f>
        <v>156600</v>
      </c>
      <c r="T18" s="92">
        <f>SUM(T19:T23)</f>
        <v>0</v>
      </c>
      <c r="U18" s="92">
        <f>SUM(U19:U23)</f>
        <v>156600</v>
      </c>
    </row>
    <row r="19" spans="1:21" s="24" customFormat="1" ht="21" customHeight="1">
      <c r="A19" s="73"/>
      <c r="B19" s="47"/>
      <c r="C19" s="74">
        <v>4010</v>
      </c>
      <c r="D19" s="77" t="s">
        <v>84</v>
      </c>
      <c r="E19" s="92">
        <v>105300</v>
      </c>
      <c r="F19" s="92"/>
      <c r="G19" s="92">
        <f>SUM(E19:F19)</f>
        <v>105300</v>
      </c>
      <c r="H19" s="92">
        <v>1657</v>
      </c>
      <c r="I19" s="92">
        <f>SUM(G19:H19)</f>
        <v>106957</v>
      </c>
      <c r="J19" s="92"/>
      <c r="K19" s="92">
        <f>SUM(I19:J19)</f>
        <v>106957</v>
      </c>
      <c r="L19" s="92"/>
      <c r="M19" s="92">
        <f>SUM(K19:L19)</f>
        <v>106957</v>
      </c>
      <c r="N19" s="92"/>
      <c r="O19" s="92">
        <f>SUM(M19:N19)</f>
        <v>106957</v>
      </c>
      <c r="P19" s="92"/>
      <c r="Q19" s="92">
        <f>SUM(O19:P19)</f>
        <v>106957</v>
      </c>
      <c r="R19" s="92"/>
      <c r="S19" s="92">
        <f>SUM(Q19:R19)</f>
        <v>106957</v>
      </c>
      <c r="T19" s="92"/>
      <c r="U19" s="92">
        <f>SUM(S19:T19)</f>
        <v>106957</v>
      </c>
    </row>
    <row r="20" spans="1:21" s="24" customFormat="1" ht="21" customHeight="1">
      <c r="A20" s="73"/>
      <c r="B20" s="47"/>
      <c r="C20" s="74">
        <v>4040</v>
      </c>
      <c r="D20" s="77" t="s">
        <v>85</v>
      </c>
      <c r="E20" s="92">
        <v>22400</v>
      </c>
      <c r="F20" s="92"/>
      <c r="G20" s="92">
        <f>SUM(E20:F20)</f>
        <v>22400</v>
      </c>
      <c r="H20" s="92">
        <v>-2312</v>
      </c>
      <c r="I20" s="92">
        <f>SUM(G20:H20)</f>
        <v>20088</v>
      </c>
      <c r="J20" s="92"/>
      <c r="K20" s="92">
        <f>SUM(I20:J20)</f>
        <v>20088</v>
      </c>
      <c r="L20" s="92"/>
      <c r="M20" s="92">
        <f>SUM(K20:L20)</f>
        <v>20088</v>
      </c>
      <c r="N20" s="92"/>
      <c r="O20" s="92">
        <f>SUM(M20:N20)</f>
        <v>20088</v>
      </c>
      <c r="P20" s="92"/>
      <c r="Q20" s="92">
        <f>SUM(O20:P20)</f>
        <v>20088</v>
      </c>
      <c r="R20" s="92"/>
      <c r="S20" s="92">
        <f>SUM(Q20:R20)</f>
        <v>20088</v>
      </c>
      <c r="T20" s="92"/>
      <c r="U20" s="92">
        <f>SUM(S20:T20)</f>
        <v>20088</v>
      </c>
    </row>
    <row r="21" spans="1:21" s="24" customFormat="1" ht="21" customHeight="1">
      <c r="A21" s="73"/>
      <c r="B21" s="47"/>
      <c r="C21" s="74">
        <v>4110</v>
      </c>
      <c r="D21" s="77" t="s">
        <v>86</v>
      </c>
      <c r="E21" s="92">
        <v>16500</v>
      </c>
      <c r="F21" s="92"/>
      <c r="G21" s="92">
        <f>SUM(E21:F21)</f>
        <v>16500</v>
      </c>
      <c r="H21" s="92"/>
      <c r="I21" s="92">
        <f>SUM(G21:H21)</f>
        <v>16500</v>
      </c>
      <c r="J21" s="92"/>
      <c r="K21" s="92">
        <f>SUM(I21:J21)</f>
        <v>16500</v>
      </c>
      <c r="L21" s="92"/>
      <c r="M21" s="92">
        <f>SUM(K21:L21)</f>
        <v>16500</v>
      </c>
      <c r="N21" s="92"/>
      <c r="O21" s="92">
        <f>SUM(M21:N21)</f>
        <v>16500</v>
      </c>
      <c r="P21" s="92"/>
      <c r="Q21" s="92">
        <f>SUM(O21:P21)</f>
        <v>16500</v>
      </c>
      <c r="R21" s="92"/>
      <c r="S21" s="92">
        <f>SUM(Q21:R21)</f>
        <v>16500</v>
      </c>
      <c r="T21" s="92"/>
      <c r="U21" s="92">
        <f>SUM(S21:T21)</f>
        <v>16500</v>
      </c>
    </row>
    <row r="22" spans="1:21" s="24" customFormat="1" ht="21" customHeight="1">
      <c r="A22" s="73"/>
      <c r="B22" s="47"/>
      <c r="C22" s="74">
        <v>4120</v>
      </c>
      <c r="D22" s="77" t="s">
        <v>87</v>
      </c>
      <c r="E22" s="92">
        <v>3100</v>
      </c>
      <c r="F22" s="92"/>
      <c r="G22" s="92">
        <f>SUM(E22:F22)</f>
        <v>3100</v>
      </c>
      <c r="H22" s="92"/>
      <c r="I22" s="92">
        <f>SUM(G22:H22)</f>
        <v>3100</v>
      </c>
      <c r="J22" s="92"/>
      <c r="K22" s="92">
        <f>SUM(I22:J22)</f>
        <v>3100</v>
      </c>
      <c r="L22" s="92"/>
      <c r="M22" s="92">
        <f>SUM(K22:L22)</f>
        <v>3100</v>
      </c>
      <c r="N22" s="92"/>
      <c r="O22" s="92">
        <f>SUM(M22:N22)</f>
        <v>3100</v>
      </c>
      <c r="P22" s="92"/>
      <c r="Q22" s="92">
        <f>SUM(O22:P22)</f>
        <v>3100</v>
      </c>
      <c r="R22" s="92"/>
      <c r="S22" s="92">
        <f>SUM(Q22:R22)</f>
        <v>3100</v>
      </c>
      <c r="T22" s="92"/>
      <c r="U22" s="92">
        <f>SUM(S22:T22)</f>
        <v>3100</v>
      </c>
    </row>
    <row r="23" spans="1:21" s="24" customFormat="1" ht="22.5">
      <c r="A23" s="73"/>
      <c r="B23" s="47"/>
      <c r="C23" s="75">
        <v>4440</v>
      </c>
      <c r="D23" s="77" t="s">
        <v>88</v>
      </c>
      <c r="E23" s="92">
        <v>9300</v>
      </c>
      <c r="F23" s="92"/>
      <c r="G23" s="92">
        <f>SUM(E23:F23)</f>
        <v>9300</v>
      </c>
      <c r="H23" s="92">
        <v>655</v>
      </c>
      <c r="I23" s="92">
        <f>SUM(G23:H23)</f>
        <v>9955</v>
      </c>
      <c r="J23" s="92"/>
      <c r="K23" s="92">
        <f>SUM(I23:J23)</f>
        <v>9955</v>
      </c>
      <c r="L23" s="92"/>
      <c r="M23" s="92">
        <f>SUM(K23:L23)</f>
        <v>9955</v>
      </c>
      <c r="N23" s="92"/>
      <c r="O23" s="92">
        <f>SUM(M23:N23)</f>
        <v>9955</v>
      </c>
      <c r="P23" s="92"/>
      <c r="Q23" s="92">
        <f>SUM(O23:P23)</f>
        <v>9955</v>
      </c>
      <c r="R23" s="92"/>
      <c r="S23" s="92">
        <f>SUM(Q23:R23)</f>
        <v>9955</v>
      </c>
      <c r="T23" s="92"/>
      <c r="U23" s="92">
        <f>SUM(S23:T23)</f>
        <v>9955</v>
      </c>
    </row>
    <row r="24" spans="1:21" s="24" customFormat="1" ht="19.5" customHeight="1">
      <c r="A24" s="73"/>
      <c r="B24" s="47">
        <v>75056</v>
      </c>
      <c r="C24" s="75"/>
      <c r="D24" s="77" t="s">
        <v>518</v>
      </c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>
        <f>SUM(S25:S31)</f>
        <v>0</v>
      </c>
      <c r="T24" s="92">
        <f>SUM(T25:T31)</f>
        <v>14329</v>
      </c>
      <c r="U24" s="92">
        <f>SUM(U25:U31)</f>
        <v>14329</v>
      </c>
    </row>
    <row r="25" spans="1:21" s="24" customFormat="1" ht="22.5">
      <c r="A25" s="73"/>
      <c r="B25" s="47"/>
      <c r="C25" s="75">
        <v>3020</v>
      </c>
      <c r="D25" s="38" t="s">
        <v>188</v>
      </c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>
        <v>0</v>
      </c>
      <c r="T25" s="92">
        <v>11500</v>
      </c>
      <c r="U25" s="92">
        <f aca="true" t="shared" si="10" ref="U25:U31">SUM(S25:T25)</f>
        <v>11500</v>
      </c>
    </row>
    <row r="26" spans="1:21" s="24" customFormat="1" ht="19.5" customHeight="1">
      <c r="A26" s="73"/>
      <c r="B26" s="47"/>
      <c r="C26" s="75">
        <v>4110</v>
      </c>
      <c r="D26" s="77" t="s">
        <v>86</v>
      </c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>
        <v>0</v>
      </c>
      <c r="T26" s="92">
        <v>1747</v>
      </c>
      <c r="U26" s="92">
        <f t="shared" si="10"/>
        <v>1747</v>
      </c>
    </row>
    <row r="27" spans="1:21" s="24" customFormat="1" ht="19.5" customHeight="1">
      <c r="A27" s="73"/>
      <c r="B27" s="47"/>
      <c r="C27" s="75">
        <v>4120</v>
      </c>
      <c r="D27" s="77" t="s">
        <v>87</v>
      </c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>
        <v>0</v>
      </c>
      <c r="T27" s="92">
        <v>282</v>
      </c>
      <c r="U27" s="92">
        <f t="shared" si="10"/>
        <v>282</v>
      </c>
    </row>
    <row r="28" spans="1:21" s="24" customFormat="1" ht="19.5" customHeight="1">
      <c r="A28" s="73"/>
      <c r="B28" s="47"/>
      <c r="C28" s="75">
        <v>4210</v>
      </c>
      <c r="D28" s="38" t="s">
        <v>92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>
        <v>0</v>
      </c>
      <c r="T28" s="92">
        <v>85</v>
      </c>
      <c r="U28" s="92">
        <f t="shared" si="10"/>
        <v>85</v>
      </c>
    </row>
    <row r="29" spans="1:21" s="24" customFormat="1" ht="19.5" customHeight="1">
      <c r="A29" s="73"/>
      <c r="B29" s="47"/>
      <c r="C29" s="75">
        <v>4410</v>
      </c>
      <c r="D29" s="38" t="s">
        <v>90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>
        <v>0</v>
      </c>
      <c r="T29" s="92">
        <v>640</v>
      </c>
      <c r="U29" s="92">
        <f t="shared" si="10"/>
        <v>640</v>
      </c>
    </row>
    <row r="30" spans="1:21" s="24" customFormat="1" ht="40.5" customHeight="1">
      <c r="A30" s="73"/>
      <c r="B30" s="47"/>
      <c r="C30" s="75">
        <v>4740</v>
      </c>
      <c r="D30" s="38" t="s">
        <v>267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>
        <v>0</v>
      </c>
      <c r="T30" s="92">
        <v>25</v>
      </c>
      <c r="U30" s="92">
        <f t="shared" si="10"/>
        <v>25</v>
      </c>
    </row>
    <row r="31" spans="1:21" s="24" customFormat="1" ht="33.75" customHeight="1">
      <c r="A31" s="73"/>
      <c r="B31" s="47"/>
      <c r="C31" s="75">
        <v>4750</v>
      </c>
      <c r="D31" s="38" t="s">
        <v>485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>
        <v>0</v>
      </c>
      <c r="T31" s="92">
        <v>50</v>
      </c>
      <c r="U31" s="92">
        <f t="shared" si="10"/>
        <v>50</v>
      </c>
    </row>
    <row r="32" spans="1:21" s="24" customFormat="1" ht="48">
      <c r="A32" s="31">
        <v>751</v>
      </c>
      <c r="B32" s="4"/>
      <c r="C32" s="20"/>
      <c r="D32" s="30" t="s">
        <v>20</v>
      </c>
      <c r="E32" s="41">
        <f aca="true" t="shared" si="11" ref="E32:J32">E33</f>
        <v>3952</v>
      </c>
      <c r="F32" s="41">
        <f t="shared" si="11"/>
        <v>0</v>
      </c>
      <c r="G32" s="41">
        <f t="shared" si="11"/>
        <v>3952</v>
      </c>
      <c r="H32" s="41">
        <f t="shared" si="11"/>
        <v>0</v>
      </c>
      <c r="I32" s="41">
        <f t="shared" si="11"/>
        <v>3952</v>
      </c>
      <c r="J32" s="41">
        <f t="shared" si="11"/>
        <v>0</v>
      </c>
      <c r="K32" s="41">
        <f aca="true" t="shared" si="12" ref="K32:Q32">SUM(K33,K37)</f>
        <v>3952</v>
      </c>
      <c r="L32" s="41">
        <f t="shared" si="12"/>
        <v>20663</v>
      </c>
      <c r="M32" s="41">
        <f t="shared" si="12"/>
        <v>24615</v>
      </c>
      <c r="N32" s="41">
        <f t="shared" si="12"/>
        <v>21375</v>
      </c>
      <c r="O32" s="41">
        <f t="shared" si="12"/>
        <v>45990</v>
      </c>
      <c r="P32" s="41">
        <f t="shared" si="12"/>
        <v>11000</v>
      </c>
      <c r="Q32" s="41">
        <f t="shared" si="12"/>
        <v>56990</v>
      </c>
      <c r="R32" s="41">
        <f>SUM(R33,R37)</f>
        <v>21375</v>
      </c>
      <c r="S32" s="41">
        <f>SUM(S33,S37)</f>
        <v>78365</v>
      </c>
      <c r="T32" s="41">
        <f>SUM(T33,T37)</f>
        <v>0</v>
      </c>
      <c r="U32" s="41">
        <f>SUM(U33,U37)</f>
        <v>78365</v>
      </c>
    </row>
    <row r="33" spans="1:21" s="24" customFormat="1" ht="29.25" customHeight="1">
      <c r="A33" s="47"/>
      <c r="B33" s="73">
        <v>75101</v>
      </c>
      <c r="C33" s="80"/>
      <c r="D33" s="77" t="s">
        <v>21</v>
      </c>
      <c r="E33" s="92">
        <f aca="true" t="shared" si="13" ref="E33:K33">SUM(E34:E36)</f>
        <v>3952</v>
      </c>
      <c r="F33" s="92">
        <f t="shared" si="13"/>
        <v>0</v>
      </c>
      <c r="G33" s="92">
        <f t="shared" si="13"/>
        <v>3952</v>
      </c>
      <c r="H33" s="92">
        <f t="shared" si="13"/>
        <v>0</v>
      </c>
      <c r="I33" s="92">
        <f t="shared" si="13"/>
        <v>3952</v>
      </c>
      <c r="J33" s="92">
        <f t="shared" si="13"/>
        <v>0</v>
      </c>
      <c r="K33" s="92">
        <f t="shared" si="13"/>
        <v>3952</v>
      </c>
      <c r="L33" s="92">
        <f aca="true" t="shared" si="14" ref="L33:Q33">SUM(L34:L36)</f>
        <v>0</v>
      </c>
      <c r="M33" s="92">
        <f t="shared" si="14"/>
        <v>3952</v>
      </c>
      <c r="N33" s="92">
        <f t="shared" si="14"/>
        <v>0</v>
      </c>
      <c r="O33" s="92">
        <f t="shared" si="14"/>
        <v>3952</v>
      </c>
      <c r="P33" s="92">
        <f t="shared" si="14"/>
        <v>0</v>
      </c>
      <c r="Q33" s="92">
        <f t="shared" si="14"/>
        <v>3952</v>
      </c>
      <c r="R33" s="92">
        <f>SUM(R34:R36)</f>
        <v>0</v>
      </c>
      <c r="S33" s="92">
        <f>SUM(S34:S36)</f>
        <v>3952</v>
      </c>
      <c r="T33" s="92">
        <f>SUM(T34:T36)</f>
        <v>0</v>
      </c>
      <c r="U33" s="92">
        <f>SUM(U34:U36)</f>
        <v>3952</v>
      </c>
    </row>
    <row r="34" spans="1:21" s="24" customFormat="1" ht="27" customHeight="1">
      <c r="A34" s="47"/>
      <c r="B34" s="73"/>
      <c r="C34" s="74">
        <v>4010</v>
      </c>
      <c r="D34" s="13" t="s">
        <v>84</v>
      </c>
      <c r="E34" s="92">
        <v>3360</v>
      </c>
      <c r="F34" s="92"/>
      <c r="G34" s="92">
        <f>SUM(E34:F34)</f>
        <v>3360</v>
      </c>
      <c r="H34" s="92"/>
      <c r="I34" s="92">
        <f>SUM(G34:H34)</f>
        <v>3360</v>
      </c>
      <c r="J34" s="92"/>
      <c r="K34" s="92">
        <f>SUM(I34:J34)</f>
        <v>3360</v>
      </c>
      <c r="L34" s="92"/>
      <c r="M34" s="92">
        <f>SUM(K34:L34)</f>
        <v>3360</v>
      </c>
      <c r="N34" s="92"/>
      <c r="O34" s="92">
        <f>SUM(M34:N34)</f>
        <v>3360</v>
      </c>
      <c r="P34" s="92"/>
      <c r="Q34" s="92">
        <f>SUM(O34:P34)</f>
        <v>3360</v>
      </c>
      <c r="R34" s="92"/>
      <c r="S34" s="92">
        <f>SUM(Q34:R34)</f>
        <v>3360</v>
      </c>
      <c r="T34" s="92"/>
      <c r="U34" s="92">
        <f>SUM(S34:T34)</f>
        <v>3360</v>
      </c>
    </row>
    <row r="35" spans="1:21" s="24" customFormat="1" ht="21.75" customHeight="1">
      <c r="A35" s="47"/>
      <c r="B35" s="73"/>
      <c r="C35" s="74">
        <v>4110</v>
      </c>
      <c r="D35" s="13" t="s">
        <v>86</v>
      </c>
      <c r="E35" s="92">
        <v>510</v>
      </c>
      <c r="F35" s="92"/>
      <c r="G35" s="92">
        <f>SUM(E35:F35)</f>
        <v>510</v>
      </c>
      <c r="H35" s="92"/>
      <c r="I35" s="92">
        <f>SUM(G35:H35)</f>
        <v>510</v>
      </c>
      <c r="J35" s="92"/>
      <c r="K35" s="92">
        <f>SUM(I35:J35)</f>
        <v>510</v>
      </c>
      <c r="L35" s="92"/>
      <c r="M35" s="92">
        <f>SUM(K35:L35)</f>
        <v>510</v>
      </c>
      <c r="N35" s="92"/>
      <c r="O35" s="92">
        <f>SUM(M35:N35)</f>
        <v>510</v>
      </c>
      <c r="P35" s="92"/>
      <c r="Q35" s="92">
        <f>SUM(O35:P35)</f>
        <v>510</v>
      </c>
      <c r="R35" s="92"/>
      <c r="S35" s="92">
        <f>SUM(Q35:R35)</f>
        <v>510</v>
      </c>
      <c r="T35" s="92"/>
      <c r="U35" s="92">
        <f>SUM(S35:T35)</f>
        <v>510</v>
      </c>
    </row>
    <row r="36" spans="1:21" s="24" customFormat="1" ht="19.5" customHeight="1">
      <c r="A36" s="47"/>
      <c r="B36" s="73"/>
      <c r="C36" s="74">
        <v>4120</v>
      </c>
      <c r="D36" s="13" t="s">
        <v>87</v>
      </c>
      <c r="E36" s="92">
        <v>82</v>
      </c>
      <c r="F36" s="92"/>
      <c r="G36" s="92">
        <f>SUM(E36:F36)</f>
        <v>82</v>
      </c>
      <c r="H36" s="92"/>
      <c r="I36" s="92">
        <f>SUM(G36:H36)</f>
        <v>82</v>
      </c>
      <c r="J36" s="92"/>
      <c r="K36" s="92">
        <f>SUM(I36:J36)</f>
        <v>82</v>
      </c>
      <c r="L36" s="92"/>
      <c r="M36" s="92">
        <f>SUM(K36:L36)</f>
        <v>82</v>
      </c>
      <c r="N36" s="92"/>
      <c r="O36" s="92">
        <f>SUM(M36:N36)</f>
        <v>82</v>
      </c>
      <c r="P36" s="92"/>
      <c r="Q36" s="92">
        <f>SUM(O36:P36)</f>
        <v>82</v>
      </c>
      <c r="R36" s="92"/>
      <c r="S36" s="92">
        <f>SUM(Q36:R36)</f>
        <v>82</v>
      </c>
      <c r="T36" s="92"/>
      <c r="U36" s="92">
        <f>SUM(S36:T36)</f>
        <v>82</v>
      </c>
    </row>
    <row r="37" spans="1:21" s="24" customFormat="1" ht="30.75" customHeight="1">
      <c r="A37" s="47"/>
      <c r="B37" s="73">
        <v>75107</v>
      </c>
      <c r="C37" s="74"/>
      <c r="D37" s="77" t="s">
        <v>484</v>
      </c>
      <c r="E37" s="92"/>
      <c r="F37" s="92"/>
      <c r="G37" s="92"/>
      <c r="H37" s="92"/>
      <c r="I37" s="92"/>
      <c r="J37" s="92"/>
      <c r="K37" s="92">
        <f>SUM(K39:K48)</f>
        <v>0</v>
      </c>
      <c r="L37" s="92">
        <f>SUM(L39:L48)</f>
        <v>20663</v>
      </c>
      <c r="M37" s="92">
        <f>SUM(M38:M48)</f>
        <v>20663</v>
      </c>
      <c r="N37" s="92">
        <f>SUM(N38:N48)</f>
        <v>21375</v>
      </c>
      <c r="O37" s="92">
        <f aca="true" t="shared" si="15" ref="O37:U37">SUM(O38:O49)</f>
        <v>42038</v>
      </c>
      <c r="P37" s="92">
        <f t="shared" si="15"/>
        <v>11000</v>
      </c>
      <c r="Q37" s="92">
        <f t="shared" si="15"/>
        <v>53038</v>
      </c>
      <c r="R37" s="92">
        <f t="shared" si="15"/>
        <v>21375</v>
      </c>
      <c r="S37" s="92">
        <f t="shared" si="15"/>
        <v>74413</v>
      </c>
      <c r="T37" s="92">
        <f t="shared" si="15"/>
        <v>0</v>
      </c>
      <c r="U37" s="92">
        <f t="shared" si="15"/>
        <v>74413</v>
      </c>
    </row>
    <row r="38" spans="1:21" s="24" customFormat="1" ht="22.5">
      <c r="A38" s="47"/>
      <c r="B38" s="73"/>
      <c r="C38" s="74">
        <v>3030</v>
      </c>
      <c r="D38" s="38" t="s">
        <v>89</v>
      </c>
      <c r="E38" s="92"/>
      <c r="F38" s="92"/>
      <c r="G38" s="92"/>
      <c r="H38" s="92"/>
      <c r="I38" s="92"/>
      <c r="J38" s="92"/>
      <c r="K38" s="92"/>
      <c r="L38" s="92"/>
      <c r="M38" s="92">
        <v>0</v>
      </c>
      <c r="N38" s="92">
        <v>21375</v>
      </c>
      <c r="O38" s="92">
        <f>SUM(M38:N38)</f>
        <v>21375</v>
      </c>
      <c r="P38" s="92"/>
      <c r="Q38" s="92">
        <f>SUM(O38:P38)</f>
        <v>21375</v>
      </c>
      <c r="R38" s="92">
        <v>21375</v>
      </c>
      <c r="S38" s="92">
        <f>SUM(Q38:R38)</f>
        <v>42750</v>
      </c>
      <c r="T38" s="92"/>
      <c r="U38" s="92">
        <f>SUM(S38:T38)</f>
        <v>42750</v>
      </c>
    </row>
    <row r="39" spans="1:21" s="24" customFormat="1" ht="19.5" customHeight="1">
      <c r="A39" s="47"/>
      <c r="B39" s="73"/>
      <c r="C39" s="74">
        <v>4110</v>
      </c>
      <c r="D39" s="77" t="s">
        <v>86</v>
      </c>
      <c r="E39" s="92"/>
      <c r="F39" s="92"/>
      <c r="G39" s="92"/>
      <c r="H39" s="92"/>
      <c r="I39" s="92"/>
      <c r="J39" s="92"/>
      <c r="K39" s="92">
        <v>0</v>
      </c>
      <c r="L39" s="92">
        <v>570</v>
      </c>
      <c r="M39" s="92">
        <f>SUM(K39:L39)</f>
        <v>570</v>
      </c>
      <c r="N39" s="92"/>
      <c r="O39" s="92">
        <f>SUM(M39:N39)</f>
        <v>570</v>
      </c>
      <c r="P39" s="92">
        <v>493</v>
      </c>
      <c r="Q39" s="92">
        <f>SUM(O39:P39)</f>
        <v>1063</v>
      </c>
      <c r="R39" s="92"/>
      <c r="S39" s="92">
        <f>SUM(Q39:R39)</f>
        <v>1063</v>
      </c>
      <c r="T39" s="92">
        <v>118</v>
      </c>
      <c r="U39" s="92">
        <f>SUM(S39:T39)</f>
        <v>1181</v>
      </c>
    </row>
    <row r="40" spans="1:21" s="24" customFormat="1" ht="19.5" customHeight="1">
      <c r="A40" s="47"/>
      <c r="B40" s="73"/>
      <c r="C40" s="74">
        <v>4120</v>
      </c>
      <c r="D40" s="77" t="s">
        <v>87</v>
      </c>
      <c r="E40" s="92"/>
      <c r="F40" s="92"/>
      <c r="G40" s="92"/>
      <c r="H40" s="92"/>
      <c r="I40" s="92"/>
      <c r="J40" s="92"/>
      <c r="K40" s="92">
        <v>0</v>
      </c>
      <c r="L40" s="92">
        <v>100</v>
      </c>
      <c r="M40" s="92">
        <f aca="true" t="shared" si="16" ref="M40:M48">SUM(K40:L40)</f>
        <v>100</v>
      </c>
      <c r="N40" s="92"/>
      <c r="O40" s="92">
        <f aca="true" t="shared" si="17" ref="O40:O48">SUM(M40:N40)</f>
        <v>100</v>
      </c>
      <c r="P40" s="92">
        <v>71</v>
      </c>
      <c r="Q40" s="92">
        <f aca="true" t="shared" si="18" ref="Q40:Q49">SUM(O40:P40)</f>
        <v>171</v>
      </c>
      <c r="R40" s="92"/>
      <c r="S40" s="92">
        <f aca="true" t="shared" si="19" ref="S40:S49">SUM(Q40:R40)</f>
        <v>171</v>
      </c>
      <c r="T40" s="92">
        <v>3</v>
      </c>
      <c r="U40" s="92">
        <f aca="true" t="shared" si="20" ref="U40:U49">SUM(S40:T40)</f>
        <v>174</v>
      </c>
    </row>
    <row r="41" spans="1:21" s="24" customFormat="1" ht="19.5" customHeight="1">
      <c r="A41" s="47"/>
      <c r="B41" s="73"/>
      <c r="C41" s="74">
        <v>4170</v>
      </c>
      <c r="D41" s="38" t="s">
        <v>190</v>
      </c>
      <c r="E41" s="92"/>
      <c r="F41" s="92"/>
      <c r="G41" s="92"/>
      <c r="H41" s="92"/>
      <c r="I41" s="92"/>
      <c r="J41" s="92"/>
      <c r="K41" s="92">
        <v>0</v>
      </c>
      <c r="L41" s="92">
        <v>7480</v>
      </c>
      <c r="M41" s="92">
        <f t="shared" si="16"/>
        <v>7480</v>
      </c>
      <c r="N41" s="92"/>
      <c r="O41" s="92">
        <f t="shared" si="17"/>
        <v>7480</v>
      </c>
      <c r="P41" s="92">
        <v>4475</v>
      </c>
      <c r="Q41" s="92">
        <f t="shared" si="18"/>
        <v>11955</v>
      </c>
      <c r="R41" s="92"/>
      <c r="S41" s="92">
        <f t="shared" si="19"/>
        <v>11955</v>
      </c>
      <c r="T41" s="92">
        <v>921</v>
      </c>
      <c r="U41" s="92">
        <f t="shared" si="20"/>
        <v>12876</v>
      </c>
    </row>
    <row r="42" spans="1:21" s="24" customFormat="1" ht="19.5" customHeight="1">
      <c r="A42" s="47"/>
      <c r="B42" s="73"/>
      <c r="C42" s="74">
        <v>4210</v>
      </c>
      <c r="D42" s="38" t="s">
        <v>92</v>
      </c>
      <c r="E42" s="92"/>
      <c r="F42" s="92"/>
      <c r="G42" s="92"/>
      <c r="H42" s="92"/>
      <c r="I42" s="92"/>
      <c r="J42" s="92"/>
      <c r="K42" s="92">
        <v>0</v>
      </c>
      <c r="L42" s="92">
        <v>8141</v>
      </c>
      <c r="M42" s="92">
        <f t="shared" si="16"/>
        <v>8141</v>
      </c>
      <c r="N42" s="92">
        <v>-200</v>
      </c>
      <c r="O42" s="92">
        <f t="shared" si="17"/>
        <v>7941</v>
      </c>
      <c r="P42" s="92">
        <v>4130</v>
      </c>
      <c r="Q42" s="92">
        <f t="shared" si="18"/>
        <v>12071</v>
      </c>
      <c r="R42" s="92">
        <v>-521</v>
      </c>
      <c r="S42" s="92">
        <f t="shared" si="19"/>
        <v>11550</v>
      </c>
      <c r="T42" s="92">
        <v>-102</v>
      </c>
      <c r="U42" s="92">
        <f t="shared" si="20"/>
        <v>11448</v>
      </c>
    </row>
    <row r="43" spans="1:21" s="24" customFormat="1" ht="19.5" customHeight="1">
      <c r="A43" s="47"/>
      <c r="B43" s="73"/>
      <c r="C43" s="74">
        <v>4270</v>
      </c>
      <c r="D43" s="38" t="s">
        <v>78</v>
      </c>
      <c r="E43" s="92"/>
      <c r="F43" s="92"/>
      <c r="G43" s="92"/>
      <c r="H43" s="92"/>
      <c r="I43" s="92"/>
      <c r="J43" s="92"/>
      <c r="K43" s="92">
        <v>0</v>
      </c>
      <c r="L43" s="92">
        <v>1000</v>
      </c>
      <c r="M43" s="92">
        <f t="shared" si="16"/>
        <v>1000</v>
      </c>
      <c r="N43" s="92">
        <v>-200</v>
      </c>
      <c r="O43" s="92">
        <f t="shared" si="17"/>
        <v>800</v>
      </c>
      <c r="P43" s="92"/>
      <c r="Q43" s="92">
        <f t="shared" si="18"/>
        <v>800</v>
      </c>
      <c r="R43" s="92">
        <v>-245</v>
      </c>
      <c r="S43" s="92">
        <f t="shared" si="19"/>
        <v>555</v>
      </c>
      <c r="T43" s="92"/>
      <c r="U43" s="92">
        <f t="shared" si="20"/>
        <v>555</v>
      </c>
    </row>
    <row r="44" spans="1:21" s="24" customFormat="1" ht="19.5" customHeight="1">
      <c r="A44" s="47"/>
      <c r="B44" s="73"/>
      <c r="C44" s="74">
        <v>4300</v>
      </c>
      <c r="D44" s="38" t="s">
        <v>79</v>
      </c>
      <c r="E44" s="92"/>
      <c r="F44" s="92"/>
      <c r="G44" s="92"/>
      <c r="H44" s="92"/>
      <c r="I44" s="92"/>
      <c r="J44" s="92"/>
      <c r="K44" s="92">
        <v>0</v>
      </c>
      <c r="L44" s="92">
        <v>400</v>
      </c>
      <c r="M44" s="92">
        <f t="shared" si="16"/>
        <v>400</v>
      </c>
      <c r="N44" s="92">
        <v>200</v>
      </c>
      <c r="O44" s="92">
        <f t="shared" si="17"/>
        <v>600</v>
      </c>
      <c r="P44" s="92">
        <v>24</v>
      </c>
      <c r="Q44" s="92">
        <f t="shared" si="18"/>
        <v>624</v>
      </c>
      <c r="R44" s="92">
        <v>-126</v>
      </c>
      <c r="S44" s="92">
        <f t="shared" si="19"/>
        <v>498</v>
      </c>
      <c r="T44" s="92"/>
      <c r="U44" s="92">
        <f t="shared" si="20"/>
        <v>498</v>
      </c>
    </row>
    <row r="45" spans="1:21" s="24" customFormat="1" ht="19.5" customHeight="1">
      <c r="A45" s="47"/>
      <c r="B45" s="73"/>
      <c r="C45" s="74">
        <v>4410</v>
      </c>
      <c r="D45" s="38" t="s">
        <v>90</v>
      </c>
      <c r="E45" s="92"/>
      <c r="F45" s="92"/>
      <c r="G45" s="92"/>
      <c r="H45" s="92"/>
      <c r="I45" s="92"/>
      <c r="J45" s="92"/>
      <c r="K45" s="92">
        <v>0</v>
      </c>
      <c r="L45" s="92">
        <v>1300</v>
      </c>
      <c r="M45" s="92">
        <f t="shared" si="16"/>
        <v>1300</v>
      </c>
      <c r="N45" s="92"/>
      <c r="O45" s="92">
        <f t="shared" si="17"/>
        <v>1300</v>
      </c>
      <c r="P45" s="92">
        <v>1100</v>
      </c>
      <c r="Q45" s="92">
        <f t="shared" si="18"/>
        <v>2400</v>
      </c>
      <c r="R45" s="92">
        <v>1386</v>
      </c>
      <c r="S45" s="92">
        <f t="shared" si="19"/>
        <v>3786</v>
      </c>
      <c r="T45" s="92">
        <v>-940</v>
      </c>
      <c r="U45" s="92">
        <f t="shared" si="20"/>
        <v>2846</v>
      </c>
    </row>
    <row r="46" spans="1:21" s="24" customFormat="1" ht="22.5">
      <c r="A46" s="47"/>
      <c r="B46" s="73"/>
      <c r="C46" s="74">
        <v>4700</v>
      </c>
      <c r="D46" s="38" t="s">
        <v>249</v>
      </c>
      <c r="E46" s="92"/>
      <c r="F46" s="92"/>
      <c r="G46" s="92"/>
      <c r="H46" s="92"/>
      <c r="I46" s="92"/>
      <c r="J46" s="92"/>
      <c r="K46" s="92">
        <v>0</v>
      </c>
      <c r="L46" s="92">
        <v>372</v>
      </c>
      <c r="M46" s="92">
        <f t="shared" si="16"/>
        <v>372</v>
      </c>
      <c r="N46" s="92"/>
      <c r="O46" s="92">
        <f t="shared" si="17"/>
        <v>372</v>
      </c>
      <c r="P46" s="92"/>
      <c r="Q46" s="92">
        <f t="shared" si="18"/>
        <v>372</v>
      </c>
      <c r="R46" s="92"/>
      <c r="S46" s="92">
        <f t="shared" si="19"/>
        <v>372</v>
      </c>
      <c r="T46" s="92"/>
      <c r="U46" s="92">
        <f t="shared" si="20"/>
        <v>372</v>
      </c>
    </row>
    <row r="47" spans="1:21" s="24" customFormat="1" ht="39.75" customHeight="1">
      <c r="A47" s="47"/>
      <c r="B47" s="73"/>
      <c r="C47" s="74">
        <v>4740</v>
      </c>
      <c r="D47" s="38" t="s">
        <v>267</v>
      </c>
      <c r="E47" s="92"/>
      <c r="F47" s="92"/>
      <c r="G47" s="92"/>
      <c r="H47" s="92"/>
      <c r="I47" s="92"/>
      <c r="J47" s="92"/>
      <c r="K47" s="92">
        <v>0</v>
      </c>
      <c r="L47" s="92">
        <v>600</v>
      </c>
      <c r="M47" s="92">
        <f t="shared" si="16"/>
        <v>600</v>
      </c>
      <c r="N47" s="92"/>
      <c r="O47" s="92">
        <f t="shared" si="17"/>
        <v>600</v>
      </c>
      <c r="P47" s="92">
        <v>200</v>
      </c>
      <c r="Q47" s="92">
        <f t="shared" si="18"/>
        <v>800</v>
      </c>
      <c r="R47" s="92">
        <v>-371</v>
      </c>
      <c r="S47" s="92">
        <f t="shared" si="19"/>
        <v>429</v>
      </c>
      <c r="T47" s="92"/>
      <c r="U47" s="92">
        <f t="shared" si="20"/>
        <v>429</v>
      </c>
    </row>
    <row r="48" spans="1:21" s="24" customFormat="1" ht="22.5">
      <c r="A48" s="47"/>
      <c r="B48" s="73"/>
      <c r="C48" s="74">
        <v>4750</v>
      </c>
      <c r="D48" s="38" t="s">
        <v>485</v>
      </c>
      <c r="E48" s="92"/>
      <c r="F48" s="92"/>
      <c r="G48" s="92"/>
      <c r="H48" s="92"/>
      <c r="I48" s="92"/>
      <c r="J48" s="92"/>
      <c r="K48" s="92">
        <v>0</v>
      </c>
      <c r="L48" s="92">
        <v>700</v>
      </c>
      <c r="M48" s="92">
        <f t="shared" si="16"/>
        <v>700</v>
      </c>
      <c r="N48" s="92">
        <v>200</v>
      </c>
      <c r="O48" s="92">
        <f t="shared" si="17"/>
        <v>900</v>
      </c>
      <c r="P48" s="92">
        <v>500</v>
      </c>
      <c r="Q48" s="92">
        <f t="shared" si="18"/>
        <v>1400</v>
      </c>
      <c r="R48" s="92">
        <v>-123</v>
      </c>
      <c r="S48" s="92">
        <f t="shared" si="19"/>
        <v>1277</v>
      </c>
      <c r="T48" s="92"/>
      <c r="U48" s="92">
        <f t="shared" si="20"/>
        <v>1277</v>
      </c>
    </row>
    <row r="49" spans="1:21" s="24" customFormat="1" ht="22.5">
      <c r="A49" s="47"/>
      <c r="B49" s="73"/>
      <c r="C49" s="74">
        <v>4780</v>
      </c>
      <c r="D49" s="38" t="s">
        <v>476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>
        <v>0</v>
      </c>
      <c r="P49" s="92">
        <v>7</v>
      </c>
      <c r="Q49" s="92">
        <f t="shared" si="18"/>
        <v>7</v>
      </c>
      <c r="R49" s="92"/>
      <c r="S49" s="92">
        <f t="shared" si="19"/>
        <v>7</v>
      </c>
      <c r="T49" s="92"/>
      <c r="U49" s="92">
        <f t="shared" si="20"/>
        <v>7</v>
      </c>
    </row>
    <row r="50" spans="1:213" s="24" customFormat="1" ht="21" customHeight="1">
      <c r="A50" s="31">
        <v>852</v>
      </c>
      <c r="B50" s="4"/>
      <c r="C50" s="20"/>
      <c r="D50" s="30" t="s">
        <v>185</v>
      </c>
      <c r="E50" s="41">
        <f>SUM(E51,E58,)</f>
        <v>6563300</v>
      </c>
      <c r="F50" s="41">
        <f>SUM(F51,F58,)</f>
        <v>-73</v>
      </c>
      <c r="G50" s="41">
        <f aca="true" t="shared" si="21" ref="G50:M50">SUM(G51,G58,G60)</f>
        <v>6563227</v>
      </c>
      <c r="H50" s="41">
        <f t="shared" si="21"/>
        <v>5500</v>
      </c>
      <c r="I50" s="41">
        <f t="shared" si="21"/>
        <v>6568727</v>
      </c>
      <c r="J50" s="41">
        <f t="shared" si="21"/>
        <v>0</v>
      </c>
      <c r="K50" s="41">
        <f t="shared" si="21"/>
        <v>6568727</v>
      </c>
      <c r="L50" s="41">
        <f t="shared" si="21"/>
        <v>0</v>
      </c>
      <c r="M50" s="41">
        <f t="shared" si="21"/>
        <v>6568727</v>
      </c>
      <c r="N50" s="41">
        <f aca="true" t="shared" si="22" ref="N50:S50">SUM(N51,N58,N60)</f>
        <v>0</v>
      </c>
      <c r="O50" s="41">
        <f t="shared" si="22"/>
        <v>6568727</v>
      </c>
      <c r="P50" s="41">
        <f t="shared" si="22"/>
        <v>0</v>
      </c>
      <c r="Q50" s="41">
        <f t="shared" si="22"/>
        <v>6568727</v>
      </c>
      <c r="R50" s="41">
        <f t="shared" si="22"/>
        <v>3673</v>
      </c>
      <c r="S50" s="41">
        <f t="shared" si="22"/>
        <v>6572400</v>
      </c>
      <c r="T50" s="41">
        <f>SUM(T51,T58,T60)</f>
        <v>4000</v>
      </c>
      <c r="U50" s="41">
        <f>SUM(U51,U58,U60)</f>
        <v>6576400</v>
      </c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3"/>
      <c r="EK50" s="113"/>
      <c r="EL50" s="113"/>
      <c r="EM50" s="113"/>
      <c r="EN50" s="113"/>
      <c r="EO50" s="113"/>
      <c r="EP50" s="113"/>
      <c r="EQ50" s="113"/>
      <c r="ER50" s="113"/>
      <c r="ES50" s="113"/>
      <c r="ET50" s="113"/>
      <c r="EU50" s="113"/>
      <c r="EV50" s="113"/>
      <c r="EW50" s="113"/>
      <c r="EX50" s="113"/>
      <c r="EY50" s="113"/>
      <c r="EZ50" s="113"/>
      <c r="FA50" s="113"/>
      <c r="FB50" s="113"/>
      <c r="FC50" s="113"/>
      <c r="FD50" s="113"/>
      <c r="FE50" s="113"/>
      <c r="FF50" s="113"/>
      <c r="FG50" s="113"/>
      <c r="FH50" s="113"/>
      <c r="FI50" s="113"/>
      <c r="FJ50" s="113"/>
      <c r="FK50" s="113"/>
      <c r="FL50" s="113"/>
      <c r="FM50" s="113"/>
      <c r="FN50" s="113"/>
      <c r="FO50" s="113"/>
      <c r="FP50" s="113"/>
      <c r="FQ50" s="113"/>
      <c r="FR50" s="113"/>
      <c r="FS50" s="113"/>
      <c r="FT50" s="113"/>
      <c r="FU50" s="113"/>
      <c r="FV50" s="113"/>
      <c r="FW50" s="113"/>
      <c r="FX50" s="113"/>
      <c r="FY50" s="113"/>
      <c r="FZ50" s="113"/>
      <c r="GA50" s="113"/>
      <c r="GB50" s="113"/>
      <c r="GC50" s="113"/>
      <c r="GD50" s="113"/>
      <c r="GE50" s="113"/>
      <c r="GF50" s="113"/>
      <c r="GG50" s="113"/>
      <c r="GH50" s="113"/>
      <c r="GI50" s="113"/>
      <c r="GJ50" s="113"/>
      <c r="GK50" s="113"/>
      <c r="GL50" s="113"/>
      <c r="GM50" s="113"/>
      <c r="GN50" s="113"/>
      <c r="GO50" s="113"/>
      <c r="GP50" s="113"/>
      <c r="GQ50" s="113"/>
      <c r="GR50" s="113"/>
      <c r="GS50" s="113"/>
      <c r="GT50" s="113"/>
      <c r="GU50" s="113"/>
      <c r="GV50" s="113"/>
      <c r="GW50" s="113"/>
      <c r="GX50" s="113"/>
      <c r="GY50" s="113"/>
      <c r="GZ50" s="113"/>
      <c r="HA50" s="113"/>
      <c r="HB50" s="113"/>
      <c r="HC50" s="113"/>
      <c r="HD50" s="113"/>
      <c r="HE50" s="113"/>
    </row>
    <row r="51" spans="1:213" s="24" customFormat="1" ht="46.5" customHeight="1">
      <c r="A51" s="97"/>
      <c r="B51" s="47">
        <v>85212</v>
      </c>
      <c r="C51" s="79"/>
      <c r="D51" s="77" t="s">
        <v>270</v>
      </c>
      <c r="E51" s="92">
        <f aca="true" t="shared" si="23" ref="E51:K51">SUM(E52:E57)</f>
        <v>6551300</v>
      </c>
      <c r="F51" s="92">
        <f t="shared" si="23"/>
        <v>0</v>
      </c>
      <c r="G51" s="92">
        <f t="shared" si="23"/>
        <v>6551300</v>
      </c>
      <c r="H51" s="92">
        <f t="shared" si="23"/>
        <v>0</v>
      </c>
      <c r="I51" s="92">
        <f t="shared" si="23"/>
        <v>6551300</v>
      </c>
      <c r="J51" s="92">
        <f t="shared" si="23"/>
        <v>0</v>
      </c>
      <c r="K51" s="92">
        <f t="shared" si="23"/>
        <v>6551300</v>
      </c>
      <c r="L51" s="92">
        <f aca="true" t="shared" si="24" ref="L51:Q51">SUM(L52:L57)</f>
        <v>0</v>
      </c>
      <c r="M51" s="92">
        <f t="shared" si="24"/>
        <v>6551300</v>
      </c>
      <c r="N51" s="92">
        <f t="shared" si="24"/>
        <v>0</v>
      </c>
      <c r="O51" s="92">
        <f t="shared" si="24"/>
        <v>6551300</v>
      </c>
      <c r="P51" s="92">
        <f t="shared" si="24"/>
        <v>0</v>
      </c>
      <c r="Q51" s="92">
        <f t="shared" si="24"/>
        <v>6551300</v>
      </c>
      <c r="R51" s="92">
        <f>SUM(R52:R57)</f>
        <v>0</v>
      </c>
      <c r="S51" s="92">
        <f>SUM(S52:S57)</f>
        <v>6551300</v>
      </c>
      <c r="T51" s="92">
        <f>SUM(T52:T57)</f>
        <v>0</v>
      </c>
      <c r="U51" s="92">
        <f>SUM(U52:U57)</f>
        <v>6551300</v>
      </c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113"/>
      <c r="EL51" s="113"/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/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/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/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</row>
    <row r="52" spans="1:213" s="24" customFormat="1" ht="21" customHeight="1">
      <c r="A52" s="97"/>
      <c r="B52" s="47"/>
      <c r="C52" s="79">
        <v>3110</v>
      </c>
      <c r="D52" s="77" t="s">
        <v>112</v>
      </c>
      <c r="E52" s="71">
        <f>6354761-50000</f>
        <v>6304761</v>
      </c>
      <c r="F52" s="71"/>
      <c r="G52" s="71">
        <f aca="true" t="shared" si="25" ref="G52:G57">SUM(E52:F52)</f>
        <v>6304761</v>
      </c>
      <c r="H52" s="71"/>
      <c r="I52" s="71">
        <f aca="true" t="shared" si="26" ref="I52:I57">SUM(G52:H52)</f>
        <v>6304761</v>
      </c>
      <c r="J52" s="71"/>
      <c r="K52" s="71">
        <f aca="true" t="shared" si="27" ref="K52:K57">SUM(I52:J52)</f>
        <v>6304761</v>
      </c>
      <c r="L52" s="71"/>
      <c r="M52" s="71">
        <f aca="true" t="shared" si="28" ref="M52:M57">SUM(K52:L52)</f>
        <v>6304761</v>
      </c>
      <c r="N52" s="71"/>
      <c r="O52" s="71">
        <f aca="true" t="shared" si="29" ref="O52:O57">SUM(M52:N52)</f>
        <v>6304761</v>
      </c>
      <c r="P52" s="71"/>
      <c r="Q52" s="71">
        <f aca="true" t="shared" si="30" ref="Q52:Q57">SUM(O52:P52)</f>
        <v>6304761</v>
      </c>
      <c r="R52" s="71"/>
      <c r="S52" s="71">
        <f aca="true" t="shared" si="31" ref="S52:S57">SUM(Q52:R52)</f>
        <v>6304761</v>
      </c>
      <c r="T52" s="71"/>
      <c r="U52" s="71">
        <f aca="true" t="shared" si="32" ref="U52:U57">SUM(S52:T52)</f>
        <v>6304761</v>
      </c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3"/>
      <c r="EK52" s="113"/>
      <c r="EL52" s="113"/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/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/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</row>
    <row r="53" spans="1:213" s="24" customFormat="1" ht="21" customHeight="1">
      <c r="A53" s="97"/>
      <c r="B53" s="47"/>
      <c r="C53" s="47">
        <v>4010</v>
      </c>
      <c r="D53" s="13" t="s">
        <v>84</v>
      </c>
      <c r="E53" s="71">
        <v>147564</v>
      </c>
      <c r="F53" s="71"/>
      <c r="G53" s="71">
        <f t="shared" si="25"/>
        <v>147564</v>
      </c>
      <c r="H53" s="71"/>
      <c r="I53" s="71">
        <f t="shared" si="26"/>
        <v>147564</v>
      </c>
      <c r="J53" s="71">
        <v>-471</v>
      </c>
      <c r="K53" s="71">
        <f t="shared" si="27"/>
        <v>147093</v>
      </c>
      <c r="L53" s="71"/>
      <c r="M53" s="71">
        <f t="shared" si="28"/>
        <v>147093</v>
      </c>
      <c r="N53" s="71"/>
      <c r="O53" s="71">
        <f t="shared" si="29"/>
        <v>147093</v>
      </c>
      <c r="P53" s="71"/>
      <c r="Q53" s="71">
        <f t="shared" si="30"/>
        <v>147093</v>
      </c>
      <c r="R53" s="71"/>
      <c r="S53" s="71">
        <f t="shared" si="31"/>
        <v>147093</v>
      </c>
      <c r="T53" s="71"/>
      <c r="U53" s="71">
        <f t="shared" si="32"/>
        <v>147093</v>
      </c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13"/>
      <c r="EJ53" s="113"/>
      <c r="EK53" s="113"/>
      <c r="EL53" s="113"/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/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/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/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</row>
    <row r="54" spans="1:213" s="24" customFormat="1" ht="23.25" customHeight="1">
      <c r="A54" s="97"/>
      <c r="B54" s="47"/>
      <c r="C54" s="47">
        <v>4040</v>
      </c>
      <c r="D54" s="13" t="s">
        <v>85</v>
      </c>
      <c r="E54" s="71">
        <v>15400</v>
      </c>
      <c r="F54" s="71"/>
      <c r="G54" s="71">
        <f t="shared" si="25"/>
        <v>15400</v>
      </c>
      <c r="H54" s="71"/>
      <c r="I54" s="71">
        <f t="shared" si="26"/>
        <v>15400</v>
      </c>
      <c r="J54" s="71">
        <v>-2094</v>
      </c>
      <c r="K54" s="71">
        <f t="shared" si="27"/>
        <v>13306</v>
      </c>
      <c r="L54" s="71"/>
      <c r="M54" s="71">
        <f t="shared" si="28"/>
        <v>13306</v>
      </c>
      <c r="N54" s="71"/>
      <c r="O54" s="71">
        <f t="shared" si="29"/>
        <v>13306</v>
      </c>
      <c r="P54" s="71"/>
      <c r="Q54" s="71">
        <f t="shared" si="30"/>
        <v>13306</v>
      </c>
      <c r="R54" s="71"/>
      <c r="S54" s="71">
        <f t="shared" si="31"/>
        <v>13306</v>
      </c>
      <c r="T54" s="71"/>
      <c r="U54" s="71">
        <f t="shared" si="32"/>
        <v>13306</v>
      </c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3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3"/>
      <c r="EF54" s="113"/>
      <c r="EG54" s="113"/>
      <c r="EH54" s="113"/>
      <c r="EI54" s="113"/>
      <c r="EJ54" s="113"/>
      <c r="EK54" s="113"/>
      <c r="EL54" s="113"/>
      <c r="EM54" s="113"/>
      <c r="EN54" s="113"/>
      <c r="EO54" s="113"/>
      <c r="EP54" s="113"/>
      <c r="EQ54" s="113"/>
      <c r="ER54" s="113"/>
      <c r="ES54" s="113"/>
      <c r="ET54" s="113"/>
      <c r="EU54" s="113"/>
      <c r="EV54" s="113"/>
      <c r="EW54" s="113"/>
      <c r="EX54" s="113"/>
      <c r="EY54" s="113"/>
      <c r="EZ54" s="113"/>
      <c r="FA54" s="113"/>
      <c r="FB54" s="113"/>
      <c r="FC54" s="113"/>
      <c r="FD54" s="113"/>
      <c r="FE54" s="113"/>
      <c r="FF54" s="113"/>
      <c r="FG54" s="113"/>
      <c r="FH54" s="113"/>
      <c r="FI54" s="113"/>
      <c r="FJ54" s="113"/>
      <c r="FK54" s="113"/>
      <c r="FL54" s="113"/>
      <c r="FM54" s="113"/>
      <c r="FN54" s="113"/>
      <c r="FO54" s="113"/>
      <c r="FP54" s="113"/>
      <c r="FQ54" s="113"/>
      <c r="FR54" s="113"/>
      <c r="FS54" s="113"/>
      <c r="FT54" s="113"/>
      <c r="FU54" s="113"/>
      <c r="FV54" s="113"/>
      <c r="FW54" s="113"/>
      <c r="FX54" s="113"/>
      <c r="FY54" s="113"/>
      <c r="FZ54" s="113"/>
      <c r="GA54" s="113"/>
      <c r="GB54" s="113"/>
      <c r="GC54" s="113"/>
      <c r="GD54" s="113"/>
      <c r="GE54" s="113"/>
      <c r="GF54" s="113"/>
      <c r="GG54" s="113"/>
      <c r="GH54" s="113"/>
      <c r="GI54" s="113"/>
      <c r="GJ54" s="113"/>
      <c r="GK54" s="113"/>
      <c r="GL54" s="113"/>
      <c r="GM54" s="113"/>
      <c r="GN54" s="113"/>
      <c r="GO54" s="113"/>
      <c r="GP54" s="113"/>
      <c r="GQ54" s="113"/>
      <c r="GR54" s="113"/>
      <c r="GS54" s="113"/>
      <c r="GT54" s="113"/>
      <c r="GU54" s="113"/>
      <c r="GV54" s="113"/>
      <c r="GW54" s="113"/>
      <c r="GX54" s="113"/>
      <c r="GY54" s="113"/>
      <c r="GZ54" s="113"/>
      <c r="HA54" s="113"/>
      <c r="HB54" s="113"/>
      <c r="HC54" s="113"/>
      <c r="HD54" s="113"/>
      <c r="HE54" s="113"/>
    </row>
    <row r="55" spans="1:213" s="24" customFormat="1" ht="21" customHeight="1">
      <c r="A55" s="97"/>
      <c r="B55" s="47"/>
      <c r="C55" s="47">
        <v>4110</v>
      </c>
      <c r="D55" s="13" t="s">
        <v>86</v>
      </c>
      <c r="E55" s="71">
        <f>24700+50000</f>
        <v>74700</v>
      </c>
      <c r="F55" s="71"/>
      <c r="G55" s="71">
        <f t="shared" si="25"/>
        <v>74700</v>
      </c>
      <c r="H55" s="71"/>
      <c r="I55" s="71">
        <f t="shared" si="26"/>
        <v>74700</v>
      </c>
      <c r="J55" s="71">
        <v>2865</v>
      </c>
      <c r="K55" s="71">
        <f t="shared" si="27"/>
        <v>77565</v>
      </c>
      <c r="L55" s="71">
        <v>-365</v>
      </c>
      <c r="M55" s="71">
        <f t="shared" si="28"/>
        <v>77200</v>
      </c>
      <c r="N55" s="71"/>
      <c r="O55" s="71">
        <f t="shared" si="29"/>
        <v>77200</v>
      </c>
      <c r="P55" s="71"/>
      <c r="Q55" s="71">
        <f t="shared" si="30"/>
        <v>77200</v>
      </c>
      <c r="R55" s="71"/>
      <c r="S55" s="71">
        <f t="shared" si="31"/>
        <v>77200</v>
      </c>
      <c r="T55" s="71"/>
      <c r="U55" s="71">
        <f t="shared" si="32"/>
        <v>77200</v>
      </c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13"/>
      <c r="EF55" s="113"/>
      <c r="EG55" s="113"/>
      <c r="EH55" s="113"/>
      <c r="EI55" s="113"/>
      <c r="EJ55" s="113"/>
      <c r="EK55" s="113"/>
      <c r="EL55" s="113"/>
      <c r="EM55" s="113"/>
      <c r="EN55" s="113"/>
      <c r="EO55" s="113"/>
      <c r="EP55" s="113"/>
      <c r="EQ55" s="113"/>
      <c r="ER55" s="113"/>
      <c r="ES55" s="113"/>
      <c r="ET55" s="113"/>
      <c r="EU55" s="113"/>
      <c r="EV55" s="113"/>
      <c r="EW55" s="113"/>
      <c r="EX55" s="113"/>
      <c r="EY55" s="113"/>
      <c r="EZ55" s="113"/>
      <c r="FA55" s="113"/>
      <c r="FB55" s="113"/>
      <c r="FC55" s="113"/>
      <c r="FD55" s="113"/>
      <c r="FE55" s="113"/>
      <c r="FF55" s="113"/>
      <c r="FG55" s="113"/>
      <c r="FH55" s="113"/>
      <c r="FI55" s="113"/>
      <c r="FJ55" s="113"/>
      <c r="FK55" s="113"/>
      <c r="FL55" s="113"/>
      <c r="FM55" s="113"/>
      <c r="FN55" s="113"/>
      <c r="FO55" s="113"/>
      <c r="FP55" s="113"/>
      <c r="FQ55" s="113"/>
      <c r="FR55" s="113"/>
      <c r="FS55" s="113"/>
      <c r="FT55" s="113"/>
      <c r="FU55" s="113"/>
      <c r="FV55" s="113"/>
      <c r="FW55" s="113"/>
      <c r="FX55" s="113"/>
      <c r="FY55" s="113"/>
      <c r="FZ55" s="113"/>
      <c r="GA55" s="113"/>
      <c r="GB55" s="113"/>
      <c r="GC55" s="113"/>
      <c r="GD55" s="113"/>
      <c r="GE55" s="113"/>
      <c r="GF55" s="113"/>
      <c r="GG55" s="113"/>
      <c r="GH55" s="113"/>
      <c r="GI55" s="113"/>
      <c r="GJ55" s="113"/>
      <c r="GK55" s="113"/>
      <c r="GL55" s="113"/>
      <c r="GM55" s="113"/>
      <c r="GN55" s="113"/>
      <c r="GO55" s="113"/>
      <c r="GP55" s="113"/>
      <c r="GQ55" s="113"/>
      <c r="GR55" s="113"/>
      <c r="GS55" s="113"/>
      <c r="GT55" s="113"/>
      <c r="GU55" s="113"/>
      <c r="GV55" s="113"/>
      <c r="GW55" s="113"/>
      <c r="GX55" s="113"/>
      <c r="GY55" s="113"/>
      <c r="GZ55" s="113"/>
      <c r="HA55" s="113"/>
      <c r="HB55" s="113"/>
      <c r="HC55" s="113"/>
      <c r="HD55" s="113"/>
      <c r="HE55" s="113"/>
    </row>
    <row r="56" spans="1:213" s="24" customFormat="1" ht="21" customHeight="1">
      <c r="A56" s="97"/>
      <c r="B56" s="47"/>
      <c r="C56" s="47">
        <v>4120</v>
      </c>
      <c r="D56" s="13" t="s">
        <v>87</v>
      </c>
      <c r="E56" s="71">
        <v>4000</v>
      </c>
      <c r="F56" s="71"/>
      <c r="G56" s="71">
        <f t="shared" si="25"/>
        <v>4000</v>
      </c>
      <c r="H56" s="71"/>
      <c r="I56" s="71">
        <f t="shared" si="26"/>
        <v>4000</v>
      </c>
      <c r="J56" s="71">
        <v>-300</v>
      </c>
      <c r="K56" s="71">
        <f t="shared" si="27"/>
        <v>3700</v>
      </c>
      <c r="L56" s="71"/>
      <c r="M56" s="71">
        <f t="shared" si="28"/>
        <v>3700</v>
      </c>
      <c r="N56" s="71"/>
      <c r="O56" s="71">
        <f t="shared" si="29"/>
        <v>3700</v>
      </c>
      <c r="P56" s="71"/>
      <c r="Q56" s="71">
        <f t="shared" si="30"/>
        <v>3700</v>
      </c>
      <c r="R56" s="71"/>
      <c r="S56" s="71">
        <f t="shared" si="31"/>
        <v>3700</v>
      </c>
      <c r="T56" s="71"/>
      <c r="U56" s="71">
        <f t="shared" si="32"/>
        <v>3700</v>
      </c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3"/>
      <c r="EG56" s="113"/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13"/>
      <c r="EU56" s="113"/>
      <c r="EV56" s="113"/>
      <c r="EW56" s="113"/>
      <c r="EX56" s="113"/>
      <c r="EY56" s="113"/>
      <c r="EZ56" s="113"/>
      <c r="FA56" s="113"/>
      <c r="FB56" s="113"/>
      <c r="FC56" s="113"/>
      <c r="FD56" s="113"/>
      <c r="FE56" s="113"/>
      <c r="FF56" s="113"/>
      <c r="FG56" s="113"/>
      <c r="FH56" s="113"/>
      <c r="FI56" s="113"/>
      <c r="FJ56" s="113"/>
      <c r="FK56" s="113"/>
      <c r="FL56" s="113"/>
      <c r="FM56" s="113"/>
      <c r="FN56" s="113"/>
      <c r="FO56" s="113"/>
      <c r="FP56" s="113"/>
      <c r="FQ56" s="113"/>
      <c r="FR56" s="113"/>
      <c r="FS56" s="113"/>
      <c r="FT56" s="113"/>
      <c r="FU56" s="113"/>
      <c r="FV56" s="113"/>
      <c r="FW56" s="113"/>
      <c r="FX56" s="113"/>
      <c r="FY56" s="113"/>
      <c r="FZ56" s="113"/>
      <c r="GA56" s="113"/>
      <c r="GB56" s="113"/>
      <c r="GC56" s="113"/>
      <c r="GD56" s="113"/>
      <c r="GE56" s="113"/>
      <c r="GF56" s="113"/>
      <c r="GG56" s="113"/>
      <c r="GH56" s="113"/>
      <c r="GI56" s="113"/>
      <c r="GJ56" s="113"/>
      <c r="GK56" s="113"/>
      <c r="GL56" s="113"/>
      <c r="GM56" s="113"/>
      <c r="GN56" s="113"/>
      <c r="GO56" s="113"/>
      <c r="GP56" s="113"/>
      <c r="GQ56" s="113"/>
      <c r="GR56" s="113"/>
      <c r="GS56" s="113"/>
      <c r="GT56" s="113"/>
      <c r="GU56" s="113"/>
      <c r="GV56" s="113"/>
      <c r="GW56" s="113"/>
      <c r="GX56" s="113"/>
      <c r="GY56" s="113"/>
      <c r="GZ56" s="113"/>
      <c r="HA56" s="113"/>
      <c r="HB56" s="113"/>
      <c r="HC56" s="113"/>
      <c r="HD56" s="113"/>
      <c r="HE56" s="113"/>
    </row>
    <row r="57" spans="1:213" s="24" customFormat="1" ht="22.5">
      <c r="A57" s="97"/>
      <c r="B57" s="47"/>
      <c r="C57" s="47">
        <v>4440</v>
      </c>
      <c r="D57" s="13" t="s">
        <v>88</v>
      </c>
      <c r="E57" s="71">
        <v>4875</v>
      </c>
      <c r="F57" s="71"/>
      <c r="G57" s="71">
        <f t="shared" si="25"/>
        <v>4875</v>
      </c>
      <c r="H57" s="71"/>
      <c r="I57" s="71">
        <f t="shared" si="26"/>
        <v>4875</v>
      </c>
      <c r="J57" s="71"/>
      <c r="K57" s="71">
        <f t="shared" si="27"/>
        <v>4875</v>
      </c>
      <c r="L57" s="71">
        <v>365</v>
      </c>
      <c r="M57" s="71">
        <f t="shared" si="28"/>
        <v>5240</v>
      </c>
      <c r="N57" s="71"/>
      <c r="O57" s="71">
        <f t="shared" si="29"/>
        <v>5240</v>
      </c>
      <c r="P57" s="71"/>
      <c r="Q57" s="71">
        <f t="shared" si="30"/>
        <v>5240</v>
      </c>
      <c r="R57" s="71"/>
      <c r="S57" s="71">
        <f t="shared" si="31"/>
        <v>5240</v>
      </c>
      <c r="T57" s="71"/>
      <c r="U57" s="71">
        <f t="shared" si="32"/>
        <v>5240</v>
      </c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  <c r="EH57" s="113"/>
      <c r="EI57" s="113"/>
      <c r="EJ57" s="113"/>
      <c r="EK57" s="113"/>
      <c r="EL57" s="113"/>
      <c r="EM57" s="113"/>
      <c r="EN57" s="113"/>
      <c r="EO57" s="113"/>
      <c r="EP57" s="113"/>
      <c r="EQ57" s="113"/>
      <c r="ER57" s="113"/>
      <c r="ES57" s="113"/>
      <c r="ET57" s="113"/>
      <c r="EU57" s="113"/>
      <c r="EV57" s="113"/>
      <c r="EW57" s="113"/>
      <c r="EX57" s="113"/>
      <c r="EY57" s="113"/>
      <c r="EZ57" s="113"/>
      <c r="FA57" s="113"/>
      <c r="FB57" s="113"/>
      <c r="FC57" s="113"/>
      <c r="FD57" s="113"/>
      <c r="FE57" s="113"/>
      <c r="FF57" s="113"/>
      <c r="FG57" s="113"/>
      <c r="FH57" s="113"/>
      <c r="FI57" s="113"/>
      <c r="FJ57" s="113"/>
      <c r="FK57" s="113"/>
      <c r="FL57" s="113"/>
      <c r="FM57" s="113"/>
      <c r="FN57" s="113"/>
      <c r="FO57" s="113"/>
      <c r="FP57" s="113"/>
      <c r="FQ57" s="113"/>
      <c r="FR57" s="113"/>
      <c r="FS57" s="113"/>
      <c r="FT57" s="113"/>
      <c r="FU57" s="113"/>
      <c r="FV57" s="113"/>
      <c r="FW57" s="113"/>
      <c r="FX57" s="113"/>
      <c r="FY57" s="113"/>
      <c r="FZ57" s="113"/>
      <c r="GA57" s="113"/>
      <c r="GB57" s="113"/>
      <c r="GC57" s="113"/>
      <c r="GD57" s="113"/>
      <c r="GE57" s="113"/>
      <c r="GF57" s="113"/>
      <c r="GG57" s="113"/>
      <c r="GH57" s="113"/>
      <c r="GI57" s="113"/>
      <c r="GJ57" s="113"/>
      <c r="GK57" s="113"/>
      <c r="GL57" s="113"/>
      <c r="GM57" s="113"/>
      <c r="GN57" s="113"/>
      <c r="GO57" s="113"/>
      <c r="GP57" s="113"/>
      <c r="GQ57" s="113"/>
      <c r="GR57" s="113"/>
      <c r="GS57" s="113"/>
      <c r="GT57" s="113"/>
      <c r="GU57" s="113"/>
      <c r="GV57" s="113"/>
      <c r="GW57" s="113"/>
      <c r="GX57" s="113"/>
      <c r="GY57" s="113"/>
      <c r="GZ57" s="113"/>
      <c r="HA57" s="113"/>
      <c r="HB57" s="113"/>
      <c r="HC57" s="113"/>
      <c r="HD57" s="113"/>
      <c r="HE57" s="113"/>
    </row>
    <row r="58" spans="1:213" s="24" customFormat="1" ht="78.75">
      <c r="A58" s="73"/>
      <c r="B58" s="47">
        <v>85213</v>
      </c>
      <c r="C58" s="80"/>
      <c r="D58" s="77" t="s">
        <v>362</v>
      </c>
      <c r="E58" s="92">
        <f aca="true" t="shared" si="33" ref="E58:U58">SUM(E59)</f>
        <v>12000</v>
      </c>
      <c r="F58" s="92">
        <f t="shared" si="33"/>
        <v>-73</v>
      </c>
      <c r="G58" s="92">
        <f t="shared" si="33"/>
        <v>11927</v>
      </c>
      <c r="H58" s="92">
        <f t="shared" si="33"/>
        <v>0</v>
      </c>
      <c r="I58" s="92">
        <f t="shared" si="33"/>
        <v>11927</v>
      </c>
      <c r="J58" s="92">
        <f t="shared" si="33"/>
        <v>0</v>
      </c>
      <c r="K58" s="92">
        <f t="shared" si="33"/>
        <v>11927</v>
      </c>
      <c r="L58" s="92">
        <f t="shared" si="33"/>
        <v>0</v>
      </c>
      <c r="M58" s="92">
        <f t="shared" si="33"/>
        <v>11927</v>
      </c>
      <c r="N58" s="92">
        <f t="shared" si="33"/>
        <v>0</v>
      </c>
      <c r="O58" s="92">
        <f t="shared" si="33"/>
        <v>11927</v>
      </c>
      <c r="P58" s="92">
        <f t="shared" si="33"/>
        <v>0</v>
      </c>
      <c r="Q58" s="92">
        <f t="shared" si="33"/>
        <v>11927</v>
      </c>
      <c r="R58" s="92">
        <f t="shared" si="33"/>
        <v>3673</v>
      </c>
      <c r="S58" s="92">
        <f t="shared" si="33"/>
        <v>15600</v>
      </c>
      <c r="T58" s="92">
        <f t="shared" si="33"/>
        <v>0</v>
      </c>
      <c r="U58" s="92">
        <f t="shared" si="33"/>
        <v>15600</v>
      </c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3"/>
      <c r="EG58" s="113"/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13"/>
      <c r="EU58" s="113"/>
      <c r="EV58" s="113"/>
      <c r="EW58" s="113"/>
      <c r="EX58" s="113"/>
      <c r="EY58" s="113"/>
      <c r="EZ58" s="113"/>
      <c r="FA58" s="113"/>
      <c r="FB58" s="113"/>
      <c r="FC58" s="113"/>
      <c r="FD58" s="113"/>
      <c r="FE58" s="113"/>
      <c r="FF58" s="113"/>
      <c r="FG58" s="113"/>
      <c r="FH58" s="113"/>
      <c r="FI58" s="113"/>
      <c r="FJ58" s="113"/>
      <c r="FK58" s="113"/>
      <c r="FL58" s="113"/>
      <c r="FM58" s="113"/>
      <c r="FN58" s="113"/>
      <c r="FO58" s="113"/>
      <c r="FP58" s="113"/>
      <c r="FQ58" s="113"/>
      <c r="FR58" s="113"/>
      <c r="FS58" s="113"/>
      <c r="FT58" s="113"/>
      <c r="FU58" s="113"/>
      <c r="FV58" s="113"/>
      <c r="FW58" s="113"/>
      <c r="FX58" s="113"/>
      <c r="FY58" s="113"/>
      <c r="FZ58" s="113"/>
      <c r="GA58" s="113"/>
      <c r="GB58" s="113"/>
      <c r="GC58" s="113"/>
      <c r="GD58" s="113"/>
      <c r="GE58" s="113"/>
      <c r="GF58" s="113"/>
      <c r="GG58" s="113"/>
      <c r="GH58" s="113"/>
      <c r="GI58" s="113"/>
      <c r="GJ58" s="113"/>
      <c r="GK58" s="113"/>
      <c r="GL58" s="113"/>
      <c r="GM58" s="113"/>
      <c r="GN58" s="113"/>
      <c r="GO58" s="113"/>
      <c r="GP58" s="113"/>
      <c r="GQ58" s="113"/>
      <c r="GR58" s="113"/>
      <c r="GS58" s="113"/>
      <c r="GT58" s="113"/>
      <c r="GU58" s="113"/>
      <c r="GV58" s="113"/>
      <c r="GW58" s="113"/>
      <c r="GX58" s="113"/>
      <c r="GY58" s="113"/>
      <c r="GZ58" s="113"/>
      <c r="HA58" s="113"/>
      <c r="HB58" s="113"/>
      <c r="HC58" s="113"/>
      <c r="HD58" s="113"/>
      <c r="HE58" s="113"/>
    </row>
    <row r="59" spans="1:213" s="24" customFormat="1" ht="21" customHeight="1">
      <c r="A59" s="73"/>
      <c r="B59" s="47"/>
      <c r="C59" s="80">
        <v>4130</v>
      </c>
      <c r="D59" s="77" t="s">
        <v>120</v>
      </c>
      <c r="E59" s="92">
        <v>12000</v>
      </c>
      <c r="F59" s="92">
        <v>-73</v>
      </c>
      <c r="G59" s="92">
        <f>SUM(E59:F59)</f>
        <v>11927</v>
      </c>
      <c r="H59" s="92"/>
      <c r="I59" s="92">
        <f>SUM(G59:H59)</f>
        <v>11927</v>
      </c>
      <c r="J59" s="92"/>
      <c r="K59" s="92">
        <f>SUM(I59:J59)</f>
        <v>11927</v>
      </c>
      <c r="L59" s="92"/>
      <c r="M59" s="92">
        <f>SUM(K59:L59)</f>
        <v>11927</v>
      </c>
      <c r="N59" s="92"/>
      <c r="O59" s="92">
        <f>SUM(M59:N59)</f>
        <v>11927</v>
      </c>
      <c r="P59" s="92"/>
      <c r="Q59" s="92">
        <f>SUM(O59:P59)</f>
        <v>11927</v>
      </c>
      <c r="R59" s="92">
        <v>3673</v>
      </c>
      <c r="S59" s="92">
        <f>SUM(Q59:R59)</f>
        <v>15600</v>
      </c>
      <c r="T59" s="92"/>
      <c r="U59" s="92">
        <f>SUM(S59:T59)</f>
        <v>15600</v>
      </c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3"/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3"/>
      <c r="EE59" s="113"/>
      <c r="EF59" s="113"/>
      <c r="EG59" s="113"/>
      <c r="EH59" s="113"/>
      <c r="EI59" s="113"/>
      <c r="EJ59" s="113"/>
      <c r="EK59" s="113"/>
      <c r="EL59" s="113"/>
      <c r="EM59" s="113"/>
      <c r="EN59" s="113"/>
      <c r="EO59" s="113"/>
      <c r="EP59" s="113"/>
      <c r="EQ59" s="113"/>
      <c r="ER59" s="113"/>
      <c r="ES59" s="113"/>
      <c r="ET59" s="113"/>
      <c r="EU59" s="113"/>
      <c r="EV59" s="113"/>
      <c r="EW59" s="113"/>
      <c r="EX59" s="113"/>
      <c r="EY59" s="113"/>
      <c r="EZ59" s="113"/>
      <c r="FA59" s="113"/>
      <c r="FB59" s="113"/>
      <c r="FC59" s="113"/>
      <c r="FD59" s="113"/>
      <c r="FE59" s="113"/>
      <c r="FF59" s="113"/>
      <c r="FG59" s="113"/>
      <c r="FH59" s="113"/>
      <c r="FI59" s="113"/>
      <c r="FJ59" s="113"/>
      <c r="FK59" s="113"/>
      <c r="FL59" s="113"/>
      <c r="FM59" s="113"/>
      <c r="FN59" s="113"/>
      <c r="FO59" s="113"/>
      <c r="FP59" s="113"/>
      <c r="FQ59" s="113"/>
      <c r="FR59" s="113"/>
      <c r="FS59" s="113"/>
      <c r="FT59" s="113"/>
      <c r="FU59" s="113"/>
      <c r="FV59" s="113"/>
      <c r="FW59" s="113"/>
      <c r="FX59" s="113"/>
      <c r="FY59" s="113"/>
      <c r="FZ59" s="113"/>
      <c r="GA59" s="113"/>
      <c r="GB59" s="113"/>
      <c r="GC59" s="113"/>
      <c r="GD59" s="113"/>
      <c r="GE59" s="113"/>
      <c r="GF59" s="113"/>
      <c r="GG59" s="113"/>
      <c r="GH59" s="113"/>
      <c r="GI59" s="113"/>
      <c r="GJ59" s="113"/>
      <c r="GK59" s="113"/>
      <c r="GL59" s="113"/>
      <c r="GM59" s="113"/>
      <c r="GN59" s="113"/>
      <c r="GO59" s="113"/>
      <c r="GP59" s="113"/>
      <c r="GQ59" s="113"/>
      <c r="GR59" s="113"/>
      <c r="GS59" s="113"/>
      <c r="GT59" s="113"/>
      <c r="GU59" s="113"/>
      <c r="GV59" s="113"/>
      <c r="GW59" s="113"/>
      <c r="GX59" s="113"/>
      <c r="GY59" s="113"/>
      <c r="GZ59" s="113"/>
      <c r="HA59" s="113"/>
      <c r="HB59" s="113"/>
      <c r="HC59" s="113"/>
      <c r="HD59" s="113"/>
      <c r="HE59" s="113"/>
    </row>
    <row r="60" spans="1:213" s="24" customFormat="1" ht="21" customHeight="1">
      <c r="A60" s="73"/>
      <c r="B60" s="47">
        <v>85219</v>
      </c>
      <c r="C60" s="47"/>
      <c r="D60" s="38" t="s">
        <v>58</v>
      </c>
      <c r="E60" s="92"/>
      <c r="F60" s="92"/>
      <c r="G60" s="92">
        <f aca="true" t="shared" si="34" ref="G60:U60">SUM(G61)</f>
        <v>0</v>
      </c>
      <c r="H60" s="92">
        <f t="shared" si="34"/>
        <v>5500</v>
      </c>
      <c r="I60" s="92">
        <f t="shared" si="34"/>
        <v>5500</v>
      </c>
      <c r="J60" s="92">
        <f t="shared" si="34"/>
        <v>0</v>
      </c>
      <c r="K60" s="92">
        <f t="shared" si="34"/>
        <v>5500</v>
      </c>
      <c r="L60" s="92">
        <f t="shared" si="34"/>
        <v>0</v>
      </c>
      <c r="M60" s="92">
        <f t="shared" si="34"/>
        <v>5500</v>
      </c>
      <c r="N60" s="92">
        <f t="shared" si="34"/>
        <v>0</v>
      </c>
      <c r="O60" s="92">
        <f t="shared" si="34"/>
        <v>5500</v>
      </c>
      <c r="P60" s="92">
        <f t="shared" si="34"/>
        <v>0</v>
      </c>
      <c r="Q60" s="92">
        <f t="shared" si="34"/>
        <v>5500</v>
      </c>
      <c r="R60" s="92">
        <f t="shared" si="34"/>
        <v>0</v>
      </c>
      <c r="S60" s="92">
        <f t="shared" si="34"/>
        <v>5500</v>
      </c>
      <c r="T60" s="92">
        <f t="shared" si="34"/>
        <v>4000</v>
      </c>
      <c r="U60" s="92">
        <f t="shared" si="34"/>
        <v>9500</v>
      </c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3"/>
      <c r="EF60" s="113"/>
      <c r="EG60" s="113"/>
      <c r="EH60" s="113"/>
      <c r="EI60" s="113"/>
      <c r="EJ60" s="113"/>
      <c r="EK60" s="113"/>
      <c r="EL60" s="113"/>
      <c r="EM60" s="113"/>
      <c r="EN60" s="113"/>
      <c r="EO60" s="113"/>
      <c r="EP60" s="113"/>
      <c r="EQ60" s="113"/>
      <c r="ER60" s="113"/>
      <c r="ES60" s="113"/>
      <c r="ET60" s="113"/>
      <c r="EU60" s="113"/>
      <c r="EV60" s="113"/>
      <c r="EW60" s="113"/>
      <c r="EX60" s="113"/>
      <c r="EY60" s="113"/>
      <c r="EZ60" s="113"/>
      <c r="FA60" s="113"/>
      <c r="FB60" s="113"/>
      <c r="FC60" s="113"/>
      <c r="FD60" s="113"/>
      <c r="FE60" s="113"/>
      <c r="FF60" s="113"/>
      <c r="FG60" s="113"/>
      <c r="FH60" s="113"/>
      <c r="FI60" s="113"/>
      <c r="FJ60" s="113"/>
      <c r="FK60" s="113"/>
      <c r="FL60" s="113"/>
      <c r="FM60" s="113"/>
      <c r="FN60" s="113"/>
      <c r="FO60" s="113"/>
      <c r="FP60" s="113"/>
      <c r="FQ60" s="113"/>
      <c r="FR60" s="113"/>
      <c r="FS60" s="113"/>
      <c r="FT60" s="113"/>
      <c r="FU60" s="113"/>
      <c r="FV60" s="113"/>
      <c r="FW60" s="113"/>
      <c r="FX60" s="113"/>
      <c r="FY60" s="113"/>
      <c r="FZ60" s="113"/>
      <c r="GA60" s="113"/>
      <c r="GB60" s="113"/>
      <c r="GC60" s="113"/>
      <c r="GD60" s="113"/>
      <c r="GE60" s="113"/>
      <c r="GF60" s="113"/>
      <c r="GG60" s="113"/>
      <c r="GH60" s="113"/>
      <c r="GI60" s="113"/>
      <c r="GJ60" s="113"/>
      <c r="GK60" s="113"/>
      <c r="GL60" s="113"/>
      <c r="GM60" s="113"/>
      <c r="GN60" s="113"/>
      <c r="GO60" s="113"/>
      <c r="GP60" s="113"/>
      <c r="GQ60" s="113"/>
      <c r="GR60" s="113"/>
      <c r="GS60" s="113"/>
      <c r="GT60" s="113"/>
      <c r="GU60" s="113"/>
      <c r="GV60" s="113"/>
      <c r="GW60" s="113"/>
      <c r="GX60" s="113"/>
      <c r="GY60" s="113"/>
      <c r="GZ60" s="113"/>
      <c r="HA60" s="113"/>
      <c r="HB60" s="113"/>
      <c r="HC60" s="113"/>
      <c r="HD60" s="113"/>
      <c r="HE60" s="113"/>
    </row>
    <row r="61" spans="1:213" s="24" customFormat="1" ht="21" customHeight="1">
      <c r="A61" s="73"/>
      <c r="B61" s="235"/>
      <c r="C61" s="47">
        <v>3110</v>
      </c>
      <c r="D61" s="77" t="s">
        <v>112</v>
      </c>
      <c r="E61" s="92"/>
      <c r="F61" s="92"/>
      <c r="G61" s="92">
        <v>0</v>
      </c>
      <c r="H61" s="92">
        <v>5500</v>
      </c>
      <c r="I61" s="92">
        <f>SUM(G61:H61)</f>
        <v>5500</v>
      </c>
      <c r="J61" s="92"/>
      <c r="K61" s="92">
        <f>SUM(I61:J61)</f>
        <v>5500</v>
      </c>
      <c r="L61" s="92"/>
      <c r="M61" s="92">
        <f>SUM(K61:L61)</f>
        <v>5500</v>
      </c>
      <c r="N61" s="92"/>
      <c r="O61" s="92">
        <f>SUM(M61:N61)</f>
        <v>5500</v>
      </c>
      <c r="P61" s="92"/>
      <c r="Q61" s="92">
        <f>SUM(O61:P61)</f>
        <v>5500</v>
      </c>
      <c r="R61" s="92"/>
      <c r="S61" s="92">
        <f>SUM(Q61:R61)</f>
        <v>5500</v>
      </c>
      <c r="T61" s="92">
        <v>4000</v>
      </c>
      <c r="U61" s="92">
        <f>SUM(S61:T61)</f>
        <v>9500</v>
      </c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</row>
    <row r="62" spans="1:213" ht="21" customHeight="1">
      <c r="A62" s="9"/>
      <c r="B62" s="9"/>
      <c r="C62" s="9"/>
      <c r="D62" s="17" t="s">
        <v>68</v>
      </c>
      <c r="E62" s="41">
        <f aca="true" t="shared" si="35" ref="E62:J62">SUM(E50,E32,E17,)</f>
        <v>6723852</v>
      </c>
      <c r="F62" s="41">
        <f t="shared" si="35"/>
        <v>-73</v>
      </c>
      <c r="G62" s="41">
        <f t="shared" si="35"/>
        <v>6723779</v>
      </c>
      <c r="H62" s="41">
        <f t="shared" si="35"/>
        <v>5500</v>
      </c>
      <c r="I62" s="41">
        <f t="shared" si="35"/>
        <v>6729279</v>
      </c>
      <c r="J62" s="41">
        <f t="shared" si="35"/>
        <v>0</v>
      </c>
      <c r="K62" s="41">
        <f aca="true" t="shared" si="36" ref="K62:U62">SUM(K50,K32,K17,K7)</f>
        <v>6729279</v>
      </c>
      <c r="L62" s="41">
        <f t="shared" si="36"/>
        <v>292460</v>
      </c>
      <c r="M62" s="41">
        <f t="shared" si="36"/>
        <v>7021739</v>
      </c>
      <c r="N62" s="41">
        <f t="shared" si="36"/>
        <v>21375</v>
      </c>
      <c r="O62" s="41">
        <f t="shared" si="36"/>
        <v>7043114</v>
      </c>
      <c r="P62" s="41">
        <f t="shared" si="36"/>
        <v>11000</v>
      </c>
      <c r="Q62" s="41">
        <f t="shared" si="36"/>
        <v>7054114</v>
      </c>
      <c r="R62" s="41">
        <f t="shared" si="36"/>
        <v>25048</v>
      </c>
      <c r="S62" s="41">
        <f t="shared" si="36"/>
        <v>7079162</v>
      </c>
      <c r="T62" s="41">
        <f t="shared" si="36"/>
        <v>18329</v>
      </c>
      <c r="U62" s="41">
        <f t="shared" si="36"/>
        <v>7097491</v>
      </c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  <c r="EI62" s="109"/>
      <c r="EJ62" s="109"/>
      <c r="EK62" s="109"/>
      <c r="EL62" s="109"/>
      <c r="EM62" s="109"/>
      <c r="EN62" s="109"/>
      <c r="EO62" s="109"/>
      <c r="EP62" s="109"/>
      <c r="EQ62" s="109"/>
      <c r="ER62" s="109"/>
      <c r="ES62" s="109"/>
      <c r="ET62" s="109"/>
      <c r="EU62" s="109"/>
      <c r="EV62" s="109"/>
      <c r="EW62" s="109"/>
      <c r="EX62" s="109"/>
      <c r="EY62" s="109"/>
      <c r="EZ62" s="109"/>
      <c r="FA62" s="109"/>
      <c r="FB62" s="109"/>
      <c r="FC62" s="109"/>
      <c r="FD62" s="109"/>
      <c r="FE62" s="109"/>
      <c r="FF62" s="109"/>
      <c r="FG62" s="109"/>
      <c r="FH62" s="109"/>
      <c r="FI62" s="109"/>
      <c r="FJ62" s="109"/>
      <c r="FK62" s="109"/>
      <c r="FL62" s="109"/>
      <c r="FM62" s="109"/>
      <c r="FN62" s="109"/>
      <c r="FO62" s="109"/>
      <c r="FP62" s="109"/>
      <c r="FQ62" s="109"/>
      <c r="FR62" s="109"/>
      <c r="FS62" s="109"/>
      <c r="FT62" s="109"/>
      <c r="FU62" s="109"/>
      <c r="FV62" s="109"/>
      <c r="FW62" s="109"/>
      <c r="FX62" s="109"/>
      <c r="FY62" s="109"/>
      <c r="FZ62" s="109"/>
      <c r="GA62" s="109"/>
      <c r="GB62" s="109"/>
      <c r="GC62" s="109"/>
      <c r="GD62" s="109"/>
      <c r="GE62" s="109"/>
      <c r="GF62" s="109"/>
      <c r="GG62" s="109"/>
      <c r="GH62" s="109"/>
      <c r="GI62" s="109"/>
      <c r="GJ62" s="109"/>
      <c r="GK62" s="109"/>
      <c r="GL62" s="109"/>
      <c r="GM62" s="109"/>
      <c r="GN62" s="109"/>
      <c r="GO62" s="109"/>
      <c r="GP62" s="109"/>
      <c r="GQ62" s="109"/>
      <c r="GR62" s="109"/>
      <c r="GS62" s="109"/>
      <c r="GT62" s="109"/>
      <c r="GU62" s="109"/>
      <c r="GV62" s="109"/>
      <c r="GW62" s="109"/>
      <c r="GX62" s="109"/>
      <c r="GY62" s="109"/>
      <c r="GZ62" s="109"/>
      <c r="HA62" s="109"/>
      <c r="HB62" s="109"/>
      <c r="HC62" s="109"/>
      <c r="HD62" s="109"/>
      <c r="HE62" s="109"/>
    </row>
    <row r="64" spans="5:21" ht="12.75"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</row>
    <row r="65" spans="5:21" ht="12.75"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</row>
    <row r="66" spans="5:21" ht="12.75"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</row>
    <row r="67" spans="5:21" ht="12.75"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</row>
    <row r="68" spans="5:21" ht="12.75"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</row>
    <row r="69" spans="5:21" ht="12.75"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</row>
    <row r="70" spans="5:21" ht="12.75"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</row>
    <row r="71" spans="5:21" ht="12.75"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</row>
    <row r="72" spans="5:21" ht="12.75"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</row>
    <row r="73" spans="5:21" ht="12.75"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</row>
    <row r="74" spans="5:21" ht="12.75"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</row>
    <row r="75" spans="5:21" ht="12.75"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</row>
    <row r="76" spans="5:21" ht="12.75"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</row>
    <row r="77" spans="5:21" ht="12.75"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</row>
    <row r="78" spans="5:21" ht="12.75"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</row>
    <row r="79" spans="5:21" ht="12.75"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</row>
  </sheetData>
  <sheetProtection/>
  <mergeCells count="1">
    <mergeCell ref="A5:U5"/>
  </mergeCells>
  <printOptions horizontalCentered="1"/>
  <pageMargins left="0.5511811023622047" right="0.5118110236220472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&amp;C&amp;8Administracja rządowa - str.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O21" sqref="O21"/>
    </sheetView>
  </sheetViews>
  <sheetFormatPr defaultColWidth="9.00390625" defaultRowHeight="12.75"/>
  <cols>
    <col min="1" max="1" width="4.875" style="7" customWidth="1"/>
    <col min="2" max="2" width="6.875" style="7" customWidth="1"/>
    <col min="3" max="3" width="4.375" style="7" bestFit="1" customWidth="1"/>
    <col min="4" max="4" width="31.625" style="7" customWidth="1"/>
    <col min="5" max="5" width="13.375" style="0" hidden="1" customWidth="1"/>
    <col min="6" max="6" width="9.125" style="0" hidden="1" customWidth="1"/>
    <col min="7" max="7" width="12.875" style="0" hidden="1" customWidth="1"/>
    <col min="8" max="8" width="12.375" style="0" hidden="1" customWidth="1"/>
    <col min="9" max="9" width="14.00390625" style="0" hidden="1" customWidth="1"/>
    <col min="10" max="10" width="14.75390625" style="0" hidden="1" customWidth="1"/>
    <col min="11" max="11" width="15.00390625" style="0" customWidth="1"/>
    <col min="12" max="12" width="14.75390625" style="0" customWidth="1"/>
    <col min="13" max="13" width="15.00390625" style="0" customWidth="1"/>
  </cols>
  <sheetData>
    <row r="1" spans="5:13" ht="12.75">
      <c r="E1" s="57" t="s">
        <v>462</v>
      </c>
      <c r="F1" s="57"/>
      <c r="G1" s="57" t="s">
        <v>487</v>
      </c>
      <c r="H1" s="57"/>
      <c r="I1" s="57" t="s">
        <v>504</v>
      </c>
      <c r="J1" s="57"/>
      <c r="K1" s="57" t="s">
        <v>520</v>
      </c>
      <c r="L1" s="57"/>
      <c r="M1" s="57"/>
    </row>
    <row r="2" spans="5:13" ht="12.75">
      <c r="E2" s="57" t="s">
        <v>352</v>
      </c>
      <c r="F2" s="57"/>
      <c r="G2" s="57" t="s">
        <v>479</v>
      </c>
      <c r="H2" s="57"/>
      <c r="I2" s="57" t="s">
        <v>499</v>
      </c>
      <c r="J2" s="57"/>
      <c r="K2" s="57" t="s">
        <v>521</v>
      </c>
      <c r="L2" s="57"/>
      <c r="M2" s="57"/>
    </row>
    <row r="3" spans="5:13" ht="12.75">
      <c r="E3" s="57" t="s">
        <v>463</v>
      </c>
      <c r="F3" s="57"/>
      <c r="G3" s="57" t="s">
        <v>462</v>
      </c>
      <c r="H3" s="57"/>
      <c r="I3" s="57" t="s">
        <v>487</v>
      </c>
      <c r="J3" s="57"/>
      <c r="K3" s="57" t="s">
        <v>504</v>
      </c>
      <c r="L3" s="57"/>
      <c r="M3" s="57"/>
    </row>
    <row r="4" spans="5:13" ht="12.75">
      <c r="E4" s="57" t="s">
        <v>350</v>
      </c>
      <c r="F4" s="57"/>
      <c r="G4" s="57" t="s">
        <v>364</v>
      </c>
      <c r="H4" s="57"/>
      <c r="I4" s="57" t="s">
        <v>488</v>
      </c>
      <c r="J4" s="57"/>
      <c r="K4" s="57" t="s">
        <v>510</v>
      </c>
      <c r="L4" s="57"/>
      <c r="M4" s="57"/>
    </row>
    <row r="5" spans="1:13" ht="39" customHeight="1">
      <c r="A5" s="335" t="s">
        <v>464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</row>
    <row r="6" spans="1:13" ht="25.5" customHeight="1">
      <c r="A6" s="336" t="s">
        <v>465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</row>
    <row r="7" spans="1:13" s="273" customFormat="1" ht="24">
      <c r="A7" s="1" t="s">
        <v>0</v>
      </c>
      <c r="B7" s="1" t="s">
        <v>1</v>
      </c>
      <c r="C7" s="1" t="s">
        <v>2</v>
      </c>
      <c r="D7" s="1" t="s">
        <v>3</v>
      </c>
      <c r="E7" s="105" t="s">
        <v>363</v>
      </c>
      <c r="F7" s="105" t="s">
        <v>316</v>
      </c>
      <c r="G7" s="105" t="s">
        <v>143</v>
      </c>
      <c r="H7" s="105" t="s">
        <v>316</v>
      </c>
      <c r="I7" s="105" t="s">
        <v>143</v>
      </c>
      <c r="J7" s="105" t="s">
        <v>316</v>
      </c>
      <c r="K7" s="105" t="s">
        <v>143</v>
      </c>
      <c r="L7" s="105" t="s">
        <v>316</v>
      </c>
      <c r="M7" s="105" t="s">
        <v>348</v>
      </c>
    </row>
    <row r="8" spans="1:13" s="276" customFormat="1" ht="48">
      <c r="A8" s="1">
        <v>756</v>
      </c>
      <c r="B8" s="1"/>
      <c r="C8" s="1"/>
      <c r="D8" s="274" t="s">
        <v>466</v>
      </c>
      <c r="E8" s="275">
        <f aca="true" t="shared" si="0" ref="E8:M9">SUM(E9)</f>
        <v>330000</v>
      </c>
      <c r="F8" s="275">
        <f t="shared" si="0"/>
        <v>0</v>
      </c>
      <c r="G8" s="275">
        <f t="shared" si="0"/>
        <v>330000</v>
      </c>
      <c r="H8" s="275">
        <f t="shared" si="0"/>
        <v>0</v>
      </c>
      <c r="I8" s="275">
        <f t="shared" si="0"/>
        <v>330000</v>
      </c>
      <c r="J8" s="275">
        <f t="shared" si="0"/>
        <v>0</v>
      </c>
      <c r="K8" s="275">
        <f t="shared" si="0"/>
        <v>330000</v>
      </c>
      <c r="L8" s="275">
        <f t="shared" si="0"/>
        <v>0</v>
      </c>
      <c r="M8" s="275">
        <f t="shared" si="0"/>
        <v>330000</v>
      </c>
    </row>
    <row r="9" spans="1:13" s="116" customFormat="1" ht="41.25" customHeight="1">
      <c r="A9" s="53"/>
      <c r="B9" s="47">
        <v>75618</v>
      </c>
      <c r="C9" s="53"/>
      <c r="D9" s="277" t="s">
        <v>467</v>
      </c>
      <c r="E9" s="278">
        <f t="shared" si="0"/>
        <v>330000</v>
      </c>
      <c r="F9" s="278">
        <f t="shared" si="0"/>
        <v>0</v>
      </c>
      <c r="G9" s="278">
        <f t="shared" si="0"/>
        <v>330000</v>
      </c>
      <c r="H9" s="278">
        <f t="shared" si="0"/>
        <v>0</v>
      </c>
      <c r="I9" s="278">
        <f t="shared" si="0"/>
        <v>330000</v>
      </c>
      <c r="J9" s="278">
        <f t="shared" si="0"/>
        <v>0</v>
      </c>
      <c r="K9" s="278">
        <f t="shared" si="0"/>
        <v>330000</v>
      </c>
      <c r="L9" s="278">
        <f t="shared" si="0"/>
        <v>0</v>
      </c>
      <c r="M9" s="278">
        <f t="shared" si="0"/>
        <v>330000</v>
      </c>
    </row>
    <row r="10" spans="1:13" s="116" customFormat="1" ht="31.5" customHeight="1">
      <c r="A10" s="53"/>
      <c r="B10" s="53"/>
      <c r="C10" s="279" t="s">
        <v>177</v>
      </c>
      <c r="D10" s="77" t="s">
        <v>468</v>
      </c>
      <c r="E10" s="278">
        <v>330000</v>
      </c>
      <c r="F10" s="278"/>
      <c r="G10" s="278">
        <f>SUM(E10:F10)</f>
        <v>330000</v>
      </c>
      <c r="H10" s="278"/>
      <c r="I10" s="278">
        <f>SUM(G10:H10)</f>
        <v>330000</v>
      </c>
      <c r="J10" s="278"/>
      <c r="K10" s="278">
        <f>SUM(I10:J10)</f>
        <v>330000</v>
      </c>
      <c r="L10" s="278"/>
      <c r="M10" s="278">
        <f>SUM(K10:L10)</f>
        <v>330000</v>
      </c>
    </row>
    <row r="11" spans="1:13" s="281" customFormat="1" ht="24" customHeight="1">
      <c r="A11" s="280"/>
      <c r="B11" s="280"/>
      <c r="C11" s="280"/>
      <c r="D11" s="1" t="s">
        <v>68</v>
      </c>
      <c r="E11" s="275">
        <f aca="true" t="shared" si="1" ref="E11:K11">SUM(E8)</f>
        <v>330000</v>
      </c>
      <c r="F11" s="275">
        <f t="shared" si="1"/>
        <v>0</v>
      </c>
      <c r="G11" s="275">
        <f t="shared" si="1"/>
        <v>330000</v>
      </c>
      <c r="H11" s="275">
        <f t="shared" si="1"/>
        <v>0</v>
      </c>
      <c r="I11" s="275">
        <f t="shared" si="1"/>
        <v>330000</v>
      </c>
      <c r="J11" s="275">
        <f t="shared" si="1"/>
        <v>0</v>
      </c>
      <c r="K11" s="275">
        <f t="shared" si="1"/>
        <v>330000</v>
      </c>
      <c r="L11" s="275">
        <f>SUM(L8)</f>
        <v>0</v>
      </c>
      <c r="M11" s="275">
        <f>SUM(M8)</f>
        <v>330000</v>
      </c>
    </row>
    <row r="12" spans="1:13" ht="27.75" customHeight="1">
      <c r="A12" s="336" t="s">
        <v>469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</row>
    <row r="13" spans="1:13" s="117" customFormat="1" ht="24">
      <c r="A13" s="1" t="s">
        <v>0</v>
      </c>
      <c r="B13" s="1" t="s">
        <v>1</v>
      </c>
      <c r="C13" s="1" t="s">
        <v>2</v>
      </c>
      <c r="D13" s="1" t="s">
        <v>3</v>
      </c>
      <c r="E13" s="105" t="s">
        <v>363</v>
      </c>
      <c r="F13" s="105" t="s">
        <v>316</v>
      </c>
      <c r="G13" s="105" t="s">
        <v>143</v>
      </c>
      <c r="H13" s="105" t="s">
        <v>316</v>
      </c>
      <c r="I13" s="105" t="s">
        <v>143</v>
      </c>
      <c r="J13" s="105" t="s">
        <v>316</v>
      </c>
      <c r="K13" s="105" t="s">
        <v>143</v>
      </c>
      <c r="L13" s="105" t="s">
        <v>316</v>
      </c>
      <c r="M13" s="105" t="s">
        <v>348</v>
      </c>
    </row>
    <row r="14" spans="1:13" s="117" customFormat="1" ht="27" customHeight="1">
      <c r="A14" s="33" t="s">
        <v>45</v>
      </c>
      <c r="B14" s="34"/>
      <c r="C14" s="35"/>
      <c r="D14" s="36" t="s">
        <v>46</v>
      </c>
      <c r="E14" s="120">
        <f aca="true" t="shared" si="2" ref="E14:M15">SUM(E15)</f>
        <v>108500</v>
      </c>
      <c r="F14" s="120">
        <f t="shared" si="2"/>
        <v>-47545</v>
      </c>
      <c r="G14" s="120">
        <f t="shared" si="2"/>
        <v>60955</v>
      </c>
      <c r="H14" s="120">
        <f t="shared" si="2"/>
        <v>-20955</v>
      </c>
      <c r="I14" s="120">
        <f t="shared" si="2"/>
        <v>40000</v>
      </c>
      <c r="J14" s="120">
        <f t="shared" si="2"/>
        <v>-40000</v>
      </c>
      <c r="K14" s="120">
        <f t="shared" si="2"/>
        <v>0</v>
      </c>
      <c r="L14" s="120">
        <f t="shared" si="2"/>
        <v>0</v>
      </c>
      <c r="M14" s="120">
        <f t="shared" si="2"/>
        <v>0</v>
      </c>
    </row>
    <row r="15" spans="1:13" s="282" customFormat="1" ht="19.5" customHeight="1">
      <c r="A15" s="67"/>
      <c r="B15" s="82" t="s">
        <v>106</v>
      </c>
      <c r="C15" s="86"/>
      <c r="D15" s="38" t="s">
        <v>107</v>
      </c>
      <c r="E15" s="268">
        <f t="shared" si="2"/>
        <v>108500</v>
      </c>
      <c r="F15" s="268">
        <f t="shared" si="2"/>
        <v>-47545</v>
      </c>
      <c r="G15" s="268">
        <f t="shared" si="2"/>
        <v>60955</v>
      </c>
      <c r="H15" s="268">
        <f t="shared" si="2"/>
        <v>-20955</v>
      </c>
      <c r="I15" s="268">
        <f t="shared" si="2"/>
        <v>40000</v>
      </c>
      <c r="J15" s="268">
        <f t="shared" si="2"/>
        <v>-40000</v>
      </c>
      <c r="K15" s="268">
        <f t="shared" si="2"/>
        <v>0</v>
      </c>
      <c r="L15" s="268">
        <f t="shared" si="2"/>
        <v>0</v>
      </c>
      <c r="M15" s="268">
        <f t="shared" si="2"/>
        <v>0</v>
      </c>
    </row>
    <row r="16" spans="1:13" s="282" customFormat="1" ht="24" customHeight="1">
      <c r="A16" s="67"/>
      <c r="B16" s="87"/>
      <c r="C16" s="86">
        <v>4810</v>
      </c>
      <c r="D16" s="38" t="s">
        <v>108</v>
      </c>
      <c r="E16" s="268">
        <f>40000+55000+13500</f>
        <v>108500</v>
      </c>
      <c r="F16" s="268">
        <v>-47545</v>
      </c>
      <c r="G16" s="268">
        <f>SUM(E16:F16)</f>
        <v>60955</v>
      </c>
      <c r="H16" s="268">
        <f>-1430-13500-6025</f>
        <v>-20955</v>
      </c>
      <c r="I16" s="268">
        <f>SUM(G16:H16)</f>
        <v>40000</v>
      </c>
      <c r="J16" s="268">
        <f>-12000-28000</f>
        <v>-40000</v>
      </c>
      <c r="K16" s="268">
        <f>SUM(I16:J16)</f>
        <v>0</v>
      </c>
      <c r="L16" s="268"/>
      <c r="M16" s="268">
        <f>SUM(K16:L16)</f>
        <v>0</v>
      </c>
    </row>
    <row r="17" spans="1:13" s="285" customFormat="1" ht="24.75" customHeight="1">
      <c r="A17" s="1">
        <v>851</v>
      </c>
      <c r="B17" s="1"/>
      <c r="C17" s="1"/>
      <c r="D17" s="283" t="s">
        <v>470</v>
      </c>
      <c r="E17" s="284">
        <f aca="true" t="shared" si="3" ref="E17:K17">E20+E18</f>
        <v>112403</v>
      </c>
      <c r="F17" s="284">
        <f t="shared" si="3"/>
        <v>47545</v>
      </c>
      <c r="G17" s="284">
        <f t="shared" si="3"/>
        <v>159948</v>
      </c>
      <c r="H17" s="284">
        <f t="shared" si="3"/>
        <v>14930</v>
      </c>
      <c r="I17" s="284">
        <f t="shared" si="3"/>
        <v>174878</v>
      </c>
      <c r="J17" s="284">
        <f t="shared" si="3"/>
        <v>0</v>
      </c>
      <c r="K17" s="284">
        <f t="shared" si="3"/>
        <v>174878</v>
      </c>
      <c r="L17" s="284">
        <f>L20+L18</f>
        <v>0</v>
      </c>
      <c r="M17" s="284">
        <f>M20+M18</f>
        <v>174878</v>
      </c>
    </row>
    <row r="18" spans="1:13" s="285" customFormat="1" ht="23.25" customHeight="1">
      <c r="A18" s="1"/>
      <c r="B18" s="53">
        <v>85153</v>
      </c>
      <c r="C18" s="1"/>
      <c r="D18" s="50" t="s">
        <v>220</v>
      </c>
      <c r="E18" s="286">
        <f aca="true" t="shared" si="4" ref="E18:M18">SUM(E19:E19)</f>
        <v>5600</v>
      </c>
      <c r="F18" s="286">
        <f t="shared" si="4"/>
        <v>0</v>
      </c>
      <c r="G18" s="286">
        <f t="shared" si="4"/>
        <v>5600</v>
      </c>
      <c r="H18" s="286">
        <f t="shared" si="4"/>
        <v>0</v>
      </c>
      <c r="I18" s="286">
        <f t="shared" si="4"/>
        <v>5600</v>
      </c>
      <c r="J18" s="286">
        <f t="shared" si="4"/>
        <v>0</v>
      </c>
      <c r="K18" s="286">
        <f t="shared" si="4"/>
        <v>5600</v>
      </c>
      <c r="L18" s="286">
        <f t="shared" si="4"/>
        <v>0</v>
      </c>
      <c r="M18" s="286">
        <f t="shared" si="4"/>
        <v>5600</v>
      </c>
    </row>
    <row r="19" spans="1:13" s="288" customFormat="1" ht="20.25" customHeight="1">
      <c r="A19" s="287"/>
      <c r="B19" s="287"/>
      <c r="C19" s="47">
        <v>4300</v>
      </c>
      <c r="D19" s="38" t="s">
        <v>79</v>
      </c>
      <c r="E19" s="286">
        <v>5600</v>
      </c>
      <c r="F19" s="286"/>
      <c r="G19" s="286">
        <f>SUM(E19:F19)</f>
        <v>5600</v>
      </c>
      <c r="H19" s="286"/>
      <c r="I19" s="286">
        <f>SUM(G19:H19)</f>
        <v>5600</v>
      </c>
      <c r="J19" s="286"/>
      <c r="K19" s="286">
        <f>SUM(I19:J19)</f>
        <v>5600</v>
      </c>
      <c r="L19" s="286"/>
      <c r="M19" s="286">
        <f>SUM(K19:L19)</f>
        <v>5600</v>
      </c>
    </row>
    <row r="20" spans="1:13" s="24" customFormat="1" ht="20.25" customHeight="1">
      <c r="A20" s="73"/>
      <c r="B20" s="73" t="s">
        <v>119</v>
      </c>
      <c r="C20" s="47"/>
      <c r="D20" s="13" t="s">
        <v>54</v>
      </c>
      <c r="E20" s="85">
        <f>SUM(E22:E29)</f>
        <v>106803</v>
      </c>
      <c r="F20" s="85">
        <f>SUM(F22:F29)</f>
        <v>47545</v>
      </c>
      <c r="G20" s="85">
        <f>SUM(G21:G29)</f>
        <v>154348</v>
      </c>
      <c r="H20" s="85">
        <f>SUM(H21:H29)</f>
        <v>14930</v>
      </c>
      <c r="I20" s="85">
        <f>SUM(I21:I29)</f>
        <v>169278</v>
      </c>
      <c r="J20" s="85">
        <f>SUM(J21:J29)</f>
        <v>0</v>
      </c>
      <c r="K20" s="85">
        <f>SUM(K21:K30)</f>
        <v>169278</v>
      </c>
      <c r="L20" s="85">
        <f>SUM(L21:L30)</f>
        <v>0</v>
      </c>
      <c r="M20" s="85">
        <f>SUM(M21:M30)</f>
        <v>169278</v>
      </c>
    </row>
    <row r="21" spans="1:13" s="24" customFormat="1" ht="56.25">
      <c r="A21" s="73"/>
      <c r="B21" s="73"/>
      <c r="C21" s="47">
        <v>2710</v>
      </c>
      <c r="D21" s="13" t="s">
        <v>471</v>
      </c>
      <c r="E21" s="85"/>
      <c r="F21" s="85"/>
      <c r="G21" s="85">
        <v>0</v>
      </c>
      <c r="H21" s="85">
        <f>1430+6000+13500</f>
        <v>20930</v>
      </c>
      <c r="I21" s="85">
        <f>SUM(G21:H21)</f>
        <v>20930</v>
      </c>
      <c r="J21" s="85"/>
      <c r="K21" s="85">
        <f>SUM(I21:J21)</f>
        <v>20930</v>
      </c>
      <c r="L21" s="85"/>
      <c r="M21" s="85">
        <f>SUM(K21:L21)</f>
        <v>20930</v>
      </c>
    </row>
    <row r="22" spans="1:13" s="24" customFormat="1" ht="56.25">
      <c r="A22" s="73"/>
      <c r="B22" s="73"/>
      <c r="C22" s="47">
        <v>2830</v>
      </c>
      <c r="D22" s="13" t="s">
        <v>314</v>
      </c>
      <c r="E22" s="85">
        <v>0</v>
      </c>
      <c r="F22" s="85">
        <v>47545</v>
      </c>
      <c r="G22" s="85">
        <f>SUM(E22:F22)</f>
        <v>47545</v>
      </c>
      <c r="H22" s="85"/>
      <c r="I22" s="85">
        <f>SUM(G22:H22)</f>
        <v>47545</v>
      </c>
      <c r="J22" s="85"/>
      <c r="K22" s="85">
        <f>SUM(I22:J22)</f>
        <v>47545</v>
      </c>
      <c r="L22" s="85"/>
      <c r="M22" s="85">
        <f>SUM(K22:L22)</f>
        <v>47545</v>
      </c>
    </row>
    <row r="23" spans="1:13" s="24" customFormat="1" ht="20.25" customHeight="1">
      <c r="A23" s="73"/>
      <c r="B23" s="73"/>
      <c r="C23" s="47">
        <v>4110</v>
      </c>
      <c r="D23" s="38" t="s">
        <v>86</v>
      </c>
      <c r="E23" s="85">
        <v>1858</v>
      </c>
      <c r="F23" s="85"/>
      <c r="G23" s="85">
        <f>SUM(E23:F23)</f>
        <v>1858</v>
      </c>
      <c r="H23" s="85"/>
      <c r="I23" s="85">
        <f>SUM(G23:H23)</f>
        <v>1858</v>
      </c>
      <c r="J23" s="85"/>
      <c r="K23" s="85">
        <f>SUM(I23:J23)</f>
        <v>1858</v>
      </c>
      <c r="L23" s="85">
        <v>175</v>
      </c>
      <c r="M23" s="85">
        <f>SUM(K23:L23)</f>
        <v>2033</v>
      </c>
    </row>
    <row r="24" spans="1:13" s="24" customFormat="1" ht="20.25" customHeight="1">
      <c r="A24" s="73"/>
      <c r="B24" s="47"/>
      <c r="C24" s="47">
        <v>4170</v>
      </c>
      <c r="D24" s="13" t="s">
        <v>472</v>
      </c>
      <c r="E24" s="92">
        <f>20000+17100+7500</f>
        <v>44600</v>
      </c>
      <c r="F24" s="92"/>
      <c r="G24" s="85">
        <f aca="true" t="shared" si="5" ref="G24:G29">SUM(E24:F24)</f>
        <v>44600</v>
      </c>
      <c r="H24" s="92"/>
      <c r="I24" s="85">
        <f aca="true" t="shared" si="6" ref="I24:I29">SUM(G24:H24)</f>
        <v>44600</v>
      </c>
      <c r="J24" s="92"/>
      <c r="K24" s="85">
        <f aca="true" t="shared" si="7" ref="K24:K29">SUM(I24:J24)</f>
        <v>44600</v>
      </c>
      <c r="L24" s="92">
        <v>-6830</v>
      </c>
      <c r="M24" s="85">
        <f aca="true" t="shared" si="8" ref="M24:M30">SUM(K24:L24)</f>
        <v>37770</v>
      </c>
    </row>
    <row r="25" spans="1:13" s="24" customFormat="1" ht="20.25" customHeight="1">
      <c r="A25" s="73"/>
      <c r="B25" s="47"/>
      <c r="C25" s="47">
        <v>4210</v>
      </c>
      <c r="D25" s="13" t="s">
        <v>92</v>
      </c>
      <c r="E25" s="92">
        <f>7800+5000</f>
        <v>12800</v>
      </c>
      <c r="F25" s="92"/>
      <c r="G25" s="85">
        <f t="shared" si="5"/>
        <v>12800</v>
      </c>
      <c r="H25" s="92"/>
      <c r="I25" s="85">
        <f t="shared" si="6"/>
        <v>12800</v>
      </c>
      <c r="J25" s="92"/>
      <c r="K25" s="85">
        <f t="shared" si="7"/>
        <v>12800</v>
      </c>
      <c r="L25" s="92">
        <v>4370</v>
      </c>
      <c r="M25" s="85">
        <f t="shared" si="8"/>
        <v>17170</v>
      </c>
    </row>
    <row r="26" spans="1:13" s="24" customFormat="1" ht="20.25" customHeight="1">
      <c r="A26" s="73"/>
      <c r="B26" s="47"/>
      <c r="C26" s="47">
        <v>4220</v>
      </c>
      <c r="D26" s="13" t="s">
        <v>179</v>
      </c>
      <c r="E26" s="92">
        <v>13500</v>
      </c>
      <c r="F26" s="92"/>
      <c r="G26" s="85">
        <f t="shared" si="5"/>
        <v>13500</v>
      </c>
      <c r="H26" s="92"/>
      <c r="I26" s="85">
        <f t="shared" si="6"/>
        <v>13500</v>
      </c>
      <c r="J26" s="92"/>
      <c r="K26" s="85">
        <f t="shared" si="7"/>
        <v>13500</v>
      </c>
      <c r="L26" s="92">
        <v>2030</v>
      </c>
      <c r="M26" s="85">
        <f t="shared" si="8"/>
        <v>15530</v>
      </c>
    </row>
    <row r="27" spans="1:13" s="24" customFormat="1" ht="20.25" customHeight="1">
      <c r="A27" s="73"/>
      <c r="B27" s="47"/>
      <c r="C27" s="47">
        <v>4300</v>
      </c>
      <c r="D27" s="13" t="s">
        <v>79</v>
      </c>
      <c r="E27" s="92">
        <f>5000+12000-5600+2400+6000+7500+4945</f>
        <v>32245</v>
      </c>
      <c r="F27" s="92"/>
      <c r="G27" s="85">
        <f t="shared" si="5"/>
        <v>32245</v>
      </c>
      <c r="H27" s="92">
        <v>-6000</v>
      </c>
      <c r="I27" s="85">
        <f t="shared" si="6"/>
        <v>26245</v>
      </c>
      <c r="J27" s="92"/>
      <c r="K27" s="85">
        <f t="shared" si="7"/>
        <v>26245</v>
      </c>
      <c r="L27" s="92">
        <v>55</v>
      </c>
      <c r="M27" s="85">
        <f t="shared" si="8"/>
        <v>26300</v>
      </c>
    </row>
    <row r="28" spans="1:13" s="24" customFormat="1" ht="19.5" customHeight="1">
      <c r="A28" s="73"/>
      <c r="B28" s="47"/>
      <c r="C28" s="47">
        <v>4410</v>
      </c>
      <c r="D28" s="38" t="s">
        <v>90</v>
      </c>
      <c r="E28" s="92">
        <v>1200</v>
      </c>
      <c r="F28" s="92"/>
      <c r="G28" s="85">
        <f t="shared" si="5"/>
        <v>1200</v>
      </c>
      <c r="H28" s="92"/>
      <c r="I28" s="85">
        <f t="shared" si="6"/>
        <v>1200</v>
      </c>
      <c r="J28" s="92"/>
      <c r="K28" s="85">
        <f t="shared" si="7"/>
        <v>1200</v>
      </c>
      <c r="L28" s="92"/>
      <c r="M28" s="85">
        <f t="shared" si="8"/>
        <v>1200</v>
      </c>
    </row>
    <row r="29" spans="1:13" s="24" customFormat="1" ht="22.5">
      <c r="A29" s="73"/>
      <c r="B29" s="47"/>
      <c r="C29" s="47">
        <v>4700</v>
      </c>
      <c r="D29" s="38" t="s">
        <v>249</v>
      </c>
      <c r="E29" s="92">
        <v>600</v>
      </c>
      <c r="F29" s="92"/>
      <c r="G29" s="85">
        <f t="shared" si="5"/>
        <v>600</v>
      </c>
      <c r="H29" s="92"/>
      <c r="I29" s="85">
        <f t="shared" si="6"/>
        <v>600</v>
      </c>
      <c r="J29" s="92"/>
      <c r="K29" s="85">
        <f t="shared" si="7"/>
        <v>600</v>
      </c>
      <c r="L29" s="92"/>
      <c r="M29" s="85">
        <f t="shared" si="8"/>
        <v>600</v>
      </c>
    </row>
    <row r="30" spans="1:13" s="24" customFormat="1" ht="33.75">
      <c r="A30" s="73"/>
      <c r="B30" s="47"/>
      <c r="C30" s="47">
        <v>4740</v>
      </c>
      <c r="D30" s="38" t="s">
        <v>267</v>
      </c>
      <c r="E30" s="92"/>
      <c r="F30" s="92"/>
      <c r="G30" s="85"/>
      <c r="H30" s="92"/>
      <c r="I30" s="85"/>
      <c r="J30" s="92"/>
      <c r="K30" s="85">
        <v>0</v>
      </c>
      <c r="L30" s="92">
        <v>200</v>
      </c>
      <c r="M30" s="85">
        <f t="shared" si="8"/>
        <v>200</v>
      </c>
    </row>
    <row r="31" spans="1:13" s="7" customFormat="1" ht="26.25" customHeight="1">
      <c r="A31" s="31">
        <v>852</v>
      </c>
      <c r="B31" s="4"/>
      <c r="C31" s="4"/>
      <c r="D31" s="19" t="s">
        <v>186</v>
      </c>
      <c r="E31" s="18">
        <f aca="true" t="shared" si="9" ref="E31:M31">SUM(E32,)</f>
        <v>109097</v>
      </c>
      <c r="F31" s="18">
        <f t="shared" si="9"/>
        <v>0</v>
      </c>
      <c r="G31" s="18">
        <f t="shared" si="9"/>
        <v>109097</v>
      </c>
      <c r="H31" s="18">
        <f t="shared" si="9"/>
        <v>0</v>
      </c>
      <c r="I31" s="18">
        <f t="shared" si="9"/>
        <v>109097</v>
      </c>
      <c r="J31" s="18">
        <f t="shared" si="9"/>
        <v>0</v>
      </c>
      <c r="K31" s="18">
        <f t="shared" si="9"/>
        <v>109097</v>
      </c>
      <c r="L31" s="18">
        <f t="shared" si="9"/>
        <v>0</v>
      </c>
      <c r="M31" s="18">
        <f t="shared" si="9"/>
        <v>109097</v>
      </c>
    </row>
    <row r="32" spans="1:13" s="24" customFormat="1" ht="20.25" customHeight="1">
      <c r="A32" s="73"/>
      <c r="B32" s="73">
        <v>85219</v>
      </c>
      <c r="C32" s="47"/>
      <c r="D32" s="38" t="s">
        <v>58</v>
      </c>
      <c r="E32" s="85">
        <f aca="true" t="shared" si="10" ref="E32:K32">SUM(E33:E48)</f>
        <v>109097</v>
      </c>
      <c r="F32" s="85">
        <f t="shared" si="10"/>
        <v>0</v>
      </c>
      <c r="G32" s="85">
        <f t="shared" si="10"/>
        <v>109097</v>
      </c>
      <c r="H32" s="85">
        <f t="shared" si="10"/>
        <v>0</v>
      </c>
      <c r="I32" s="85">
        <f t="shared" si="10"/>
        <v>109097</v>
      </c>
      <c r="J32" s="85">
        <f t="shared" si="10"/>
        <v>0</v>
      </c>
      <c r="K32" s="85">
        <f t="shared" si="10"/>
        <v>109097</v>
      </c>
      <c r="L32" s="85">
        <f>SUM(L33:L48)</f>
        <v>0</v>
      </c>
      <c r="M32" s="85">
        <f>SUM(M33:M48)</f>
        <v>109097</v>
      </c>
    </row>
    <row r="33" spans="1:13" s="24" customFormat="1" ht="20.25" customHeight="1">
      <c r="A33" s="73"/>
      <c r="B33" s="73"/>
      <c r="C33" s="86">
        <v>4010</v>
      </c>
      <c r="D33" s="38" t="s">
        <v>84</v>
      </c>
      <c r="E33" s="92">
        <v>30333</v>
      </c>
      <c r="F33" s="92"/>
      <c r="G33" s="92">
        <f>SUM(E33:F33)</f>
        <v>30333</v>
      </c>
      <c r="H33" s="92"/>
      <c r="I33" s="92">
        <f>SUM(G33:H33)</f>
        <v>30333</v>
      </c>
      <c r="J33" s="92"/>
      <c r="K33" s="92">
        <f>SUM(I33:J33)</f>
        <v>30333</v>
      </c>
      <c r="L33" s="92"/>
      <c r="M33" s="92">
        <f>SUM(K33:L33)</f>
        <v>30333</v>
      </c>
    </row>
    <row r="34" spans="1:13" s="24" customFormat="1" ht="20.25" customHeight="1">
      <c r="A34" s="73"/>
      <c r="B34" s="73"/>
      <c r="C34" s="86">
        <v>4040</v>
      </c>
      <c r="D34" s="38" t="s">
        <v>85</v>
      </c>
      <c r="E34" s="92">
        <v>2420</v>
      </c>
      <c r="F34" s="92"/>
      <c r="G34" s="92">
        <f aca="true" t="shared" si="11" ref="G34:G48">SUM(E34:F34)</f>
        <v>2420</v>
      </c>
      <c r="H34" s="92"/>
      <c r="I34" s="92">
        <f aca="true" t="shared" si="12" ref="I34:I48">SUM(G34:H34)</f>
        <v>2420</v>
      </c>
      <c r="J34" s="92"/>
      <c r="K34" s="92">
        <f aca="true" t="shared" si="13" ref="K34:K48">SUM(I34:J34)</f>
        <v>2420</v>
      </c>
      <c r="L34" s="92"/>
      <c r="M34" s="92">
        <f aca="true" t="shared" si="14" ref="M34:M48">SUM(K34:L34)</f>
        <v>2420</v>
      </c>
    </row>
    <row r="35" spans="1:13" s="24" customFormat="1" ht="20.25" customHeight="1">
      <c r="A35" s="73"/>
      <c r="B35" s="73"/>
      <c r="C35" s="86">
        <v>4110</v>
      </c>
      <c r="D35" s="38" t="s">
        <v>86</v>
      </c>
      <c r="E35" s="92">
        <v>5008</v>
      </c>
      <c r="F35" s="92"/>
      <c r="G35" s="92">
        <f t="shared" si="11"/>
        <v>5008</v>
      </c>
      <c r="H35" s="92"/>
      <c r="I35" s="92">
        <f t="shared" si="12"/>
        <v>5008</v>
      </c>
      <c r="J35" s="92"/>
      <c r="K35" s="92">
        <f t="shared" si="13"/>
        <v>5008</v>
      </c>
      <c r="L35" s="92"/>
      <c r="M35" s="92">
        <f t="shared" si="14"/>
        <v>5008</v>
      </c>
    </row>
    <row r="36" spans="1:13" s="24" customFormat="1" ht="20.25" customHeight="1">
      <c r="A36" s="73"/>
      <c r="B36" s="73"/>
      <c r="C36" s="86">
        <v>4120</v>
      </c>
      <c r="D36" s="38" t="s">
        <v>87</v>
      </c>
      <c r="E36" s="92">
        <v>803</v>
      </c>
      <c r="F36" s="92"/>
      <c r="G36" s="92">
        <f t="shared" si="11"/>
        <v>803</v>
      </c>
      <c r="H36" s="92"/>
      <c r="I36" s="92">
        <f t="shared" si="12"/>
        <v>803</v>
      </c>
      <c r="J36" s="92"/>
      <c r="K36" s="92">
        <f t="shared" si="13"/>
        <v>803</v>
      </c>
      <c r="L36" s="92"/>
      <c r="M36" s="92">
        <f t="shared" si="14"/>
        <v>803</v>
      </c>
    </row>
    <row r="37" spans="1:13" s="24" customFormat="1" ht="20.25" customHeight="1">
      <c r="A37" s="73"/>
      <c r="B37" s="73"/>
      <c r="C37" s="86">
        <v>4210</v>
      </c>
      <c r="D37" s="13" t="s">
        <v>92</v>
      </c>
      <c r="E37" s="92">
        <v>4200</v>
      </c>
      <c r="F37" s="92"/>
      <c r="G37" s="92">
        <f t="shared" si="11"/>
        <v>4200</v>
      </c>
      <c r="H37" s="92"/>
      <c r="I37" s="92">
        <f t="shared" si="12"/>
        <v>4200</v>
      </c>
      <c r="J37" s="92"/>
      <c r="K37" s="92">
        <f t="shared" si="13"/>
        <v>4200</v>
      </c>
      <c r="L37" s="92"/>
      <c r="M37" s="92">
        <f t="shared" si="14"/>
        <v>4200</v>
      </c>
    </row>
    <row r="38" spans="1:13" s="24" customFormat="1" ht="20.25" customHeight="1">
      <c r="A38" s="73"/>
      <c r="B38" s="73"/>
      <c r="C38" s="86">
        <v>4280</v>
      </c>
      <c r="D38" s="13" t="s">
        <v>197</v>
      </c>
      <c r="E38" s="92">
        <v>150</v>
      </c>
      <c r="F38" s="92"/>
      <c r="G38" s="92">
        <f t="shared" si="11"/>
        <v>150</v>
      </c>
      <c r="H38" s="92"/>
      <c r="I38" s="92">
        <f t="shared" si="12"/>
        <v>150</v>
      </c>
      <c r="J38" s="92"/>
      <c r="K38" s="92">
        <f t="shared" si="13"/>
        <v>150</v>
      </c>
      <c r="L38" s="92"/>
      <c r="M38" s="92">
        <f t="shared" si="14"/>
        <v>150</v>
      </c>
    </row>
    <row r="39" spans="1:13" s="24" customFormat="1" ht="20.25" customHeight="1">
      <c r="A39" s="73"/>
      <c r="B39" s="73"/>
      <c r="C39" s="86">
        <v>4300</v>
      </c>
      <c r="D39" s="13" t="s">
        <v>79</v>
      </c>
      <c r="E39" s="92">
        <v>55660</v>
      </c>
      <c r="F39" s="92"/>
      <c r="G39" s="92">
        <f t="shared" si="11"/>
        <v>55660</v>
      </c>
      <c r="H39" s="92"/>
      <c r="I39" s="92">
        <f t="shared" si="12"/>
        <v>55660</v>
      </c>
      <c r="J39" s="92"/>
      <c r="K39" s="92">
        <f t="shared" si="13"/>
        <v>55660</v>
      </c>
      <c r="L39" s="92"/>
      <c r="M39" s="92">
        <f t="shared" si="14"/>
        <v>55660</v>
      </c>
    </row>
    <row r="40" spans="1:13" s="24" customFormat="1" ht="20.25" customHeight="1">
      <c r="A40" s="73"/>
      <c r="B40" s="73"/>
      <c r="C40" s="86">
        <v>4350</v>
      </c>
      <c r="D40" s="13" t="s">
        <v>204</v>
      </c>
      <c r="E40" s="92">
        <v>550</v>
      </c>
      <c r="F40" s="92"/>
      <c r="G40" s="92">
        <f t="shared" si="11"/>
        <v>550</v>
      </c>
      <c r="H40" s="92"/>
      <c r="I40" s="92">
        <f t="shared" si="12"/>
        <v>550</v>
      </c>
      <c r="J40" s="92"/>
      <c r="K40" s="92">
        <f t="shared" si="13"/>
        <v>550</v>
      </c>
      <c r="L40" s="92"/>
      <c r="M40" s="92">
        <f t="shared" si="14"/>
        <v>550</v>
      </c>
    </row>
    <row r="41" spans="1:13" s="24" customFormat="1" ht="33.75">
      <c r="A41" s="73"/>
      <c r="B41" s="73"/>
      <c r="C41" s="86">
        <v>4370</v>
      </c>
      <c r="D41" s="38" t="s">
        <v>473</v>
      </c>
      <c r="E41" s="92">
        <v>2500</v>
      </c>
      <c r="F41" s="92"/>
      <c r="G41" s="92">
        <f t="shared" si="11"/>
        <v>2500</v>
      </c>
      <c r="H41" s="92"/>
      <c r="I41" s="92">
        <f t="shared" si="12"/>
        <v>2500</v>
      </c>
      <c r="J41" s="92"/>
      <c r="K41" s="92">
        <f t="shared" si="13"/>
        <v>2500</v>
      </c>
      <c r="L41" s="92"/>
      <c r="M41" s="92">
        <f t="shared" si="14"/>
        <v>2500</v>
      </c>
    </row>
    <row r="42" spans="1:13" s="24" customFormat="1" ht="33.75">
      <c r="A42" s="73"/>
      <c r="B42" s="73"/>
      <c r="C42" s="86">
        <v>4400</v>
      </c>
      <c r="D42" s="38" t="s">
        <v>241</v>
      </c>
      <c r="E42" s="92">
        <v>2110</v>
      </c>
      <c r="F42" s="92"/>
      <c r="G42" s="92">
        <f t="shared" si="11"/>
        <v>2110</v>
      </c>
      <c r="H42" s="92"/>
      <c r="I42" s="92">
        <f t="shared" si="12"/>
        <v>2110</v>
      </c>
      <c r="J42" s="92"/>
      <c r="K42" s="92">
        <f t="shared" si="13"/>
        <v>2110</v>
      </c>
      <c r="L42" s="92"/>
      <c r="M42" s="92">
        <f t="shared" si="14"/>
        <v>2110</v>
      </c>
    </row>
    <row r="43" spans="1:13" s="24" customFormat="1" ht="20.25" customHeight="1">
      <c r="A43" s="73"/>
      <c r="B43" s="73"/>
      <c r="C43" s="86">
        <v>4410</v>
      </c>
      <c r="D43" s="38" t="s">
        <v>90</v>
      </c>
      <c r="E43" s="92">
        <v>200</v>
      </c>
      <c r="F43" s="92"/>
      <c r="G43" s="92">
        <f t="shared" si="11"/>
        <v>200</v>
      </c>
      <c r="H43" s="92"/>
      <c r="I43" s="92">
        <f t="shared" si="12"/>
        <v>200</v>
      </c>
      <c r="J43" s="92"/>
      <c r="K43" s="92">
        <f t="shared" si="13"/>
        <v>200</v>
      </c>
      <c r="L43" s="92"/>
      <c r="M43" s="92">
        <f t="shared" si="14"/>
        <v>200</v>
      </c>
    </row>
    <row r="44" spans="1:13" s="24" customFormat="1" ht="22.5">
      <c r="A44" s="73"/>
      <c r="B44" s="73"/>
      <c r="C44" s="86">
        <v>4440</v>
      </c>
      <c r="D44" s="38" t="s">
        <v>88</v>
      </c>
      <c r="E44" s="92">
        <v>1133</v>
      </c>
      <c r="F44" s="92"/>
      <c r="G44" s="92">
        <f t="shared" si="11"/>
        <v>1133</v>
      </c>
      <c r="H44" s="92"/>
      <c r="I44" s="92">
        <f t="shared" si="12"/>
        <v>1133</v>
      </c>
      <c r="J44" s="92"/>
      <c r="K44" s="92">
        <f t="shared" si="13"/>
        <v>1133</v>
      </c>
      <c r="L44" s="92"/>
      <c r="M44" s="92">
        <f t="shared" si="14"/>
        <v>1133</v>
      </c>
    </row>
    <row r="45" spans="1:13" s="24" customFormat="1" ht="22.5">
      <c r="A45" s="73"/>
      <c r="B45" s="73"/>
      <c r="C45" s="86">
        <v>4610</v>
      </c>
      <c r="D45" s="38" t="s">
        <v>181</v>
      </c>
      <c r="E45" s="92">
        <v>1200</v>
      </c>
      <c r="F45" s="92"/>
      <c r="G45" s="92">
        <f t="shared" si="11"/>
        <v>1200</v>
      </c>
      <c r="H45" s="92"/>
      <c r="I45" s="92">
        <f t="shared" si="12"/>
        <v>1200</v>
      </c>
      <c r="J45" s="92"/>
      <c r="K45" s="92">
        <f t="shared" si="13"/>
        <v>1200</v>
      </c>
      <c r="L45" s="92"/>
      <c r="M45" s="92">
        <f t="shared" si="14"/>
        <v>1200</v>
      </c>
    </row>
    <row r="46" spans="1:13" s="24" customFormat="1" ht="22.5">
      <c r="A46" s="73"/>
      <c r="B46" s="73"/>
      <c r="C46" s="86">
        <v>4700</v>
      </c>
      <c r="D46" s="38" t="s">
        <v>249</v>
      </c>
      <c r="E46" s="92">
        <v>2000</v>
      </c>
      <c r="F46" s="92"/>
      <c r="G46" s="92">
        <f t="shared" si="11"/>
        <v>2000</v>
      </c>
      <c r="H46" s="92"/>
      <c r="I46" s="92">
        <f t="shared" si="12"/>
        <v>2000</v>
      </c>
      <c r="J46" s="92"/>
      <c r="K46" s="92">
        <f t="shared" si="13"/>
        <v>2000</v>
      </c>
      <c r="L46" s="92"/>
      <c r="M46" s="92">
        <f t="shared" si="14"/>
        <v>2000</v>
      </c>
    </row>
    <row r="47" spans="1:13" s="24" customFormat="1" ht="33.75">
      <c r="A47" s="73"/>
      <c r="B47" s="73"/>
      <c r="C47" s="86">
        <v>4740</v>
      </c>
      <c r="D47" s="38" t="s">
        <v>222</v>
      </c>
      <c r="E47" s="92">
        <v>130</v>
      </c>
      <c r="F47" s="92"/>
      <c r="G47" s="92">
        <f t="shared" si="11"/>
        <v>130</v>
      </c>
      <c r="H47" s="92"/>
      <c r="I47" s="92">
        <f t="shared" si="12"/>
        <v>130</v>
      </c>
      <c r="J47" s="92"/>
      <c r="K47" s="92">
        <f t="shared" si="13"/>
        <v>130</v>
      </c>
      <c r="L47" s="92"/>
      <c r="M47" s="92">
        <f t="shared" si="14"/>
        <v>130</v>
      </c>
    </row>
    <row r="48" spans="1:13" s="24" customFormat="1" ht="22.5">
      <c r="A48" s="73"/>
      <c r="B48" s="73"/>
      <c r="C48" s="86">
        <v>4750</v>
      </c>
      <c r="D48" s="38" t="s">
        <v>253</v>
      </c>
      <c r="E48" s="92">
        <v>700</v>
      </c>
      <c r="F48" s="92"/>
      <c r="G48" s="92">
        <f t="shared" si="11"/>
        <v>700</v>
      </c>
      <c r="H48" s="92"/>
      <c r="I48" s="92">
        <f t="shared" si="12"/>
        <v>700</v>
      </c>
      <c r="J48" s="92"/>
      <c r="K48" s="92">
        <f t="shared" si="13"/>
        <v>700</v>
      </c>
      <c r="L48" s="92"/>
      <c r="M48" s="92">
        <f t="shared" si="14"/>
        <v>700</v>
      </c>
    </row>
    <row r="49" spans="1:13" s="170" customFormat="1" ht="25.5" customHeight="1">
      <c r="A49" s="218">
        <v>854</v>
      </c>
      <c r="B49" s="218"/>
      <c r="C49" s="289"/>
      <c r="D49" s="36" t="s">
        <v>59</v>
      </c>
      <c r="E49" s="169"/>
      <c r="F49" s="169"/>
      <c r="G49" s="169"/>
      <c r="H49" s="169"/>
      <c r="I49" s="169">
        <f>SUM(I50)</f>
        <v>0</v>
      </c>
      <c r="J49" s="169">
        <f>SUM(J50)</f>
        <v>40000</v>
      </c>
      <c r="K49" s="169">
        <f>SUM(K50)</f>
        <v>40000</v>
      </c>
      <c r="L49" s="169">
        <f>SUM(L50)</f>
        <v>0</v>
      </c>
      <c r="M49" s="169">
        <f>SUM(M50)</f>
        <v>40000</v>
      </c>
    </row>
    <row r="50" spans="1:13" s="24" customFormat="1" ht="33.75">
      <c r="A50" s="73"/>
      <c r="B50" s="73">
        <v>85412</v>
      </c>
      <c r="C50" s="86"/>
      <c r="D50" s="38" t="s">
        <v>157</v>
      </c>
      <c r="E50" s="92"/>
      <c r="F50" s="92"/>
      <c r="G50" s="92"/>
      <c r="H50" s="92"/>
      <c r="I50" s="92">
        <f>SUM(I51:I52)</f>
        <v>0</v>
      </c>
      <c r="J50" s="92">
        <f>SUM(J51:J52)</f>
        <v>40000</v>
      </c>
      <c r="K50" s="92">
        <f>SUM(K51:K52)</f>
        <v>40000</v>
      </c>
      <c r="L50" s="92">
        <f>SUM(L51:L52)</f>
        <v>0</v>
      </c>
      <c r="M50" s="92">
        <f>SUM(M51:M52)</f>
        <v>40000</v>
      </c>
    </row>
    <row r="51" spans="1:13" s="24" customFormat="1" ht="45">
      <c r="A51" s="73"/>
      <c r="B51" s="73"/>
      <c r="C51" s="86">
        <v>2320</v>
      </c>
      <c r="D51" s="38" t="s">
        <v>149</v>
      </c>
      <c r="E51" s="92"/>
      <c r="F51" s="92"/>
      <c r="G51" s="92"/>
      <c r="H51" s="92"/>
      <c r="I51" s="92">
        <v>0</v>
      </c>
      <c r="J51" s="92">
        <v>12000</v>
      </c>
      <c r="K51" s="92">
        <f>SUM(I51:J51)</f>
        <v>12000</v>
      </c>
      <c r="L51" s="92"/>
      <c r="M51" s="92">
        <f>SUM(K51:L51)</f>
        <v>12000</v>
      </c>
    </row>
    <row r="52" spans="1:13" s="24" customFormat="1" ht="56.25">
      <c r="A52" s="73"/>
      <c r="B52" s="73"/>
      <c r="C52" s="86">
        <v>2830</v>
      </c>
      <c r="D52" s="13" t="s">
        <v>314</v>
      </c>
      <c r="E52" s="92"/>
      <c r="F52" s="92"/>
      <c r="G52" s="92"/>
      <c r="H52" s="92"/>
      <c r="I52" s="92">
        <v>0</v>
      </c>
      <c r="J52" s="92">
        <v>28000</v>
      </c>
      <c r="K52" s="92">
        <f>SUM(I52:J52)</f>
        <v>28000</v>
      </c>
      <c r="L52" s="92"/>
      <c r="M52" s="92">
        <f>SUM(K52:L52)</f>
        <v>28000</v>
      </c>
    </row>
    <row r="53" spans="1:13" s="170" customFormat="1" ht="21" customHeight="1">
      <c r="A53" s="218">
        <v>926</v>
      </c>
      <c r="B53" s="218"/>
      <c r="C53" s="289"/>
      <c r="D53" s="290" t="s">
        <v>66</v>
      </c>
      <c r="E53" s="169"/>
      <c r="F53" s="169"/>
      <c r="G53" s="169">
        <f aca="true" t="shared" si="15" ref="G53:M54">SUM(G54)</f>
        <v>0</v>
      </c>
      <c r="H53" s="169">
        <f t="shared" si="15"/>
        <v>6025</v>
      </c>
      <c r="I53" s="169">
        <f t="shared" si="15"/>
        <v>6025</v>
      </c>
      <c r="J53" s="169">
        <f t="shared" si="15"/>
        <v>0</v>
      </c>
      <c r="K53" s="169">
        <f t="shared" si="15"/>
        <v>6025</v>
      </c>
      <c r="L53" s="169">
        <f t="shared" si="15"/>
        <v>0</v>
      </c>
      <c r="M53" s="169">
        <f t="shared" si="15"/>
        <v>6025</v>
      </c>
    </row>
    <row r="54" spans="1:13" s="24" customFormat="1" ht="22.5">
      <c r="A54" s="73"/>
      <c r="B54" s="73">
        <v>92605</v>
      </c>
      <c r="C54" s="86"/>
      <c r="D54" s="66" t="s">
        <v>67</v>
      </c>
      <c r="E54" s="92"/>
      <c r="F54" s="92"/>
      <c r="G54" s="92">
        <f t="shared" si="15"/>
        <v>0</v>
      </c>
      <c r="H54" s="92">
        <f t="shared" si="15"/>
        <v>6025</v>
      </c>
      <c r="I54" s="92">
        <f t="shared" si="15"/>
        <v>6025</v>
      </c>
      <c r="J54" s="92">
        <f t="shared" si="15"/>
        <v>0</v>
      </c>
      <c r="K54" s="92">
        <f t="shared" si="15"/>
        <v>6025</v>
      </c>
      <c r="L54" s="92">
        <f t="shared" si="15"/>
        <v>0</v>
      </c>
      <c r="M54" s="92">
        <f t="shared" si="15"/>
        <v>6025</v>
      </c>
    </row>
    <row r="55" spans="1:13" s="24" customFormat="1" ht="20.25" customHeight="1">
      <c r="A55" s="73"/>
      <c r="B55" s="73"/>
      <c r="C55" s="86">
        <v>4170</v>
      </c>
      <c r="D55" s="13" t="s">
        <v>472</v>
      </c>
      <c r="E55" s="92"/>
      <c r="F55" s="92"/>
      <c r="G55" s="92">
        <v>0</v>
      </c>
      <c r="H55" s="92">
        <v>6025</v>
      </c>
      <c r="I55" s="92">
        <f>SUM(G55:H55)</f>
        <v>6025</v>
      </c>
      <c r="J55" s="92"/>
      <c r="K55" s="92">
        <f>SUM(I55:J55)</f>
        <v>6025</v>
      </c>
      <c r="L55" s="92"/>
      <c r="M55" s="92">
        <f>SUM(K55:L55)</f>
        <v>6025</v>
      </c>
    </row>
    <row r="56" spans="1:13" s="40" customFormat="1" ht="20.25" customHeight="1">
      <c r="A56" s="291"/>
      <c r="B56" s="291"/>
      <c r="C56" s="291"/>
      <c r="D56" s="5" t="s">
        <v>68</v>
      </c>
      <c r="E56" s="18">
        <f>E31+E17+E14</f>
        <v>330000</v>
      </c>
      <c r="F56" s="18">
        <f>F31+F17+F14</f>
        <v>0</v>
      </c>
      <c r="G56" s="18">
        <f>G31+G17+G14+G53</f>
        <v>330000</v>
      </c>
      <c r="H56" s="18">
        <f>H31+H17+H14+H53</f>
        <v>0</v>
      </c>
      <c r="I56" s="18">
        <f>I31+I17+I14+I53+I49</f>
        <v>330000</v>
      </c>
      <c r="J56" s="18">
        <f>J31+J17+J14+J53+J49</f>
        <v>0</v>
      </c>
      <c r="K56" s="18">
        <f>K31+K17+K14+K53+K49</f>
        <v>330000</v>
      </c>
      <c r="L56" s="18">
        <f>L31+L17+L14+L53+L49</f>
        <v>0</v>
      </c>
      <c r="M56" s="18">
        <f>M31+M17+M14+M53+M49</f>
        <v>330000</v>
      </c>
    </row>
  </sheetData>
  <sheetProtection/>
  <mergeCells count="3">
    <mergeCell ref="A5:M5"/>
    <mergeCell ref="A6:M6"/>
    <mergeCell ref="A12:M1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20"/>
  <sheetViews>
    <sheetView zoomScalePageLayoutView="0" workbookViewId="0" topLeftCell="A1">
      <selection activeCell="X96" sqref="X96"/>
    </sheetView>
  </sheetViews>
  <sheetFormatPr defaultColWidth="9.00390625" defaultRowHeight="12.75"/>
  <cols>
    <col min="1" max="1" width="4.625" style="7" customWidth="1"/>
    <col min="2" max="2" width="7.25390625" style="7" bestFit="1" customWidth="1"/>
    <col min="3" max="3" width="4.375" style="7" bestFit="1" customWidth="1"/>
    <col min="4" max="4" width="37.625" style="7" customWidth="1"/>
    <col min="5" max="5" width="12.25390625" style="0" hidden="1" customWidth="1"/>
    <col min="6" max="6" width="11.875" style="0" hidden="1" customWidth="1"/>
    <col min="7" max="7" width="11.25390625" style="0" hidden="1" customWidth="1"/>
    <col min="8" max="8" width="43.375" style="0" hidden="1" customWidth="1"/>
    <col min="9" max="9" width="10.75390625" style="0" hidden="1" customWidth="1"/>
    <col min="10" max="10" width="44.875" style="0" hidden="1" customWidth="1"/>
    <col min="11" max="11" width="9.875" style="0" hidden="1" customWidth="1"/>
    <col min="12" max="12" width="40.00390625" style="0" hidden="1" customWidth="1"/>
    <col min="13" max="13" width="8.875" style="0" hidden="1" customWidth="1"/>
    <col min="14" max="14" width="42.25390625" style="0" hidden="1" customWidth="1"/>
    <col min="15" max="15" width="0.2421875" style="0" hidden="1" customWidth="1"/>
    <col min="16" max="16" width="13.00390625" style="0" hidden="1" customWidth="1"/>
    <col min="17" max="17" width="14.625" style="0" hidden="1" customWidth="1"/>
    <col min="18" max="18" width="15.125" style="0" customWidth="1"/>
    <col min="19" max="19" width="13.625" style="0" customWidth="1"/>
    <col min="20" max="20" width="14.625" style="0" customWidth="1"/>
  </cols>
  <sheetData>
    <row r="1" spans="5:20" ht="12.75">
      <c r="E1" s="57"/>
      <c r="F1" s="57"/>
      <c r="G1" s="57"/>
      <c r="H1" s="57" t="s">
        <v>419</v>
      </c>
      <c r="I1" s="57"/>
      <c r="J1" s="57" t="s">
        <v>445</v>
      </c>
      <c r="K1" s="57"/>
      <c r="L1" s="57" t="s">
        <v>460</v>
      </c>
      <c r="M1" s="57"/>
      <c r="N1" s="57" t="s">
        <v>486</v>
      </c>
      <c r="O1" s="57"/>
      <c r="P1" s="57" t="s">
        <v>505</v>
      </c>
      <c r="Q1" s="57"/>
      <c r="R1" s="57" t="s">
        <v>524</v>
      </c>
      <c r="S1" s="57"/>
      <c r="T1" s="57"/>
    </row>
    <row r="2" spans="5:20" ht="12.75">
      <c r="E2" s="57"/>
      <c r="F2" s="57"/>
      <c r="G2" s="57"/>
      <c r="H2" s="57" t="s">
        <v>418</v>
      </c>
      <c r="I2" s="57"/>
      <c r="J2" s="57" t="s">
        <v>444</v>
      </c>
      <c r="K2" s="57"/>
      <c r="L2" s="57" t="s">
        <v>457</v>
      </c>
      <c r="M2" s="57"/>
      <c r="N2" s="57" t="s">
        <v>479</v>
      </c>
      <c r="O2" s="57"/>
      <c r="P2" s="57" t="s">
        <v>499</v>
      </c>
      <c r="Q2" s="57"/>
      <c r="R2" s="57" t="s">
        <v>521</v>
      </c>
      <c r="S2" s="57"/>
      <c r="T2" s="57"/>
    </row>
    <row r="3" spans="5:20" ht="12.75">
      <c r="E3" s="57"/>
      <c r="F3" s="57"/>
      <c r="G3" s="57"/>
      <c r="H3" s="57" t="s">
        <v>371</v>
      </c>
      <c r="I3" s="57"/>
      <c r="J3" s="57" t="s">
        <v>419</v>
      </c>
      <c r="K3" s="57"/>
      <c r="L3" s="57" t="s">
        <v>445</v>
      </c>
      <c r="M3" s="57"/>
      <c r="N3" s="57" t="s">
        <v>460</v>
      </c>
      <c r="O3" s="57"/>
      <c r="P3" s="57" t="s">
        <v>486</v>
      </c>
      <c r="Q3" s="57"/>
      <c r="R3" s="57" t="s">
        <v>505</v>
      </c>
      <c r="S3" s="57"/>
      <c r="T3" s="57"/>
    </row>
    <row r="4" spans="5:20" ht="12.75">
      <c r="E4" s="57"/>
      <c r="F4" s="57"/>
      <c r="G4" s="57"/>
      <c r="H4" s="57" t="s">
        <v>370</v>
      </c>
      <c r="I4" s="57"/>
      <c r="J4" s="57" t="s">
        <v>427</v>
      </c>
      <c r="K4" s="57"/>
      <c r="L4" s="57" t="s">
        <v>449</v>
      </c>
      <c r="M4" s="57"/>
      <c r="N4" s="57" t="s">
        <v>474</v>
      </c>
      <c r="O4" s="57"/>
      <c r="P4" s="57" t="s">
        <v>488</v>
      </c>
      <c r="Q4" s="57"/>
      <c r="R4" s="57" t="s">
        <v>510</v>
      </c>
      <c r="S4" s="57"/>
      <c r="T4" s="57"/>
    </row>
    <row r="5" spans="1:4" ht="17.25" customHeight="1">
      <c r="A5" s="334" t="s">
        <v>307</v>
      </c>
      <c r="B5" s="334"/>
      <c r="C5" s="334"/>
      <c r="D5" s="334"/>
    </row>
    <row r="6" spans="1:20" s="7" customFormat="1" ht="24.75" customHeight="1">
      <c r="A6" s="5" t="s">
        <v>0</v>
      </c>
      <c r="B6" s="4" t="s">
        <v>1</v>
      </c>
      <c r="C6" s="20" t="s">
        <v>2</v>
      </c>
      <c r="D6" s="4" t="s">
        <v>3</v>
      </c>
      <c r="E6" s="105" t="s">
        <v>142</v>
      </c>
      <c r="F6" s="105" t="s">
        <v>195</v>
      </c>
      <c r="G6" s="105" t="s">
        <v>194</v>
      </c>
      <c r="H6" s="105" t="s">
        <v>142</v>
      </c>
      <c r="I6" s="105" t="s">
        <v>335</v>
      </c>
      <c r="J6" s="105" t="s">
        <v>143</v>
      </c>
      <c r="K6" s="105" t="s">
        <v>335</v>
      </c>
      <c r="L6" s="105" t="s">
        <v>143</v>
      </c>
      <c r="M6" s="105" t="s">
        <v>335</v>
      </c>
      <c r="N6" s="105" t="s">
        <v>143</v>
      </c>
      <c r="O6" s="105" t="s">
        <v>335</v>
      </c>
      <c r="P6" s="105" t="s">
        <v>143</v>
      </c>
      <c r="Q6" s="105" t="s">
        <v>335</v>
      </c>
      <c r="R6" s="105" t="s">
        <v>143</v>
      </c>
      <c r="S6" s="105" t="s">
        <v>335</v>
      </c>
      <c r="T6" s="105" t="s">
        <v>348</v>
      </c>
    </row>
    <row r="7" spans="1:20" s="7" customFormat="1" ht="27" customHeight="1">
      <c r="A7" s="101" t="s">
        <v>4</v>
      </c>
      <c r="B7" s="4"/>
      <c r="C7" s="20"/>
      <c r="D7" s="36" t="s">
        <v>5</v>
      </c>
      <c r="E7" s="105"/>
      <c r="F7" s="105"/>
      <c r="G7" s="105"/>
      <c r="H7" s="105"/>
      <c r="I7" s="105"/>
      <c r="J7" s="269">
        <f>SUM(J8)</f>
        <v>0</v>
      </c>
      <c r="K7" s="269">
        <f aca="true" t="shared" si="0" ref="K7:T9">SUM(K8)</f>
        <v>0</v>
      </c>
      <c r="L7" s="269">
        <f t="shared" si="0"/>
        <v>0</v>
      </c>
      <c r="M7" s="269">
        <f t="shared" si="0"/>
        <v>0</v>
      </c>
      <c r="N7" s="269">
        <f t="shared" si="0"/>
        <v>0</v>
      </c>
      <c r="O7" s="269">
        <f t="shared" si="0"/>
        <v>734408</v>
      </c>
      <c r="P7" s="269">
        <f t="shared" si="0"/>
        <v>734408</v>
      </c>
      <c r="Q7" s="269">
        <f t="shared" si="0"/>
        <v>-250000</v>
      </c>
      <c r="R7" s="269">
        <f t="shared" si="0"/>
        <v>484408</v>
      </c>
      <c r="S7" s="269">
        <f t="shared" si="0"/>
        <v>0</v>
      </c>
      <c r="T7" s="269">
        <f t="shared" si="0"/>
        <v>484408</v>
      </c>
    </row>
    <row r="8" spans="1:20" s="133" customFormat="1" ht="25.5" customHeight="1">
      <c r="A8" s="266"/>
      <c r="B8" s="267" t="s">
        <v>288</v>
      </c>
      <c r="C8" s="151"/>
      <c r="D8" s="38" t="s">
        <v>303</v>
      </c>
      <c r="E8" s="157"/>
      <c r="F8" s="157"/>
      <c r="G8" s="157"/>
      <c r="H8" s="157"/>
      <c r="I8" s="157"/>
      <c r="J8" s="268">
        <f>SUM(J9)</f>
        <v>0</v>
      </c>
      <c r="K8" s="268">
        <f t="shared" si="0"/>
        <v>0</v>
      </c>
      <c r="L8" s="268">
        <f t="shared" si="0"/>
        <v>0</v>
      </c>
      <c r="M8" s="268">
        <f t="shared" si="0"/>
        <v>0</v>
      </c>
      <c r="N8" s="268">
        <f t="shared" si="0"/>
        <v>0</v>
      </c>
      <c r="O8" s="268">
        <f t="shared" si="0"/>
        <v>734408</v>
      </c>
      <c r="P8" s="268">
        <f t="shared" si="0"/>
        <v>734408</v>
      </c>
      <c r="Q8" s="268">
        <f t="shared" si="0"/>
        <v>-250000</v>
      </c>
      <c r="R8" s="268">
        <f t="shared" si="0"/>
        <v>484408</v>
      </c>
      <c r="S8" s="268">
        <f t="shared" si="0"/>
        <v>0</v>
      </c>
      <c r="T8" s="268">
        <f t="shared" si="0"/>
        <v>484408</v>
      </c>
    </row>
    <row r="9" spans="1:20" s="133" customFormat="1" ht="24" customHeight="1">
      <c r="A9" s="266"/>
      <c r="B9" s="141"/>
      <c r="C9" s="151">
        <v>6050</v>
      </c>
      <c r="D9" s="13" t="s">
        <v>73</v>
      </c>
      <c r="E9" s="157"/>
      <c r="F9" s="157"/>
      <c r="G9" s="157"/>
      <c r="H9" s="157"/>
      <c r="I9" s="157"/>
      <c r="J9" s="268">
        <f>SUM(J10)</f>
        <v>0</v>
      </c>
      <c r="K9" s="268">
        <f t="shared" si="0"/>
        <v>0</v>
      </c>
      <c r="L9" s="268">
        <f t="shared" si="0"/>
        <v>0</v>
      </c>
      <c r="M9" s="268">
        <f t="shared" si="0"/>
        <v>0</v>
      </c>
      <c r="N9" s="268">
        <f t="shared" si="0"/>
        <v>0</v>
      </c>
      <c r="O9" s="268">
        <f t="shared" si="0"/>
        <v>734408</v>
      </c>
      <c r="P9" s="268">
        <f t="shared" si="0"/>
        <v>734408</v>
      </c>
      <c r="Q9" s="268">
        <f t="shared" si="0"/>
        <v>-250000</v>
      </c>
      <c r="R9" s="268">
        <f t="shared" si="0"/>
        <v>484408</v>
      </c>
      <c r="S9" s="268">
        <f t="shared" si="0"/>
        <v>0</v>
      </c>
      <c r="T9" s="268">
        <f t="shared" si="0"/>
        <v>484408</v>
      </c>
    </row>
    <row r="10" spans="1:20" s="155" customFormat="1" ht="26.25" customHeight="1">
      <c r="A10" s="205"/>
      <c r="B10" s="153"/>
      <c r="C10" s="154"/>
      <c r="D10" s="139" t="s">
        <v>442</v>
      </c>
      <c r="E10" s="270"/>
      <c r="F10" s="270"/>
      <c r="G10" s="270"/>
      <c r="H10" s="270"/>
      <c r="I10" s="270"/>
      <c r="J10" s="271">
        <v>0</v>
      </c>
      <c r="K10" s="271"/>
      <c r="L10" s="271">
        <f>SUM(J10:K10)</f>
        <v>0</v>
      </c>
      <c r="M10" s="271"/>
      <c r="N10" s="271">
        <f>SUM(L10:M10)</f>
        <v>0</v>
      </c>
      <c r="O10" s="271">
        <v>734408</v>
      </c>
      <c r="P10" s="271">
        <f>SUM(N10:O10)</f>
        <v>734408</v>
      </c>
      <c r="Q10" s="271">
        <v>-250000</v>
      </c>
      <c r="R10" s="271">
        <f>SUM(P10:Q10)</f>
        <v>484408</v>
      </c>
      <c r="S10" s="271"/>
      <c r="T10" s="271">
        <f>SUM(R10:S10)</f>
        <v>484408</v>
      </c>
    </row>
    <row r="11" spans="1:20" s="6" customFormat="1" ht="21" customHeight="1">
      <c r="A11" s="29" t="s">
        <v>74</v>
      </c>
      <c r="B11" s="4"/>
      <c r="C11" s="20"/>
      <c r="D11" s="19" t="s">
        <v>75</v>
      </c>
      <c r="E11" s="39">
        <f>E18</f>
        <v>469300</v>
      </c>
      <c r="F11" s="39">
        <f>F18</f>
        <v>-100000</v>
      </c>
      <c r="G11" s="39">
        <f>G18</f>
        <v>1540000</v>
      </c>
      <c r="H11" s="39">
        <f>SUM(E11:G11)</f>
        <v>1909300</v>
      </c>
      <c r="I11" s="39">
        <f>SUM(I18,I12)</f>
        <v>100000</v>
      </c>
      <c r="J11" s="39">
        <f>SUM(H11:I11)</f>
        <v>2009300</v>
      </c>
      <c r="K11" s="39">
        <f>SUM(K18,K12)</f>
        <v>127220</v>
      </c>
      <c r="L11" s="39">
        <f>SUM(J11:K11)</f>
        <v>2136520</v>
      </c>
      <c r="M11" s="39">
        <f>SUM(M18,M12)</f>
        <v>0</v>
      </c>
      <c r="N11" s="39">
        <f>SUM(L11:M11)</f>
        <v>2136520</v>
      </c>
      <c r="O11" s="39">
        <f>SUM(O18,O12)</f>
        <v>-500000</v>
      </c>
      <c r="P11" s="39">
        <f>SUM(N11:O11)</f>
        <v>1636520</v>
      </c>
      <c r="Q11" s="39">
        <f>SUM(Q18,Q12)</f>
        <v>297600</v>
      </c>
      <c r="R11" s="39">
        <f>SUM(P11:Q11)</f>
        <v>1934120</v>
      </c>
      <c r="S11" s="39">
        <f>SUM(S18,S12)</f>
        <v>0</v>
      </c>
      <c r="T11" s="39">
        <f>SUM(R11:S11)</f>
        <v>1934120</v>
      </c>
    </row>
    <row r="12" spans="1:20" s="133" customFormat="1" ht="21" customHeight="1">
      <c r="A12" s="134"/>
      <c r="B12" s="141">
        <v>60014</v>
      </c>
      <c r="C12" s="151"/>
      <c r="D12" s="143" t="s">
        <v>377</v>
      </c>
      <c r="E12" s="204"/>
      <c r="F12" s="204"/>
      <c r="G12" s="204"/>
      <c r="H12" s="204">
        <f aca="true" t="shared" si="1" ref="H12:T12">SUM(H13)</f>
        <v>0</v>
      </c>
      <c r="I12" s="204">
        <f t="shared" si="1"/>
        <v>100000</v>
      </c>
      <c r="J12" s="204">
        <f t="shared" si="1"/>
        <v>100000</v>
      </c>
      <c r="K12" s="204">
        <f t="shared" si="1"/>
        <v>127220</v>
      </c>
      <c r="L12" s="204">
        <f t="shared" si="1"/>
        <v>227220</v>
      </c>
      <c r="M12" s="204">
        <f t="shared" si="1"/>
        <v>0</v>
      </c>
      <c r="N12" s="204">
        <f t="shared" si="1"/>
        <v>227220</v>
      </c>
      <c r="O12" s="204">
        <f t="shared" si="1"/>
        <v>0</v>
      </c>
      <c r="P12" s="204">
        <f t="shared" si="1"/>
        <v>227220</v>
      </c>
      <c r="Q12" s="204">
        <f t="shared" si="1"/>
        <v>0</v>
      </c>
      <c r="R12" s="204">
        <f t="shared" si="1"/>
        <v>227220</v>
      </c>
      <c r="S12" s="204">
        <f t="shared" si="1"/>
        <v>0</v>
      </c>
      <c r="T12" s="204">
        <f t="shared" si="1"/>
        <v>227220</v>
      </c>
    </row>
    <row r="13" spans="1:20" s="133" customFormat="1" ht="45">
      <c r="A13" s="134"/>
      <c r="B13" s="141"/>
      <c r="C13" s="151">
        <v>6300</v>
      </c>
      <c r="D13" s="143" t="s">
        <v>376</v>
      </c>
      <c r="E13" s="204"/>
      <c r="F13" s="204"/>
      <c r="G13" s="204"/>
      <c r="H13" s="204">
        <f>SUM(H15:H16)</f>
        <v>0</v>
      </c>
      <c r="I13" s="204">
        <f>SUM(I15:I16)</f>
        <v>100000</v>
      </c>
      <c r="J13" s="204">
        <f aca="true" t="shared" si="2" ref="J13:O13">SUM(J14:J16)</f>
        <v>100000</v>
      </c>
      <c r="K13" s="204">
        <f t="shared" si="2"/>
        <v>127220</v>
      </c>
      <c r="L13" s="204">
        <f t="shared" si="2"/>
        <v>227220</v>
      </c>
      <c r="M13" s="204">
        <f t="shared" si="2"/>
        <v>0</v>
      </c>
      <c r="N13" s="204">
        <f t="shared" si="2"/>
        <v>227220</v>
      </c>
      <c r="O13" s="204">
        <f t="shared" si="2"/>
        <v>0</v>
      </c>
      <c r="P13" s="204">
        <f>SUM(P14:P17)</f>
        <v>227220</v>
      </c>
      <c r="Q13" s="204">
        <f>SUM(Q14:Q17)</f>
        <v>0</v>
      </c>
      <c r="R13" s="204">
        <f>SUM(R14:R17)</f>
        <v>227220</v>
      </c>
      <c r="S13" s="204">
        <f>SUM(S14:S17)</f>
        <v>0</v>
      </c>
      <c r="T13" s="204">
        <f>SUM(T14:T17)</f>
        <v>227220</v>
      </c>
    </row>
    <row r="14" spans="1:20" s="133" customFormat="1" ht="56.25">
      <c r="A14" s="134"/>
      <c r="B14" s="141"/>
      <c r="C14" s="151"/>
      <c r="D14" s="143" t="s">
        <v>441</v>
      </c>
      <c r="E14" s="204"/>
      <c r="F14" s="204"/>
      <c r="G14" s="204"/>
      <c r="H14" s="204"/>
      <c r="I14" s="204"/>
      <c r="J14" s="204">
        <v>0</v>
      </c>
      <c r="K14" s="204">
        <v>127220</v>
      </c>
      <c r="L14" s="206">
        <f aca="true" t="shared" si="3" ref="L14:L20">SUM(J14:K14)</f>
        <v>127220</v>
      </c>
      <c r="M14" s="204"/>
      <c r="N14" s="206">
        <f aca="true" t="shared" si="4" ref="N14:N20">SUM(L14:M14)</f>
        <v>127220</v>
      </c>
      <c r="O14" s="204"/>
      <c r="P14" s="206">
        <f aca="true" t="shared" si="5" ref="P14:P20">SUM(N14:O14)</f>
        <v>127220</v>
      </c>
      <c r="Q14" s="204"/>
      <c r="R14" s="206">
        <f aca="true" t="shared" si="6" ref="R14:R20">SUM(P14:Q14)</f>
        <v>127220</v>
      </c>
      <c r="S14" s="204"/>
      <c r="T14" s="206">
        <f aca="true" t="shared" si="7" ref="T14:T20">SUM(R14:S14)</f>
        <v>127220</v>
      </c>
    </row>
    <row r="15" spans="1:20" s="155" customFormat="1" ht="56.25">
      <c r="A15" s="152"/>
      <c r="B15" s="153"/>
      <c r="C15" s="154"/>
      <c r="D15" s="139" t="s">
        <v>527</v>
      </c>
      <c r="E15" s="206"/>
      <c r="F15" s="206"/>
      <c r="G15" s="206"/>
      <c r="H15" s="206">
        <v>0</v>
      </c>
      <c r="I15" s="206">
        <v>75000</v>
      </c>
      <c r="J15" s="206">
        <f>SUM(H15:I15)</f>
        <v>75000</v>
      </c>
      <c r="K15" s="206"/>
      <c r="L15" s="206">
        <f t="shared" si="3"/>
        <v>75000</v>
      </c>
      <c r="M15" s="206"/>
      <c r="N15" s="206">
        <f t="shared" si="4"/>
        <v>75000</v>
      </c>
      <c r="O15" s="206"/>
      <c r="P15" s="206">
        <f t="shared" si="5"/>
        <v>75000</v>
      </c>
      <c r="Q15" s="206">
        <v>-40500</v>
      </c>
      <c r="R15" s="206">
        <f t="shared" si="6"/>
        <v>34500</v>
      </c>
      <c r="S15" s="206"/>
      <c r="T15" s="206">
        <f t="shared" si="7"/>
        <v>34500</v>
      </c>
    </row>
    <row r="16" spans="1:20" s="155" customFormat="1" ht="56.25">
      <c r="A16" s="152"/>
      <c r="B16" s="153"/>
      <c r="C16" s="154"/>
      <c r="D16" s="139" t="s">
        <v>528</v>
      </c>
      <c r="E16" s="206"/>
      <c r="F16" s="206"/>
      <c r="G16" s="206"/>
      <c r="H16" s="206">
        <v>0</v>
      </c>
      <c r="I16" s="206">
        <v>25000</v>
      </c>
      <c r="J16" s="206">
        <f>SUM(H16:I16)</f>
        <v>25000</v>
      </c>
      <c r="K16" s="206"/>
      <c r="L16" s="206">
        <f t="shared" si="3"/>
        <v>25000</v>
      </c>
      <c r="M16" s="206"/>
      <c r="N16" s="206">
        <f t="shared" si="4"/>
        <v>25000</v>
      </c>
      <c r="O16" s="206"/>
      <c r="P16" s="206">
        <f t="shared" si="5"/>
        <v>25000</v>
      </c>
      <c r="Q16" s="206">
        <v>-10895</v>
      </c>
      <c r="R16" s="206">
        <f t="shared" si="6"/>
        <v>14105</v>
      </c>
      <c r="S16" s="206"/>
      <c r="T16" s="206">
        <f t="shared" si="7"/>
        <v>14105</v>
      </c>
    </row>
    <row r="17" spans="1:20" s="155" customFormat="1" ht="56.25">
      <c r="A17" s="152"/>
      <c r="B17" s="153"/>
      <c r="C17" s="154"/>
      <c r="D17" s="139" t="s">
        <v>529</v>
      </c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>
        <v>0</v>
      </c>
      <c r="Q17" s="206">
        <v>51395</v>
      </c>
      <c r="R17" s="206">
        <f t="shared" si="6"/>
        <v>51395</v>
      </c>
      <c r="S17" s="206"/>
      <c r="T17" s="206">
        <f t="shared" si="7"/>
        <v>51395</v>
      </c>
    </row>
    <row r="18" spans="1:20" s="24" customFormat="1" ht="21" customHeight="1">
      <c r="A18" s="72"/>
      <c r="B18" s="73" t="s">
        <v>76</v>
      </c>
      <c r="C18" s="80"/>
      <c r="D18" s="13" t="s">
        <v>77</v>
      </c>
      <c r="E18" s="54">
        <f>SUM(E19,)</f>
        <v>469300</v>
      </c>
      <c r="F18" s="54">
        <f>SUM(F19,)</f>
        <v>-100000</v>
      </c>
      <c r="G18" s="54">
        <f>SUM(G19,)</f>
        <v>1540000</v>
      </c>
      <c r="H18" s="204">
        <f aca="true" t="shared" si="8" ref="H18:H105">SUM(E18:G18)</f>
        <v>1909300</v>
      </c>
      <c r="I18" s="204">
        <f>SUM(I19)</f>
        <v>0</v>
      </c>
      <c r="J18" s="204">
        <f aca="true" t="shared" si="9" ref="J18:J86">SUM(H18:I18)</f>
        <v>1909300</v>
      </c>
      <c r="K18" s="204">
        <f>SUM(K19)</f>
        <v>0</v>
      </c>
      <c r="L18" s="204">
        <f t="shared" si="3"/>
        <v>1909300</v>
      </c>
      <c r="M18" s="204">
        <f>SUM(M19)</f>
        <v>0</v>
      </c>
      <c r="N18" s="204">
        <f t="shared" si="4"/>
        <v>1909300</v>
      </c>
      <c r="O18" s="204">
        <f>SUM(O19)</f>
        <v>-500000</v>
      </c>
      <c r="P18" s="204">
        <f t="shared" si="5"/>
        <v>1409300</v>
      </c>
      <c r="Q18" s="204">
        <f>SUM(Q19)</f>
        <v>297600</v>
      </c>
      <c r="R18" s="204">
        <f t="shared" si="6"/>
        <v>1706900</v>
      </c>
      <c r="S18" s="204">
        <f>SUM(S19)</f>
        <v>0</v>
      </c>
      <c r="T18" s="204">
        <f t="shared" si="7"/>
        <v>1706900</v>
      </c>
    </row>
    <row r="19" spans="1:20" s="24" customFormat="1" ht="21" customHeight="1">
      <c r="A19" s="78"/>
      <c r="B19" s="47"/>
      <c r="C19" s="80">
        <v>6050</v>
      </c>
      <c r="D19" s="13" t="s">
        <v>73</v>
      </c>
      <c r="E19" s="54">
        <f>SUM(E20:E30)</f>
        <v>469300</v>
      </c>
      <c r="F19" s="54">
        <f>SUM(F20:F30)</f>
        <v>-100000</v>
      </c>
      <c r="G19" s="54">
        <f>SUM(G20:G30)</f>
        <v>1540000</v>
      </c>
      <c r="H19" s="204">
        <f t="shared" si="8"/>
        <v>1909300</v>
      </c>
      <c r="I19" s="204">
        <f>SUM(I20:I30)</f>
        <v>0</v>
      </c>
      <c r="J19" s="204">
        <f t="shared" si="9"/>
        <v>1909300</v>
      </c>
      <c r="K19" s="204">
        <f>SUM(K20:K30)</f>
        <v>0</v>
      </c>
      <c r="L19" s="204">
        <f t="shared" si="3"/>
        <v>1909300</v>
      </c>
      <c r="M19" s="204">
        <f>SUM(M20:M30)</f>
        <v>0</v>
      </c>
      <c r="N19" s="204">
        <f t="shared" si="4"/>
        <v>1909300</v>
      </c>
      <c r="O19" s="204">
        <f>SUM(O20:O30)</f>
        <v>-500000</v>
      </c>
      <c r="P19" s="204">
        <f t="shared" si="5"/>
        <v>1409300</v>
      </c>
      <c r="Q19" s="204">
        <f>SUM(Q20:Q30)</f>
        <v>297600</v>
      </c>
      <c r="R19" s="204">
        <f t="shared" si="6"/>
        <v>1706900</v>
      </c>
      <c r="S19" s="204">
        <f>SUM(S20:S30)</f>
        <v>0</v>
      </c>
      <c r="T19" s="204">
        <f t="shared" si="7"/>
        <v>1706900</v>
      </c>
    </row>
    <row r="20" spans="1:20" s="155" customFormat="1" ht="29.25" customHeight="1">
      <c r="A20" s="205"/>
      <c r="B20" s="153"/>
      <c r="C20" s="154"/>
      <c r="D20" s="139" t="s">
        <v>366</v>
      </c>
      <c r="E20" s="156">
        <v>6300</v>
      </c>
      <c r="F20" s="156"/>
      <c r="G20" s="156"/>
      <c r="H20" s="206">
        <f t="shared" si="8"/>
        <v>6300</v>
      </c>
      <c r="I20" s="206"/>
      <c r="J20" s="206">
        <f>SUM(H20:I20)</f>
        <v>6300</v>
      </c>
      <c r="K20" s="206"/>
      <c r="L20" s="206">
        <f t="shared" si="3"/>
        <v>6300</v>
      </c>
      <c r="M20" s="206"/>
      <c r="N20" s="206">
        <f t="shared" si="4"/>
        <v>6300</v>
      </c>
      <c r="O20" s="206"/>
      <c r="P20" s="206">
        <f t="shared" si="5"/>
        <v>6300</v>
      </c>
      <c r="Q20" s="206"/>
      <c r="R20" s="206">
        <f t="shared" si="6"/>
        <v>6300</v>
      </c>
      <c r="S20" s="206"/>
      <c r="T20" s="206">
        <f t="shared" si="7"/>
        <v>6300</v>
      </c>
    </row>
    <row r="21" spans="1:20" s="155" customFormat="1" ht="21" customHeight="1">
      <c r="A21" s="205"/>
      <c r="B21" s="153"/>
      <c r="C21" s="154"/>
      <c r="D21" s="139" t="s">
        <v>291</v>
      </c>
      <c r="E21" s="156">
        <v>13000</v>
      </c>
      <c r="F21" s="156"/>
      <c r="G21" s="156"/>
      <c r="H21" s="206">
        <f t="shared" si="8"/>
        <v>13000</v>
      </c>
      <c r="I21" s="206"/>
      <c r="J21" s="206">
        <f aca="true" t="shared" si="10" ref="J21:J30">SUM(H21:I21)</f>
        <v>13000</v>
      </c>
      <c r="K21" s="206"/>
      <c r="L21" s="206">
        <f aca="true" t="shared" si="11" ref="L21:L33">SUM(J21:K21)</f>
        <v>13000</v>
      </c>
      <c r="M21" s="206"/>
      <c r="N21" s="206">
        <f aca="true" t="shared" si="12" ref="N21:N33">SUM(L21:M21)</f>
        <v>13000</v>
      </c>
      <c r="O21" s="206"/>
      <c r="P21" s="206">
        <f aca="true" t="shared" si="13" ref="P21:P53">SUM(N21:O21)</f>
        <v>13000</v>
      </c>
      <c r="Q21" s="206"/>
      <c r="R21" s="206">
        <f aca="true" t="shared" si="14" ref="R21:R53">SUM(P21:Q21)</f>
        <v>13000</v>
      </c>
      <c r="S21" s="206"/>
      <c r="T21" s="206">
        <f aca="true" t="shared" si="15" ref="T21:T53">SUM(R21:S21)</f>
        <v>13000</v>
      </c>
    </row>
    <row r="22" spans="1:20" s="155" customFormat="1" ht="21" customHeight="1">
      <c r="A22" s="205"/>
      <c r="B22" s="153"/>
      <c r="C22" s="154"/>
      <c r="D22" s="139" t="s">
        <v>500</v>
      </c>
      <c r="E22" s="156"/>
      <c r="F22" s="156"/>
      <c r="G22" s="156"/>
      <c r="H22" s="206"/>
      <c r="I22" s="206"/>
      <c r="J22" s="206"/>
      <c r="K22" s="206"/>
      <c r="L22" s="206"/>
      <c r="M22" s="206"/>
      <c r="N22" s="206"/>
      <c r="O22" s="206"/>
      <c r="P22" s="206">
        <v>0</v>
      </c>
      <c r="Q22" s="206">
        <v>3500</v>
      </c>
      <c r="R22" s="206">
        <f t="shared" si="14"/>
        <v>3500</v>
      </c>
      <c r="S22" s="206"/>
      <c r="T22" s="206">
        <f t="shared" si="15"/>
        <v>3500</v>
      </c>
    </row>
    <row r="23" spans="1:20" s="155" customFormat="1" ht="21" customHeight="1">
      <c r="A23" s="205"/>
      <c r="B23" s="153"/>
      <c r="C23" s="154"/>
      <c r="D23" s="139" t="s">
        <v>326</v>
      </c>
      <c r="E23" s="156">
        <v>0</v>
      </c>
      <c r="F23" s="156"/>
      <c r="G23" s="209">
        <v>10000</v>
      </c>
      <c r="H23" s="206">
        <f t="shared" si="8"/>
        <v>10000</v>
      </c>
      <c r="I23" s="206"/>
      <c r="J23" s="206">
        <f t="shared" si="10"/>
        <v>10000</v>
      </c>
      <c r="K23" s="206"/>
      <c r="L23" s="206">
        <f t="shared" si="11"/>
        <v>10000</v>
      </c>
      <c r="M23" s="206"/>
      <c r="N23" s="206">
        <f t="shared" si="12"/>
        <v>10000</v>
      </c>
      <c r="O23" s="206"/>
      <c r="P23" s="206">
        <f t="shared" si="13"/>
        <v>10000</v>
      </c>
      <c r="Q23" s="206"/>
      <c r="R23" s="206">
        <f t="shared" si="14"/>
        <v>10000</v>
      </c>
      <c r="S23" s="206"/>
      <c r="T23" s="206">
        <f t="shared" si="15"/>
        <v>10000</v>
      </c>
    </row>
    <row r="24" spans="1:20" s="155" customFormat="1" ht="25.5" customHeight="1">
      <c r="A24" s="205"/>
      <c r="B24" s="153"/>
      <c r="C24" s="154"/>
      <c r="D24" s="139" t="s">
        <v>292</v>
      </c>
      <c r="E24" s="156">
        <v>250000</v>
      </c>
      <c r="F24" s="156"/>
      <c r="G24" s="156"/>
      <c r="H24" s="206">
        <f t="shared" si="8"/>
        <v>250000</v>
      </c>
      <c r="I24" s="206"/>
      <c r="J24" s="206">
        <f t="shared" si="10"/>
        <v>250000</v>
      </c>
      <c r="K24" s="206"/>
      <c r="L24" s="206">
        <f t="shared" si="11"/>
        <v>250000</v>
      </c>
      <c r="M24" s="206"/>
      <c r="N24" s="206">
        <f t="shared" si="12"/>
        <v>250000</v>
      </c>
      <c r="O24" s="206"/>
      <c r="P24" s="206">
        <f t="shared" si="13"/>
        <v>250000</v>
      </c>
      <c r="Q24" s="206">
        <v>234000</v>
      </c>
      <c r="R24" s="206">
        <f t="shared" si="14"/>
        <v>484000</v>
      </c>
      <c r="S24" s="206"/>
      <c r="T24" s="206">
        <f t="shared" si="15"/>
        <v>484000</v>
      </c>
    </row>
    <row r="25" spans="1:20" s="155" customFormat="1" ht="45">
      <c r="A25" s="205"/>
      <c r="B25" s="153"/>
      <c r="C25" s="154"/>
      <c r="D25" s="139" t="s">
        <v>365</v>
      </c>
      <c r="E25" s="156">
        <v>0</v>
      </c>
      <c r="F25" s="156"/>
      <c r="G25" s="209">
        <v>500000</v>
      </c>
      <c r="H25" s="206">
        <f t="shared" si="8"/>
        <v>500000</v>
      </c>
      <c r="I25" s="206"/>
      <c r="J25" s="206">
        <f t="shared" si="10"/>
        <v>500000</v>
      </c>
      <c r="K25" s="206"/>
      <c r="L25" s="206">
        <f t="shared" si="11"/>
        <v>500000</v>
      </c>
      <c r="M25" s="206"/>
      <c r="N25" s="206">
        <f t="shared" si="12"/>
        <v>500000</v>
      </c>
      <c r="O25" s="206">
        <v>-500000</v>
      </c>
      <c r="P25" s="206">
        <f t="shared" si="13"/>
        <v>0</v>
      </c>
      <c r="Q25" s="206"/>
      <c r="R25" s="206">
        <f t="shared" si="14"/>
        <v>0</v>
      </c>
      <c r="S25" s="206"/>
      <c r="T25" s="206">
        <f t="shared" si="15"/>
        <v>0</v>
      </c>
    </row>
    <row r="26" spans="1:20" s="155" customFormat="1" ht="22.5">
      <c r="A26" s="205"/>
      <c r="B26" s="153"/>
      <c r="C26" s="154"/>
      <c r="D26" s="139" t="s">
        <v>328</v>
      </c>
      <c r="E26" s="156">
        <v>0</v>
      </c>
      <c r="F26" s="156"/>
      <c r="G26" s="209">
        <v>30000</v>
      </c>
      <c r="H26" s="206">
        <f t="shared" si="8"/>
        <v>30000</v>
      </c>
      <c r="I26" s="206"/>
      <c r="J26" s="206">
        <f t="shared" si="10"/>
        <v>30000</v>
      </c>
      <c r="K26" s="206"/>
      <c r="L26" s="206">
        <f t="shared" si="11"/>
        <v>30000</v>
      </c>
      <c r="M26" s="206"/>
      <c r="N26" s="206">
        <f t="shared" si="12"/>
        <v>30000</v>
      </c>
      <c r="O26" s="206"/>
      <c r="P26" s="206">
        <f t="shared" si="13"/>
        <v>30000</v>
      </c>
      <c r="Q26" s="206"/>
      <c r="R26" s="206">
        <f t="shared" si="14"/>
        <v>30000</v>
      </c>
      <c r="S26" s="206"/>
      <c r="T26" s="206">
        <f t="shared" si="15"/>
        <v>30000</v>
      </c>
    </row>
    <row r="27" spans="1:20" s="155" customFormat="1" ht="45">
      <c r="A27" s="205"/>
      <c r="B27" s="153"/>
      <c r="C27" s="154"/>
      <c r="D27" s="139" t="s">
        <v>531</v>
      </c>
      <c r="E27" s="156">
        <v>0</v>
      </c>
      <c r="F27" s="156"/>
      <c r="G27" s="209">
        <v>500000</v>
      </c>
      <c r="H27" s="206">
        <f t="shared" si="8"/>
        <v>500000</v>
      </c>
      <c r="I27" s="206"/>
      <c r="J27" s="206">
        <f t="shared" si="10"/>
        <v>500000</v>
      </c>
      <c r="K27" s="206"/>
      <c r="L27" s="206">
        <f t="shared" si="11"/>
        <v>500000</v>
      </c>
      <c r="M27" s="206"/>
      <c r="N27" s="206">
        <f t="shared" si="12"/>
        <v>500000</v>
      </c>
      <c r="O27" s="206"/>
      <c r="P27" s="206">
        <f t="shared" si="13"/>
        <v>500000</v>
      </c>
      <c r="Q27" s="206"/>
      <c r="R27" s="206">
        <f t="shared" si="14"/>
        <v>500000</v>
      </c>
      <c r="S27" s="206"/>
      <c r="T27" s="206">
        <f t="shared" si="15"/>
        <v>500000</v>
      </c>
    </row>
    <row r="28" spans="1:20" s="155" customFormat="1" ht="21" customHeight="1">
      <c r="A28" s="205"/>
      <c r="B28" s="153"/>
      <c r="C28" s="154"/>
      <c r="D28" s="139" t="s">
        <v>322</v>
      </c>
      <c r="E28" s="156">
        <v>0</v>
      </c>
      <c r="F28" s="156"/>
      <c r="G28" s="209">
        <v>500000</v>
      </c>
      <c r="H28" s="206">
        <f t="shared" si="8"/>
        <v>500000</v>
      </c>
      <c r="I28" s="206"/>
      <c r="J28" s="206">
        <f t="shared" si="10"/>
        <v>500000</v>
      </c>
      <c r="K28" s="206"/>
      <c r="L28" s="206">
        <f t="shared" si="11"/>
        <v>500000</v>
      </c>
      <c r="M28" s="206"/>
      <c r="N28" s="206">
        <f t="shared" si="12"/>
        <v>500000</v>
      </c>
      <c r="O28" s="206"/>
      <c r="P28" s="206">
        <f t="shared" si="13"/>
        <v>500000</v>
      </c>
      <c r="Q28" s="206"/>
      <c r="R28" s="206">
        <f t="shared" si="14"/>
        <v>500000</v>
      </c>
      <c r="S28" s="206"/>
      <c r="T28" s="206">
        <f t="shared" si="15"/>
        <v>500000</v>
      </c>
    </row>
    <row r="29" spans="1:20" s="155" customFormat="1" ht="22.5">
      <c r="A29" s="205"/>
      <c r="B29" s="153"/>
      <c r="C29" s="154"/>
      <c r="D29" s="139" t="s">
        <v>530</v>
      </c>
      <c r="E29" s="156">
        <v>100000</v>
      </c>
      <c r="F29" s="156"/>
      <c r="G29" s="156"/>
      <c r="H29" s="206">
        <f t="shared" si="8"/>
        <v>100000</v>
      </c>
      <c r="I29" s="206"/>
      <c r="J29" s="206">
        <f t="shared" si="10"/>
        <v>100000</v>
      </c>
      <c r="K29" s="206"/>
      <c r="L29" s="206">
        <f t="shared" si="11"/>
        <v>100000</v>
      </c>
      <c r="M29" s="206"/>
      <c r="N29" s="206">
        <f t="shared" si="12"/>
        <v>100000</v>
      </c>
      <c r="O29" s="206"/>
      <c r="P29" s="206">
        <f t="shared" si="13"/>
        <v>100000</v>
      </c>
      <c r="Q29" s="206">
        <v>60100</v>
      </c>
      <c r="R29" s="206">
        <f t="shared" si="14"/>
        <v>160100</v>
      </c>
      <c r="S29" s="206"/>
      <c r="T29" s="206">
        <f t="shared" si="15"/>
        <v>160100</v>
      </c>
    </row>
    <row r="30" spans="1:20" s="155" customFormat="1" ht="24" customHeight="1" hidden="1">
      <c r="A30" s="205"/>
      <c r="B30" s="153"/>
      <c r="C30" s="154"/>
      <c r="D30" s="139" t="s">
        <v>293</v>
      </c>
      <c r="E30" s="156">
        <v>100000</v>
      </c>
      <c r="F30" s="209">
        <v>-100000</v>
      </c>
      <c r="G30" s="156"/>
      <c r="H30" s="206">
        <f t="shared" si="8"/>
        <v>0</v>
      </c>
      <c r="I30" s="206"/>
      <c r="J30" s="206">
        <f t="shared" si="10"/>
        <v>0</v>
      </c>
      <c r="K30" s="206"/>
      <c r="L30" s="206">
        <f t="shared" si="11"/>
        <v>0</v>
      </c>
      <c r="M30" s="206"/>
      <c r="N30" s="206">
        <f t="shared" si="12"/>
        <v>0</v>
      </c>
      <c r="O30" s="206"/>
      <c r="P30" s="206">
        <f t="shared" si="13"/>
        <v>0</v>
      </c>
      <c r="Q30" s="206"/>
      <c r="R30" s="206">
        <f t="shared" si="14"/>
        <v>0</v>
      </c>
      <c r="S30" s="206"/>
      <c r="T30" s="206">
        <f t="shared" si="15"/>
        <v>0</v>
      </c>
    </row>
    <row r="31" spans="1:20" s="10" customFormat="1" ht="21" customHeight="1">
      <c r="A31" s="29" t="s">
        <v>8</v>
      </c>
      <c r="B31" s="4"/>
      <c r="C31" s="20"/>
      <c r="D31" s="19" t="s">
        <v>9</v>
      </c>
      <c r="E31" s="18">
        <f aca="true" t="shared" si="16" ref="E31:G32">SUM(E32)</f>
        <v>500000</v>
      </c>
      <c r="F31" s="18">
        <f t="shared" si="16"/>
        <v>-200000</v>
      </c>
      <c r="G31" s="18">
        <f t="shared" si="16"/>
        <v>0</v>
      </c>
      <c r="H31" s="39">
        <f t="shared" si="8"/>
        <v>300000</v>
      </c>
      <c r="I31" s="39">
        <f>SUM(I32)</f>
        <v>0</v>
      </c>
      <c r="J31" s="39">
        <f t="shared" si="9"/>
        <v>300000</v>
      </c>
      <c r="K31" s="39">
        <f>SUM(K32)</f>
        <v>0</v>
      </c>
      <c r="L31" s="39">
        <f t="shared" si="11"/>
        <v>300000</v>
      </c>
      <c r="M31" s="39">
        <f>SUM(M32)</f>
        <v>0</v>
      </c>
      <c r="N31" s="39">
        <f t="shared" si="12"/>
        <v>300000</v>
      </c>
      <c r="O31" s="39">
        <f>SUM(O32)</f>
        <v>0</v>
      </c>
      <c r="P31" s="39">
        <f t="shared" si="13"/>
        <v>300000</v>
      </c>
      <c r="Q31" s="39">
        <f>SUM(Q32)</f>
        <v>0</v>
      </c>
      <c r="R31" s="39">
        <f t="shared" si="14"/>
        <v>300000</v>
      </c>
      <c r="S31" s="39">
        <f>SUM(S32)</f>
        <v>0</v>
      </c>
      <c r="T31" s="39">
        <f t="shared" si="15"/>
        <v>300000</v>
      </c>
    </row>
    <row r="32" spans="1:20" s="24" customFormat="1" ht="21" customHeight="1">
      <c r="A32" s="72"/>
      <c r="B32" s="73">
        <v>70095</v>
      </c>
      <c r="C32" s="80"/>
      <c r="D32" s="13" t="s">
        <v>6</v>
      </c>
      <c r="E32" s="85">
        <f t="shared" si="16"/>
        <v>500000</v>
      </c>
      <c r="F32" s="85">
        <f t="shared" si="16"/>
        <v>-200000</v>
      </c>
      <c r="G32" s="85">
        <f t="shared" si="16"/>
        <v>0</v>
      </c>
      <c r="H32" s="204">
        <f t="shared" si="8"/>
        <v>300000</v>
      </c>
      <c r="I32" s="204">
        <f>SUM(I33)</f>
        <v>0</v>
      </c>
      <c r="J32" s="204">
        <f t="shared" si="9"/>
        <v>300000</v>
      </c>
      <c r="K32" s="204">
        <f>SUM(K33)</f>
        <v>0</v>
      </c>
      <c r="L32" s="204">
        <f t="shared" si="11"/>
        <v>300000</v>
      </c>
      <c r="M32" s="204">
        <f>SUM(M33)</f>
        <v>0</v>
      </c>
      <c r="N32" s="204">
        <f t="shared" si="12"/>
        <v>300000</v>
      </c>
      <c r="O32" s="204">
        <f>SUM(O33)</f>
        <v>0</v>
      </c>
      <c r="P32" s="204">
        <f t="shared" si="13"/>
        <v>300000</v>
      </c>
      <c r="Q32" s="204">
        <f>SUM(Q33)</f>
        <v>0</v>
      </c>
      <c r="R32" s="204">
        <f t="shared" si="14"/>
        <v>300000</v>
      </c>
      <c r="S32" s="204">
        <f>SUM(S33)</f>
        <v>0</v>
      </c>
      <c r="T32" s="204">
        <f t="shared" si="15"/>
        <v>300000</v>
      </c>
    </row>
    <row r="33" spans="1:20" s="24" customFormat="1" ht="21" customHeight="1">
      <c r="A33" s="72"/>
      <c r="B33" s="73"/>
      <c r="C33" s="74">
        <v>6050</v>
      </c>
      <c r="D33" s="13" t="s">
        <v>73</v>
      </c>
      <c r="E33" s="85">
        <f>SUM(E34:E34)</f>
        <v>500000</v>
      </c>
      <c r="F33" s="85">
        <f>SUM(F34:F34)</f>
        <v>-200000</v>
      </c>
      <c r="G33" s="85">
        <f>SUM(G34:G34)</f>
        <v>0</v>
      </c>
      <c r="H33" s="204">
        <f t="shared" si="8"/>
        <v>300000</v>
      </c>
      <c r="I33" s="204">
        <f>SUM(I34)</f>
        <v>0</v>
      </c>
      <c r="J33" s="204">
        <f t="shared" si="9"/>
        <v>300000</v>
      </c>
      <c r="K33" s="204">
        <f>SUM(K34)</f>
        <v>0</v>
      </c>
      <c r="L33" s="204">
        <f t="shared" si="11"/>
        <v>300000</v>
      </c>
      <c r="M33" s="204">
        <f>SUM(M34)</f>
        <v>0</v>
      </c>
      <c r="N33" s="204">
        <f t="shared" si="12"/>
        <v>300000</v>
      </c>
      <c r="O33" s="204">
        <f>SUM(O34)</f>
        <v>0</v>
      </c>
      <c r="P33" s="204">
        <f t="shared" si="13"/>
        <v>300000</v>
      </c>
      <c r="Q33" s="204">
        <f>SUM(Q34)</f>
        <v>0</v>
      </c>
      <c r="R33" s="204">
        <f t="shared" si="14"/>
        <v>300000</v>
      </c>
      <c r="S33" s="204">
        <f>SUM(S34)</f>
        <v>0</v>
      </c>
      <c r="T33" s="204">
        <f t="shared" si="15"/>
        <v>300000</v>
      </c>
    </row>
    <row r="34" spans="1:20" s="24" customFormat="1" ht="21" customHeight="1">
      <c r="A34" s="43"/>
      <c r="B34" s="42"/>
      <c r="C34" s="44"/>
      <c r="D34" s="45" t="s">
        <v>294</v>
      </c>
      <c r="E34" s="95">
        <v>500000</v>
      </c>
      <c r="F34" s="214">
        <v>-200000</v>
      </c>
      <c r="G34" s="95"/>
      <c r="H34" s="206">
        <f t="shared" si="8"/>
        <v>300000</v>
      </c>
      <c r="I34" s="204"/>
      <c r="J34" s="206">
        <f>SUM(H34:I34)</f>
        <v>300000</v>
      </c>
      <c r="K34" s="204"/>
      <c r="L34" s="206">
        <f>SUM(J34:K34)</f>
        <v>300000</v>
      </c>
      <c r="M34" s="204"/>
      <c r="N34" s="206">
        <f aca="true" t="shared" si="17" ref="N34:N53">SUM(L34:M34)</f>
        <v>300000</v>
      </c>
      <c r="O34" s="204"/>
      <c r="P34" s="206">
        <f t="shared" si="13"/>
        <v>300000</v>
      </c>
      <c r="Q34" s="204"/>
      <c r="R34" s="206">
        <f t="shared" si="14"/>
        <v>300000</v>
      </c>
      <c r="S34" s="204"/>
      <c r="T34" s="206">
        <f t="shared" si="15"/>
        <v>300000</v>
      </c>
    </row>
    <row r="35" spans="1:20" s="170" customFormat="1" ht="21" customHeight="1">
      <c r="A35" s="179">
        <v>710</v>
      </c>
      <c r="B35" s="180"/>
      <c r="C35" s="181"/>
      <c r="D35" s="36" t="s">
        <v>80</v>
      </c>
      <c r="E35" s="169">
        <f aca="true" t="shared" si="18" ref="E35:G37">SUM(E36)</f>
        <v>0</v>
      </c>
      <c r="F35" s="169">
        <f t="shared" si="18"/>
        <v>0</v>
      </c>
      <c r="G35" s="169">
        <f t="shared" si="18"/>
        <v>20000</v>
      </c>
      <c r="H35" s="210">
        <f t="shared" si="8"/>
        <v>20000</v>
      </c>
      <c r="I35" s="210">
        <f>SUM(I36)</f>
        <v>0</v>
      </c>
      <c r="J35" s="39">
        <f t="shared" si="9"/>
        <v>20000</v>
      </c>
      <c r="K35" s="210">
        <f>SUM(K36)</f>
        <v>0</v>
      </c>
      <c r="L35" s="39">
        <f aca="true" t="shared" si="19" ref="L35:L102">SUM(J35:K35)</f>
        <v>20000</v>
      </c>
      <c r="M35" s="210">
        <f>SUM(M36)</f>
        <v>0</v>
      </c>
      <c r="N35" s="39">
        <f t="shared" si="17"/>
        <v>20000</v>
      </c>
      <c r="O35" s="210">
        <f>SUM(O36)</f>
        <v>0</v>
      </c>
      <c r="P35" s="39">
        <f t="shared" si="13"/>
        <v>20000</v>
      </c>
      <c r="Q35" s="210">
        <f>SUM(Q36)</f>
        <v>0</v>
      </c>
      <c r="R35" s="39">
        <f t="shared" si="14"/>
        <v>20000</v>
      </c>
      <c r="S35" s="210">
        <f>SUM(S36)</f>
        <v>0</v>
      </c>
      <c r="T35" s="39">
        <f t="shared" si="15"/>
        <v>20000</v>
      </c>
    </row>
    <row r="36" spans="1:20" s="133" customFormat="1" ht="21" customHeight="1">
      <c r="A36" s="134"/>
      <c r="B36" s="141">
        <v>71035</v>
      </c>
      <c r="C36" s="142"/>
      <c r="D36" s="38" t="s">
        <v>14</v>
      </c>
      <c r="E36" s="168">
        <f t="shared" si="18"/>
        <v>0</v>
      </c>
      <c r="F36" s="168">
        <f t="shared" si="18"/>
        <v>0</v>
      </c>
      <c r="G36" s="168">
        <f t="shared" si="18"/>
        <v>20000</v>
      </c>
      <c r="H36" s="204">
        <f t="shared" si="8"/>
        <v>20000</v>
      </c>
      <c r="I36" s="204">
        <f>SUM(I37)</f>
        <v>0</v>
      </c>
      <c r="J36" s="204">
        <f t="shared" si="9"/>
        <v>20000</v>
      </c>
      <c r="K36" s="204">
        <f>SUM(K37)</f>
        <v>0</v>
      </c>
      <c r="L36" s="204">
        <f t="shared" si="19"/>
        <v>20000</v>
      </c>
      <c r="M36" s="204">
        <f>SUM(M37)</f>
        <v>0</v>
      </c>
      <c r="N36" s="204">
        <f t="shared" si="17"/>
        <v>20000</v>
      </c>
      <c r="O36" s="204">
        <f>SUM(O37)</f>
        <v>0</v>
      </c>
      <c r="P36" s="204">
        <f t="shared" si="13"/>
        <v>20000</v>
      </c>
      <c r="Q36" s="204">
        <f>SUM(Q37)</f>
        <v>0</v>
      </c>
      <c r="R36" s="204">
        <f t="shared" si="14"/>
        <v>20000</v>
      </c>
      <c r="S36" s="204">
        <f>SUM(S37)</f>
        <v>0</v>
      </c>
      <c r="T36" s="204">
        <f t="shared" si="15"/>
        <v>20000</v>
      </c>
    </row>
    <row r="37" spans="1:20" s="133" customFormat="1" ht="21" customHeight="1">
      <c r="A37" s="134"/>
      <c r="B37" s="141"/>
      <c r="C37" s="142">
        <v>6050</v>
      </c>
      <c r="D37" s="13" t="s">
        <v>73</v>
      </c>
      <c r="E37" s="168">
        <f t="shared" si="18"/>
        <v>0</v>
      </c>
      <c r="F37" s="168">
        <f t="shared" si="18"/>
        <v>0</v>
      </c>
      <c r="G37" s="168">
        <f t="shared" si="18"/>
        <v>20000</v>
      </c>
      <c r="H37" s="204">
        <f t="shared" si="8"/>
        <v>20000</v>
      </c>
      <c r="I37" s="204">
        <f>SUM(I38)</f>
        <v>0</v>
      </c>
      <c r="J37" s="204">
        <f t="shared" si="9"/>
        <v>20000</v>
      </c>
      <c r="K37" s="204">
        <f>SUM(K38)</f>
        <v>0</v>
      </c>
      <c r="L37" s="204">
        <f t="shared" si="19"/>
        <v>20000</v>
      </c>
      <c r="M37" s="204">
        <f>SUM(M38)</f>
        <v>0</v>
      </c>
      <c r="N37" s="204">
        <f t="shared" si="17"/>
        <v>20000</v>
      </c>
      <c r="O37" s="204">
        <f>SUM(O38)</f>
        <v>0</v>
      </c>
      <c r="P37" s="204">
        <f t="shared" si="13"/>
        <v>20000</v>
      </c>
      <c r="Q37" s="204">
        <f>SUM(Q38)</f>
        <v>0</v>
      </c>
      <c r="R37" s="204">
        <f t="shared" si="14"/>
        <v>20000</v>
      </c>
      <c r="S37" s="204">
        <f>SUM(S38)</f>
        <v>0</v>
      </c>
      <c r="T37" s="204">
        <f t="shared" si="15"/>
        <v>20000</v>
      </c>
    </row>
    <row r="38" spans="1:20" s="24" customFormat="1" ht="22.5" customHeight="1">
      <c r="A38" s="43"/>
      <c r="B38" s="42"/>
      <c r="C38" s="44"/>
      <c r="D38" s="45" t="s">
        <v>332</v>
      </c>
      <c r="E38" s="95">
        <v>0</v>
      </c>
      <c r="F38" s="95">
        <v>0</v>
      </c>
      <c r="G38" s="214">
        <v>20000</v>
      </c>
      <c r="H38" s="206">
        <f t="shared" si="8"/>
        <v>20000</v>
      </c>
      <c r="I38" s="204"/>
      <c r="J38" s="206">
        <f t="shared" si="9"/>
        <v>20000</v>
      </c>
      <c r="K38" s="204"/>
      <c r="L38" s="206">
        <f t="shared" si="19"/>
        <v>20000</v>
      </c>
      <c r="M38" s="204"/>
      <c r="N38" s="206">
        <f t="shared" si="17"/>
        <v>20000</v>
      </c>
      <c r="O38" s="204"/>
      <c r="P38" s="206">
        <f t="shared" si="13"/>
        <v>20000</v>
      </c>
      <c r="Q38" s="204"/>
      <c r="R38" s="206">
        <f t="shared" si="14"/>
        <v>20000</v>
      </c>
      <c r="S38" s="204"/>
      <c r="T38" s="206">
        <f t="shared" si="15"/>
        <v>20000</v>
      </c>
    </row>
    <row r="39" spans="1:20" s="170" customFormat="1" ht="21" customHeight="1">
      <c r="A39" s="179">
        <v>750</v>
      </c>
      <c r="B39" s="180"/>
      <c r="C39" s="181"/>
      <c r="D39" s="182" t="s">
        <v>83</v>
      </c>
      <c r="E39" s="169">
        <f aca="true" t="shared" si="20" ref="E39:G41">SUM(E40)</f>
        <v>150000</v>
      </c>
      <c r="F39" s="169">
        <f t="shared" si="20"/>
        <v>-100000</v>
      </c>
      <c r="G39" s="169">
        <f t="shared" si="20"/>
        <v>0</v>
      </c>
      <c r="H39" s="39">
        <f t="shared" si="8"/>
        <v>50000</v>
      </c>
      <c r="I39" s="39">
        <f>SUM(I40)</f>
        <v>0</v>
      </c>
      <c r="J39" s="39">
        <f t="shared" si="9"/>
        <v>50000</v>
      </c>
      <c r="K39" s="39">
        <f>SUM(K40)</f>
        <v>0</v>
      </c>
      <c r="L39" s="39">
        <f t="shared" si="19"/>
        <v>50000</v>
      </c>
      <c r="M39" s="39">
        <f>SUM(M40)</f>
        <v>0</v>
      </c>
      <c r="N39" s="39">
        <f t="shared" si="17"/>
        <v>50000</v>
      </c>
      <c r="O39" s="39">
        <f>SUM(O40)</f>
        <v>0</v>
      </c>
      <c r="P39" s="39">
        <f t="shared" si="13"/>
        <v>50000</v>
      </c>
      <c r="Q39" s="39">
        <f>SUM(Q40)</f>
        <v>0</v>
      </c>
      <c r="R39" s="39">
        <f t="shared" si="14"/>
        <v>50000</v>
      </c>
      <c r="S39" s="39">
        <f>SUM(S40)</f>
        <v>0</v>
      </c>
      <c r="T39" s="39">
        <f t="shared" si="15"/>
        <v>50000</v>
      </c>
    </row>
    <row r="40" spans="1:20" s="133" customFormat="1" ht="21" customHeight="1">
      <c r="A40" s="134"/>
      <c r="B40" s="141">
        <v>75023</v>
      </c>
      <c r="C40" s="142"/>
      <c r="D40" s="143" t="s">
        <v>19</v>
      </c>
      <c r="E40" s="168">
        <f t="shared" si="20"/>
        <v>150000</v>
      </c>
      <c r="F40" s="168">
        <f t="shared" si="20"/>
        <v>-100000</v>
      </c>
      <c r="G40" s="168">
        <f t="shared" si="20"/>
        <v>0</v>
      </c>
      <c r="H40" s="204">
        <f t="shared" si="8"/>
        <v>50000</v>
      </c>
      <c r="I40" s="204">
        <f>SUM(I41)</f>
        <v>0</v>
      </c>
      <c r="J40" s="204">
        <f t="shared" si="9"/>
        <v>50000</v>
      </c>
      <c r="K40" s="204">
        <f>SUM(K41)</f>
        <v>0</v>
      </c>
      <c r="L40" s="204">
        <f t="shared" si="19"/>
        <v>50000</v>
      </c>
      <c r="M40" s="204">
        <f>SUM(M41)</f>
        <v>0</v>
      </c>
      <c r="N40" s="204">
        <f t="shared" si="17"/>
        <v>50000</v>
      </c>
      <c r="O40" s="204">
        <f>SUM(O41)</f>
        <v>0</v>
      </c>
      <c r="P40" s="204">
        <f t="shared" si="13"/>
        <v>50000</v>
      </c>
      <c r="Q40" s="204">
        <f>SUM(Q41)</f>
        <v>0</v>
      </c>
      <c r="R40" s="204">
        <f t="shared" si="14"/>
        <v>50000</v>
      </c>
      <c r="S40" s="204">
        <f>SUM(S41)</f>
        <v>0</v>
      </c>
      <c r="T40" s="204">
        <f t="shared" si="15"/>
        <v>50000</v>
      </c>
    </row>
    <row r="41" spans="1:20" s="133" customFormat="1" ht="21" customHeight="1">
      <c r="A41" s="134"/>
      <c r="B41" s="141"/>
      <c r="C41" s="142">
        <v>6050</v>
      </c>
      <c r="D41" s="13" t="s">
        <v>73</v>
      </c>
      <c r="E41" s="168">
        <f t="shared" si="20"/>
        <v>150000</v>
      </c>
      <c r="F41" s="168">
        <f t="shared" si="20"/>
        <v>-100000</v>
      </c>
      <c r="G41" s="168">
        <f t="shared" si="20"/>
        <v>0</v>
      </c>
      <c r="H41" s="204">
        <f t="shared" si="8"/>
        <v>50000</v>
      </c>
      <c r="I41" s="204">
        <f>SUM(I42)</f>
        <v>0</v>
      </c>
      <c r="J41" s="204">
        <f t="shared" si="9"/>
        <v>50000</v>
      </c>
      <c r="K41" s="204">
        <f>SUM(K42)</f>
        <v>0</v>
      </c>
      <c r="L41" s="204">
        <f t="shared" si="19"/>
        <v>50000</v>
      </c>
      <c r="M41" s="204">
        <f>SUM(M42)</f>
        <v>0</v>
      </c>
      <c r="N41" s="204">
        <f t="shared" si="17"/>
        <v>50000</v>
      </c>
      <c r="O41" s="204">
        <f>SUM(O42)</f>
        <v>0</v>
      </c>
      <c r="P41" s="204">
        <f t="shared" si="13"/>
        <v>50000</v>
      </c>
      <c r="Q41" s="204">
        <f>SUM(Q42)</f>
        <v>0</v>
      </c>
      <c r="R41" s="204">
        <f t="shared" si="14"/>
        <v>50000</v>
      </c>
      <c r="S41" s="204">
        <f>SUM(S42)</f>
        <v>0</v>
      </c>
      <c r="T41" s="204">
        <f t="shared" si="15"/>
        <v>50000</v>
      </c>
    </row>
    <row r="42" spans="1:20" s="24" customFormat="1" ht="21" customHeight="1">
      <c r="A42" s="43"/>
      <c r="B42" s="42"/>
      <c r="C42" s="44"/>
      <c r="D42" s="45" t="s">
        <v>302</v>
      </c>
      <c r="E42" s="95">
        <v>150000</v>
      </c>
      <c r="F42" s="214">
        <v>-100000</v>
      </c>
      <c r="G42" s="95"/>
      <c r="H42" s="206">
        <f t="shared" si="8"/>
        <v>50000</v>
      </c>
      <c r="I42" s="204"/>
      <c r="J42" s="206">
        <f t="shared" si="9"/>
        <v>50000</v>
      </c>
      <c r="K42" s="204"/>
      <c r="L42" s="206">
        <f t="shared" si="19"/>
        <v>50000</v>
      </c>
      <c r="M42" s="204"/>
      <c r="N42" s="206">
        <f t="shared" si="17"/>
        <v>50000</v>
      </c>
      <c r="O42" s="204"/>
      <c r="P42" s="206">
        <f t="shared" si="13"/>
        <v>50000</v>
      </c>
      <c r="Q42" s="204"/>
      <c r="R42" s="206">
        <f t="shared" si="14"/>
        <v>50000</v>
      </c>
      <c r="S42" s="204"/>
      <c r="T42" s="206">
        <f t="shared" si="15"/>
        <v>50000</v>
      </c>
    </row>
    <row r="43" spans="1:20" s="40" customFormat="1" ht="23.25" customHeight="1">
      <c r="A43" s="29">
        <v>754</v>
      </c>
      <c r="B43" s="4"/>
      <c r="C43" s="12"/>
      <c r="D43" s="19" t="s">
        <v>23</v>
      </c>
      <c r="E43" s="41">
        <f>SUM(E47,E53)</f>
        <v>25000</v>
      </c>
      <c r="F43" s="41">
        <f>SUM(F47,F53)</f>
        <v>0</v>
      </c>
      <c r="G43" s="41">
        <f>SUM(G47,G53)</f>
        <v>290000</v>
      </c>
      <c r="H43" s="41">
        <f>SUM(H47,H53)</f>
        <v>315000</v>
      </c>
      <c r="I43" s="41">
        <f>SUM(I47,I53,)</f>
        <v>0</v>
      </c>
      <c r="J43" s="39">
        <f t="shared" si="9"/>
        <v>315000</v>
      </c>
      <c r="K43" s="41">
        <f>SUM(K47,K53,)</f>
        <v>0</v>
      </c>
      <c r="L43" s="39">
        <f t="shared" si="19"/>
        <v>315000</v>
      </c>
      <c r="M43" s="41">
        <f>SUM(M47,M53,)</f>
        <v>0</v>
      </c>
      <c r="N43" s="39">
        <f t="shared" si="17"/>
        <v>315000</v>
      </c>
      <c r="O43" s="41">
        <f>SUM(O47,O53,)</f>
        <v>-72755</v>
      </c>
      <c r="P43" s="39">
        <f t="shared" si="13"/>
        <v>242245</v>
      </c>
      <c r="Q43" s="41">
        <f>SUM(Q47,Q53,)</f>
        <v>0</v>
      </c>
      <c r="R43" s="39">
        <f t="shared" si="14"/>
        <v>242245</v>
      </c>
      <c r="S43" s="41">
        <f>SUM(S47,S53,S44)</f>
        <v>8000</v>
      </c>
      <c r="T43" s="41">
        <f>SUM(T47,T53,T44)</f>
        <v>250245</v>
      </c>
    </row>
    <row r="44" spans="1:20" s="133" customFormat="1" ht="23.25" customHeight="1">
      <c r="A44" s="134"/>
      <c r="B44" s="141">
        <v>75405</v>
      </c>
      <c r="C44" s="259"/>
      <c r="D44" s="143" t="s">
        <v>525</v>
      </c>
      <c r="E44" s="168"/>
      <c r="F44" s="168"/>
      <c r="G44" s="168"/>
      <c r="H44" s="168"/>
      <c r="I44" s="168"/>
      <c r="J44" s="204"/>
      <c r="K44" s="168"/>
      <c r="L44" s="204"/>
      <c r="M44" s="168"/>
      <c r="N44" s="204"/>
      <c r="O44" s="168"/>
      <c r="P44" s="204"/>
      <c r="Q44" s="168"/>
      <c r="R44" s="204">
        <f aca="true" t="shared" si="21" ref="R44:T45">SUM(R45)</f>
        <v>0</v>
      </c>
      <c r="S44" s="204">
        <f t="shared" si="21"/>
        <v>8000</v>
      </c>
      <c r="T44" s="204">
        <f t="shared" si="21"/>
        <v>8000</v>
      </c>
    </row>
    <row r="45" spans="1:20" s="133" customFormat="1" ht="23.25" customHeight="1">
      <c r="A45" s="134"/>
      <c r="B45" s="141"/>
      <c r="C45" s="259">
        <v>6060</v>
      </c>
      <c r="D45" s="13" t="s">
        <v>96</v>
      </c>
      <c r="E45" s="168"/>
      <c r="F45" s="168"/>
      <c r="G45" s="168"/>
      <c r="H45" s="168"/>
      <c r="I45" s="168"/>
      <c r="J45" s="204"/>
      <c r="K45" s="168"/>
      <c r="L45" s="204"/>
      <c r="M45" s="168"/>
      <c r="N45" s="204"/>
      <c r="O45" s="168"/>
      <c r="P45" s="204"/>
      <c r="Q45" s="168"/>
      <c r="R45" s="204">
        <f t="shared" si="21"/>
        <v>0</v>
      </c>
      <c r="S45" s="204">
        <f t="shared" si="21"/>
        <v>8000</v>
      </c>
      <c r="T45" s="204">
        <f t="shared" si="21"/>
        <v>8000</v>
      </c>
    </row>
    <row r="46" spans="1:20" s="155" customFormat="1" ht="23.25" customHeight="1">
      <c r="A46" s="152"/>
      <c r="B46" s="153"/>
      <c r="C46" s="308"/>
      <c r="D46" s="139" t="s">
        <v>526</v>
      </c>
      <c r="E46" s="156"/>
      <c r="F46" s="156"/>
      <c r="G46" s="156"/>
      <c r="H46" s="156"/>
      <c r="I46" s="156"/>
      <c r="J46" s="206"/>
      <c r="K46" s="156"/>
      <c r="L46" s="206"/>
      <c r="M46" s="156"/>
      <c r="N46" s="206"/>
      <c r="O46" s="156"/>
      <c r="P46" s="206"/>
      <c r="Q46" s="156"/>
      <c r="R46" s="206">
        <v>0</v>
      </c>
      <c r="S46" s="156">
        <v>8000</v>
      </c>
      <c r="T46" s="206">
        <f>SUM(R46:S46)</f>
        <v>8000</v>
      </c>
    </row>
    <row r="47" spans="1:20" s="24" customFormat="1" ht="21" customHeight="1">
      <c r="A47" s="72"/>
      <c r="B47" s="82">
        <v>75412</v>
      </c>
      <c r="C47" s="86"/>
      <c r="D47" s="38" t="s">
        <v>100</v>
      </c>
      <c r="E47" s="92">
        <f>SUM(E48,E51)</f>
        <v>25000</v>
      </c>
      <c r="F47" s="92">
        <f>SUM(F48,F51)</f>
        <v>0</v>
      </c>
      <c r="G47" s="92">
        <f>SUM(G48,G51)</f>
        <v>220000</v>
      </c>
      <c r="H47" s="92">
        <f>SUM(H48,H51)</f>
        <v>245000</v>
      </c>
      <c r="I47" s="92">
        <f>SUM(I48,I51,)</f>
        <v>0</v>
      </c>
      <c r="J47" s="204">
        <f t="shared" si="9"/>
        <v>245000</v>
      </c>
      <c r="K47" s="92">
        <f>SUM(K48,K51,)</f>
        <v>0</v>
      </c>
      <c r="L47" s="204">
        <f t="shared" si="19"/>
        <v>245000</v>
      </c>
      <c r="M47" s="92">
        <f>SUM(M48,M51,)</f>
        <v>0</v>
      </c>
      <c r="N47" s="204">
        <f t="shared" si="17"/>
        <v>245000</v>
      </c>
      <c r="O47" s="92">
        <f>SUM(O48,O51,)</f>
        <v>-2755</v>
      </c>
      <c r="P47" s="204">
        <f t="shared" si="13"/>
        <v>242245</v>
      </c>
      <c r="Q47" s="92">
        <f>SUM(Q48,Q51,)</f>
        <v>0</v>
      </c>
      <c r="R47" s="204">
        <f t="shared" si="14"/>
        <v>242245</v>
      </c>
      <c r="S47" s="92">
        <f>SUM(S48,S51,)</f>
        <v>0</v>
      </c>
      <c r="T47" s="204">
        <f t="shared" si="15"/>
        <v>242245</v>
      </c>
    </row>
    <row r="48" spans="1:20" s="24" customFormat="1" ht="21" customHeight="1">
      <c r="A48" s="73"/>
      <c r="B48" s="67"/>
      <c r="C48" s="86">
        <v>6050</v>
      </c>
      <c r="D48" s="13" t="s">
        <v>73</v>
      </c>
      <c r="E48" s="92">
        <f>SUM(E49:E50)</f>
        <v>0</v>
      </c>
      <c r="F48" s="92">
        <f>SUM(F49:F50)</f>
        <v>0</v>
      </c>
      <c r="G48" s="92">
        <f>SUM(G49:G50)</f>
        <v>220000</v>
      </c>
      <c r="H48" s="92">
        <f>SUM(H49:H50)</f>
        <v>220000</v>
      </c>
      <c r="I48" s="92">
        <f>SUM(I49:I50)</f>
        <v>0</v>
      </c>
      <c r="J48" s="204">
        <f t="shared" si="9"/>
        <v>220000</v>
      </c>
      <c r="K48" s="92">
        <f>SUM(K49:K50)</f>
        <v>0</v>
      </c>
      <c r="L48" s="204">
        <f t="shared" si="19"/>
        <v>220000</v>
      </c>
      <c r="M48" s="92">
        <f>SUM(M49:M50)</f>
        <v>0</v>
      </c>
      <c r="N48" s="204">
        <f t="shared" si="17"/>
        <v>220000</v>
      </c>
      <c r="O48" s="92">
        <f>SUM(O49:O50)</f>
        <v>0</v>
      </c>
      <c r="P48" s="204">
        <f t="shared" si="13"/>
        <v>220000</v>
      </c>
      <c r="Q48" s="92">
        <f>SUM(Q49:Q50)</f>
        <v>0</v>
      </c>
      <c r="R48" s="204">
        <f t="shared" si="14"/>
        <v>220000</v>
      </c>
      <c r="S48" s="92">
        <f>SUM(S49:S50)</f>
        <v>0</v>
      </c>
      <c r="T48" s="204">
        <f t="shared" si="15"/>
        <v>220000</v>
      </c>
    </row>
    <row r="49" spans="1:20" s="155" customFormat="1" ht="26.25" customHeight="1">
      <c r="A49" s="178"/>
      <c r="B49" s="207"/>
      <c r="C49" s="208"/>
      <c r="D49" s="215" t="s">
        <v>330</v>
      </c>
      <c r="E49" s="156">
        <v>0</v>
      </c>
      <c r="F49" s="156"/>
      <c r="G49" s="156">
        <v>200000</v>
      </c>
      <c r="H49" s="206">
        <f t="shared" si="8"/>
        <v>200000</v>
      </c>
      <c r="I49" s="206"/>
      <c r="J49" s="206">
        <f t="shared" si="9"/>
        <v>200000</v>
      </c>
      <c r="K49" s="206"/>
      <c r="L49" s="206">
        <f t="shared" si="19"/>
        <v>200000</v>
      </c>
      <c r="M49" s="206"/>
      <c r="N49" s="206">
        <f t="shared" si="17"/>
        <v>200000</v>
      </c>
      <c r="O49" s="206"/>
      <c r="P49" s="206">
        <f t="shared" si="13"/>
        <v>200000</v>
      </c>
      <c r="Q49" s="206"/>
      <c r="R49" s="206">
        <f t="shared" si="14"/>
        <v>200000</v>
      </c>
      <c r="S49" s="206"/>
      <c r="T49" s="206">
        <f t="shared" si="15"/>
        <v>200000</v>
      </c>
    </row>
    <row r="50" spans="1:20" s="155" customFormat="1" ht="21" customHeight="1">
      <c r="A50" s="152"/>
      <c r="B50" s="207"/>
      <c r="C50" s="211"/>
      <c r="D50" s="215" t="s">
        <v>323</v>
      </c>
      <c r="E50" s="156">
        <v>0</v>
      </c>
      <c r="F50" s="156"/>
      <c r="G50" s="156">
        <v>20000</v>
      </c>
      <c r="H50" s="206">
        <f t="shared" si="8"/>
        <v>20000</v>
      </c>
      <c r="I50" s="206"/>
      <c r="J50" s="206">
        <f t="shared" si="9"/>
        <v>20000</v>
      </c>
      <c r="K50" s="206"/>
      <c r="L50" s="206">
        <f t="shared" si="19"/>
        <v>20000</v>
      </c>
      <c r="M50" s="206"/>
      <c r="N50" s="206">
        <f t="shared" si="17"/>
        <v>20000</v>
      </c>
      <c r="O50" s="206"/>
      <c r="P50" s="206">
        <f t="shared" si="13"/>
        <v>20000</v>
      </c>
      <c r="Q50" s="206"/>
      <c r="R50" s="206">
        <f t="shared" si="14"/>
        <v>20000</v>
      </c>
      <c r="S50" s="206"/>
      <c r="T50" s="206">
        <f t="shared" si="15"/>
        <v>20000</v>
      </c>
    </row>
    <row r="51" spans="1:20" s="24" customFormat="1" ht="22.5" customHeight="1">
      <c r="A51" s="72"/>
      <c r="B51" s="47"/>
      <c r="C51" s="75">
        <v>6060</v>
      </c>
      <c r="D51" s="13" t="s">
        <v>96</v>
      </c>
      <c r="E51" s="92">
        <f>SUM(E52)</f>
        <v>25000</v>
      </c>
      <c r="F51" s="92">
        <f>SUM(F52)</f>
        <v>0</v>
      </c>
      <c r="G51" s="92">
        <f>SUM(G52)</f>
        <v>0</v>
      </c>
      <c r="H51" s="204">
        <f t="shared" si="8"/>
        <v>25000</v>
      </c>
      <c r="I51" s="204">
        <f>SUM(I52)</f>
        <v>0</v>
      </c>
      <c r="J51" s="204">
        <f t="shared" si="9"/>
        <v>25000</v>
      </c>
      <c r="K51" s="204">
        <f>SUM(K52)</f>
        <v>0</v>
      </c>
      <c r="L51" s="204">
        <f t="shared" si="19"/>
        <v>25000</v>
      </c>
      <c r="M51" s="204">
        <f>SUM(M52)</f>
        <v>0</v>
      </c>
      <c r="N51" s="204">
        <f t="shared" si="17"/>
        <v>25000</v>
      </c>
      <c r="O51" s="204">
        <f>SUM(O52)</f>
        <v>-2755</v>
      </c>
      <c r="P51" s="204">
        <f t="shared" si="13"/>
        <v>22245</v>
      </c>
      <c r="Q51" s="204">
        <f>SUM(Q52)</f>
        <v>0</v>
      </c>
      <c r="R51" s="204">
        <f t="shared" si="14"/>
        <v>22245</v>
      </c>
      <c r="S51" s="204">
        <f>SUM(S52)</f>
        <v>0</v>
      </c>
      <c r="T51" s="204">
        <f t="shared" si="15"/>
        <v>22245</v>
      </c>
    </row>
    <row r="52" spans="1:20" s="26" customFormat="1" ht="19.5" customHeight="1">
      <c r="A52" s="43"/>
      <c r="B52" s="42"/>
      <c r="C52" s="44"/>
      <c r="D52" s="45" t="s">
        <v>295</v>
      </c>
      <c r="E52" s="95">
        <v>25000</v>
      </c>
      <c r="F52" s="95"/>
      <c r="G52" s="95"/>
      <c r="H52" s="204">
        <f t="shared" si="8"/>
        <v>25000</v>
      </c>
      <c r="I52" s="204"/>
      <c r="J52" s="206">
        <f t="shared" si="9"/>
        <v>25000</v>
      </c>
      <c r="K52" s="204"/>
      <c r="L52" s="206">
        <f t="shared" si="19"/>
        <v>25000</v>
      </c>
      <c r="M52" s="204"/>
      <c r="N52" s="206">
        <f t="shared" si="17"/>
        <v>25000</v>
      </c>
      <c r="O52" s="204">
        <v>-2755</v>
      </c>
      <c r="P52" s="206">
        <f t="shared" si="13"/>
        <v>22245</v>
      </c>
      <c r="Q52" s="204"/>
      <c r="R52" s="206">
        <f t="shared" si="14"/>
        <v>22245</v>
      </c>
      <c r="S52" s="204"/>
      <c r="T52" s="206">
        <f t="shared" si="15"/>
        <v>22245</v>
      </c>
    </row>
    <row r="53" spans="1:20" s="133" customFormat="1" ht="21" customHeight="1">
      <c r="A53" s="134"/>
      <c r="B53" s="141">
        <v>75495</v>
      </c>
      <c r="C53" s="142"/>
      <c r="D53" s="13" t="s">
        <v>6</v>
      </c>
      <c r="E53" s="168">
        <f>SUM(E54)</f>
        <v>0</v>
      </c>
      <c r="F53" s="168">
        <f aca="true" t="shared" si="22" ref="F53:H54">SUM(F54)</f>
        <v>0</v>
      </c>
      <c r="G53" s="168">
        <f t="shared" si="22"/>
        <v>70000</v>
      </c>
      <c r="H53" s="168">
        <f t="shared" si="22"/>
        <v>70000</v>
      </c>
      <c r="I53" s="168">
        <f>SUM(I54)</f>
        <v>0</v>
      </c>
      <c r="J53" s="204">
        <f t="shared" si="9"/>
        <v>70000</v>
      </c>
      <c r="K53" s="168">
        <f>SUM(K54)</f>
        <v>0</v>
      </c>
      <c r="L53" s="204">
        <f t="shared" si="19"/>
        <v>70000</v>
      </c>
      <c r="M53" s="168">
        <f>SUM(M54)</f>
        <v>0</v>
      </c>
      <c r="N53" s="204">
        <f t="shared" si="17"/>
        <v>70000</v>
      </c>
      <c r="O53" s="168">
        <f>SUM(O54)</f>
        <v>-70000</v>
      </c>
      <c r="P53" s="204">
        <f t="shared" si="13"/>
        <v>0</v>
      </c>
      <c r="Q53" s="168">
        <f>SUM(Q54)</f>
        <v>0</v>
      </c>
      <c r="R53" s="204">
        <f t="shared" si="14"/>
        <v>0</v>
      </c>
      <c r="S53" s="168">
        <f>SUM(S54)</f>
        <v>0</v>
      </c>
      <c r="T53" s="204">
        <f t="shared" si="15"/>
        <v>0</v>
      </c>
    </row>
    <row r="54" spans="1:20" s="133" customFormat="1" ht="21" customHeight="1">
      <c r="A54" s="134"/>
      <c r="B54" s="141"/>
      <c r="C54" s="142">
        <v>6050</v>
      </c>
      <c r="D54" s="13" t="s">
        <v>73</v>
      </c>
      <c r="E54" s="168">
        <f>SUM(E55)</f>
        <v>0</v>
      </c>
      <c r="F54" s="168">
        <f t="shared" si="22"/>
        <v>0</v>
      </c>
      <c r="G54" s="168">
        <f t="shared" si="22"/>
        <v>70000</v>
      </c>
      <c r="H54" s="168">
        <f t="shared" si="22"/>
        <v>70000</v>
      </c>
      <c r="I54" s="168"/>
      <c r="J54" s="204">
        <f>SUM(J55)</f>
        <v>70000</v>
      </c>
      <c r="K54" s="204">
        <f>SUM(K55)</f>
        <v>0</v>
      </c>
      <c r="L54" s="204">
        <f>SUM(L55)</f>
        <v>70000</v>
      </c>
      <c r="M54" s="204">
        <f>SUM(M55)</f>
        <v>0</v>
      </c>
      <c r="N54" s="204">
        <f>SUM(N55)</f>
        <v>70000</v>
      </c>
      <c r="O54" s="204">
        <f>SUM(O55)</f>
        <v>-70000</v>
      </c>
      <c r="P54" s="204">
        <f>SUM(P55)</f>
        <v>0</v>
      </c>
      <c r="Q54" s="204">
        <f>SUM(Q55)</f>
        <v>0</v>
      </c>
      <c r="R54" s="204">
        <f>SUM(R55)</f>
        <v>0</v>
      </c>
      <c r="S54" s="204">
        <f>SUM(S55)</f>
        <v>0</v>
      </c>
      <c r="T54" s="204">
        <f>SUM(T55)</f>
        <v>0</v>
      </c>
    </row>
    <row r="55" spans="1:20" s="155" customFormat="1" ht="45">
      <c r="A55" s="152"/>
      <c r="B55" s="153"/>
      <c r="C55" s="176"/>
      <c r="D55" s="139" t="s">
        <v>329</v>
      </c>
      <c r="E55" s="156">
        <v>0</v>
      </c>
      <c r="F55" s="156"/>
      <c r="G55" s="156">
        <v>70000</v>
      </c>
      <c r="H55" s="206">
        <f>SUM(E55:G55)</f>
        <v>70000</v>
      </c>
      <c r="I55" s="206"/>
      <c r="J55" s="206">
        <f t="shared" si="9"/>
        <v>70000</v>
      </c>
      <c r="K55" s="206"/>
      <c r="L55" s="206">
        <f t="shared" si="19"/>
        <v>70000</v>
      </c>
      <c r="M55" s="206"/>
      <c r="N55" s="206">
        <f aca="true" t="shared" si="23" ref="N55:N102">SUM(L55:M55)</f>
        <v>70000</v>
      </c>
      <c r="O55" s="206">
        <v>-70000</v>
      </c>
      <c r="P55" s="206">
        <f aca="true" t="shared" si="24" ref="P55:P63">SUM(N55:O55)</f>
        <v>0</v>
      </c>
      <c r="Q55" s="206"/>
      <c r="R55" s="206">
        <f aca="true" t="shared" si="25" ref="R55:R63">SUM(P55:Q55)</f>
        <v>0</v>
      </c>
      <c r="S55" s="206"/>
      <c r="T55" s="206">
        <f aca="true" t="shared" si="26" ref="T55:T63">SUM(R55:S55)</f>
        <v>0</v>
      </c>
    </row>
    <row r="56" spans="1:20" s="40" customFormat="1" ht="21" customHeight="1">
      <c r="A56" s="29">
        <v>758</v>
      </c>
      <c r="B56" s="4"/>
      <c r="C56" s="12"/>
      <c r="D56" s="19" t="s">
        <v>46</v>
      </c>
      <c r="E56" s="41">
        <f aca="true" t="shared" si="27" ref="E56:G57">SUM(E57)</f>
        <v>216000</v>
      </c>
      <c r="F56" s="41">
        <f t="shared" si="27"/>
        <v>0</v>
      </c>
      <c r="G56" s="41">
        <f t="shared" si="27"/>
        <v>0</v>
      </c>
      <c r="H56" s="39">
        <f t="shared" si="8"/>
        <v>216000</v>
      </c>
      <c r="I56" s="39">
        <f>SUM(I57)</f>
        <v>-100000</v>
      </c>
      <c r="J56" s="39">
        <f t="shared" si="9"/>
        <v>116000</v>
      </c>
      <c r="K56" s="39">
        <f>SUM(K57)</f>
        <v>0</v>
      </c>
      <c r="L56" s="39">
        <f t="shared" si="19"/>
        <v>116000</v>
      </c>
      <c r="M56" s="39">
        <f>SUM(M57)</f>
        <v>0</v>
      </c>
      <c r="N56" s="39">
        <f t="shared" si="23"/>
        <v>116000</v>
      </c>
      <c r="O56" s="39">
        <f>SUM(O57)</f>
        <v>0</v>
      </c>
      <c r="P56" s="39">
        <f t="shared" si="24"/>
        <v>116000</v>
      </c>
      <c r="Q56" s="39">
        <f>SUM(Q57)</f>
        <v>0</v>
      </c>
      <c r="R56" s="39">
        <f t="shared" si="25"/>
        <v>116000</v>
      </c>
      <c r="S56" s="39">
        <f>SUM(S57)</f>
        <v>0</v>
      </c>
      <c r="T56" s="39">
        <f t="shared" si="26"/>
        <v>116000</v>
      </c>
    </row>
    <row r="57" spans="1:20" s="24" customFormat="1" ht="21" customHeight="1">
      <c r="A57" s="72"/>
      <c r="B57" s="47">
        <v>75818</v>
      </c>
      <c r="C57" s="75"/>
      <c r="D57" s="13" t="s">
        <v>107</v>
      </c>
      <c r="E57" s="92">
        <f t="shared" si="27"/>
        <v>216000</v>
      </c>
      <c r="F57" s="92">
        <f t="shared" si="27"/>
        <v>0</v>
      </c>
      <c r="G57" s="92">
        <f t="shared" si="27"/>
        <v>0</v>
      </c>
      <c r="H57" s="204">
        <f t="shared" si="8"/>
        <v>216000</v>
      </c>
      <c r="I57" s="204">
        <f>SUM(I58)</f>
        <v>-100000</v>
      </c>
      <c r="J57" s="204">
        <f t="shared" si="9"/>
        <v>116000</v>
      </c>
      <c r="K57" s="204">
        <f>SUM(K58)</f>
        <v>0</v>
      </c>
      <c r="L57" s="204">
        <f t="shared" si="19"/>
        <v>116000</v>
      </c>
      <c r="M57" s="204">
        <f>SUM(M58)</f>
        <v>0</v>
      </c>
      <c r="N57" s="204">
        <f t="shared" si="23"/>
        <v>116000</v>
      </c>
      <c r="O57" s="204">
        <f>SUM(O58)</f>
        <v>0</v>
      </c>
      <c r="P57" s="204">
        <f t="shared" si="24"/>
        <v>116000</v>
      </c>
      <c r="Q57" s="204">
        <f>SUM(Q58)</f>
        <v>0</v>
      </c>
      <c r="R57" s="204">
        <f t="shared" si="25"/>
        <v>116000</v>
      </c>
      <c r="S57" s="204">
        <f>SUM(S58)</f>
        <v>0</v>
      </c>
      <c r="T57" s="204">
        <f t="shared" si="26"/>
        <v>116000</v>
      </c>
    </row>
    <row r="58" spans="1:20" s="24" customFormat="1" ht="21" customHeight="1">
      <c r="A58" s="72"/>
      <c r="B58" s="47"/>
      <c r="C58" s="75">
        <v>6800</v>
      </c>
      <c r="D58" s="13" t="s">
        <v>252</v>
      </c>
      <c r="E58" s="92">
        <f>SUM(E59:E61)</f>
        <v>216000</v>
      </c>
      <c r="F58" s="92">
        <f>SUM(F59:F61)</f>
        <v>0</v>
      </c>
      <c r="G58" s="92">
        <f>SUM(G59:G61)</f>
        <v>0</v>
      </c>
      <c r="H58" s="204">
        <f t="shared" si="8"/>
        <v>216000</v>
      </c>
      <c r="I58" s="204">
        <f>SUM(I59:I61)</f>
        <v>-100000</v>
      </c>
      <c r="J58" s="204">
        <f t="shared" si="9"/>
        <v>116000</v>
      </c>
      <c r="K58" s="204">
        <f>SUM(K59:K61)</f>
        <v>0</v>
      </c>
      <c r="L58" s="204">
        <f t="shared" si="19"/>
        <v>116000</v>
      </c>
      <c r="M58" s="204">
        <f>SUM(M59:M61)</f>
        <v>0</v>
      </c>
      <c r="N58" s="204">
        <f t="shared" si="23"/>
        <v>116000</v>
      </c>
      <c r="O58" s="204">
        <f>SUM(O59:O61)</f>
        <v>0</v>
      </c>
      <c r="P58" s="204">
        <f t="shared" si="24"/>
        <v>116000</v>
      </c>
      <c r="Q58" s="204">
        <f>SUM(Q59:Q61)</f>
        <v>0</v>
      </c>
      <c r="R58" s="204">
        <f t="shared" si="25"/>
        <v>116000</v>
      </c>
      <c r="S58" s="204">
        <f>SUM(S59:S61)</f>
        <v>0</v>
      </c>
      <c r="T58" s="204">
        <f t="shared" si="26"/>
        <v>116000</v>
      </c>
    </row>
    <row r="59" spans="1:20" s="155" customFormat="1" ht="21.75" customHeight="1">
      <c r="A59" s="152"/>
      <c r="B59" s="153"/>
      <c r="C59" s="176"/>
      <c r="D59" s="139" t="s">
        <v>297</v>
      </c>
      <c r="E59" s="156">
        <v>100000</v>
      </c>
      <c r="F59" s="156"/>
      <c r="G59" s="156"/>
      <c r="H59" s="206">
        <f t="shared" si="8"/>
        <v>100000</v>
      </c>
      <c r="I59" s="206">
        <v>-100000</v>
      </c>
      <c r="J59" s="206">
        <f t="shared" si="9"/>
        <v>0</v>
      </c>
      <c r="K59" s="206"/>
      <c r="L59" s="206">
        <f t="shared" si="19"/>
        <v>0</v>
      </c>
      <c r="M59" s="206"/>
      <c r="N59" s="206">
        <f t="shared" si="23"/>
        <v>0</v>
      </c>
      <c r="O59" s="206"/>
      <c r="P59" s="206">
        <f t="shared" si="24"/>
        <v>0</v>
      </c>
      <c r="Q59" s="206"/>
      <c r="R59" s="206">
        <f t="shared" si="25"/>
        <v>0</v>
      </c>
      <c r="S59" s="206"/>
      <c r="T59" s="206">
        <f t="shared" si="26"/>
        <v>0</v>
      </c>
    </row>
    <row r="60" spans="1:20" s="155" customFormat="1" ht="45">
      <c r="A60" s="152"/>
      <c r="B60" s="153"/>
      <c r="C60" s="176"/>
      <c r="D60" s="139" t="s">
        <v>532</v>
      </c>
      <c r="E60" s="156">
        <v>100000</v>
      </c>
      <c r="F60" s="156"/>
      <c r="G60" s="156"/>
      <c r="H60" s="206">
        <f t="shared" si="8"/>
        <v>100000</v>
      </c>
      <c r="I60" s="206"/>
      <c r="J60" s="206">
        <f t="shared" si="9"/>
        <v>100000</v>
      </c>
      <c r="K60" s="206"/>
      <c r="L60" s="206">
        <f t="shared" si="19"/>
        <v>100000</v>
      </c>
      <c r="M60" s="206"/>
      <c r="N60" s="206">
        <f t="shared" si="23"/>
        <v>100000</v>
      </c>
      <c r="O60" s="206"/>
      <c r="P60" s="206">
        <f t="shared" si="24"/>
        <v>100000</v>
      </c>
      <c r="Q60" s="206"/>
      <c r="R60" s="206">
        <f t="shared" si="25"/>
        <v>100000</v>
      </c>
      <c r="S60" s="206"/>
      <c r="T60" s="206">
        <f t="shared" si="26"/>
        <v>100000</v>
      </c>
    </row>
    <row r="61" spans="1:20" s="155" customFormat="1" ht="21" customHeight="1">
      <c r="A61" s="152"/>
      <c r="B61" s="153"/>
      <c r="C61" s="176"/>
      <c r="D61" s="139" t="s">
        <v>296</v>
      </c>
      <c r="E61" s="156">
        <v>16000</v>
      </c>
      <c r="F61" s="156"/>
      <c r="G61" s="156"/>
      <c r="H61" s="206">
        <f t="shared" si="8"/>
        <v>16000</v>
      </c>
      <c r="I61" s="206"/>
      <c r="J61" s="206">
        <f t="shared" si="9"/>
        <v>16000</v>
      </c>
      <c r="K61" s="206"/>
      <c r="L61" s="206">
        <f t="shared" si="19"/>
        <v>16000</v>
      </c>
      <c r="M61" s="206"/>
      <c r="N61" s="206">
        <f t="shared" si="23"/>
        <v>16000</v>
      </c>
      <c r="O61" s="206"/>
      <c r="P61" s="206">
        <f t="shared" si="24"/>
        <v>16000</v>
      </c>
      <c r="Q61" s="206"/>
      <c r="R61" s="206">
        <f t="shared" si="25"/>
        <v>16000</v>
      </c>
      <c r="S61" s="206"/>
      <c r="T61" s="206">
        <f t="shared" si="26"/>
        <v>16000</v>
      </c>
    </row>
    <row r="62" spans="1:20" s="40" customFormat="1" ht="21" customHeight="1">
      <c r="A62" s="29">
        <v>801</v>
      </c>
      <c r="B62" s="4"/>
      <c r="C62" s="12"/>
      <c r="D62" s="19" t="s">
        <v>110</v>
      </c>
      <c r="E62" s="18">
        <f>SUM(,E70,E63,E76)</f>
        <v>6592300</v>
      </c>
      <c r="F62" s="18">
        <f>SUM(,F70,F63,F76)</f>
        <v>-861184</v>
      </c>
      <c r="G62" s="18">
        <f>SUM(,G70,G63,G76)</f>
        <v>0</v>
      </c>
      <c r="H62" s="39">
        <f t="shared" si="8"/>
        <v>5731116</v>
      </c>
      <c r="I62" s="39">
        <f>SUM(I63,I70,I76,)</f>
        <v>15000</v>
      </c>
      <c r="J62" s="39">
        <f t="shared" si="9"/>
        <v>5746116</v>
      </c>
      <c r="K62" s="39">
        <f>SUM(K63,K70,K76,)</f>
        <v>0</v>
      </c>
      <c r="L62" s="39">
        <f t="shared" si="19"/>
        <v>5746116</v>
      </c>
      <c r="M62" s="39">
        <f>SUM(M63,M70,M76,)</f>
        <v>63850</v>
      </c>
      <c r="N62" s="39">
        <f t="shared" si="23"/>
        <v>5809966</v>
      </c>
      <c r="O62" s="39">
        <f>SUM(O63,O70,O76,)</f>
        <v>151250</v>
      </c>
      <c r="P62" s="39">
        <f t="shared" si="24"/>
        <v>5961216</v>
      </c>
      <c r="Q62" s="39">
        <f>SUM(Q63,Q70,Q76,)</f>
        <v>0</v>
      </c>
      <c r="R62" s="39">
        <f t="shared" si="25"/>
        <v>5961216</v>
      </c>
      <c r="S62" s="39">
        <f>SUM(S63,S70,S76,)</f>
        <v>0</v>
      </c>
      <c r="T62" s="39">
        <f t="shared" si="26"/>
        <v>5961216</v>
      </c>
    </row>
    <row r="63" spans="1:20" s="133" customFormat="1" ht="21" customHeight="1">
      <c r="A63" s="134"/>
      <c r="B63" s="141">
        <v>80101</v>
      </c>
      <c r="C63" s="142"/>
      <c r="D63" s="143" t="s">
        <v>51</v>
      </c>
      <c r="E63" s="144">
        <f>SUM(E64,E67,)</f>
        <v>670300</v>
      </c>
      <c r="F63" s="144">
        <f>SUM(F64,F67,)</f>
        <v>-110000</v>
      </c>
      <c r="G63" s="144">
        <f>SUM(G64,G67,)</f>
        <v>0</v>
      </c>
      <c r="H63" s="204">
        <f t="shared" si="8"/>
        <v>560300</v>
      </c>
      <c r="I63" s="204">
        <f>SUM(I64,I67,)</f>
        <v>0</v>
      </c>
      <c r="J63" s="204">
        <f t="shared" si="9"/>
        <v>560300</v>
      </c>
      <c r="K63" s="204">
        <f>SUM(K64,K67,)</f>
        <v>0</v>
      </c>
      <c r="L63" s="204">
        <f t="shared" si="19"/>
        <v>560300</v>
      </c>
      <c r="M63" s="204">
        <f>SUM(M64,M67,)</f>
        <v>63850</v>
      </c>
      <c r="N63" s="204">
        <f t="shared" si="23"/>
        <v>624150</v>
      </c>
      <c r="O63" s="204">
        <f>SUM(O64,O67,)</f>
        <v>63850</v>
      </c>
      <c r="P63" s="204">
        <f t="shared" si="24"/>
        <v>688000</v>
      </c>
      <c r="Q63" s="204">
        <f>SUM(Q64,Q67,)</f>
        <v>0</v>
      </c>
      <c r="R63" s="204">
        <f t="shared" si="25"/>
        <v>688000</v>
      </c>
      <c r="S63" s="204">
        <f>SUM(S64,S67,)</f>
        <v>0</v>
      </c>
      <c r="T63" s="204">
        <f t="shared" si="26"/>
        <v>688000</v>
      </c>
    </row>
    <row r="64" spans="1:20" s="133" customFormat="1" ht="21" customHeight="1">
      <c r="A64" s="134"/>
      <c r="B64" s="141"/>
      <c r="C64" s="142">
        <v>6050</v>
      </c>
      <c r="D64" s="13" t="s">
        <v>73</v>
      </c>
      <c r="E64" s="144">
        <f>SUM(E66)</f>
        <v>660000</v>
      </c>
      <c r="F64" s="144">
        <f>SUM(F66)</f>
        <v>-110000</v>
      </c>
      <c r="G64" s="144">
        <f>SUM(G66)</f>
        <v>0</v>
      </c>
      <c r="H64" s="204">
        <f t="shared" si="8"/>
        <v>550000</v>
      </c>
      <c r="I64" s="204">
        <f>SUM(I66)</f>
        <v>0</v>
      </c>
      <c r="J64" s="204">
        <f t="shared" si="9"/>
        <v>550000</v>
      </c>
      <c r="K64" s="204">
        <f>SUM(K66)</f>
        <v>0</v>
      </c>
      <c r="L64" s="204">
        <f aca="true" t="shared" si="28" ref="L64:R64">SUM(L65:L66)</f>
        <v>550000</v>
      </c>
      <c r="M64" s="204">
        <f t="shared" si="28"/>
        <v>63850</v>
      </c>
      <c r="N64" s="204">
        <f t="shared" si="28"/>
        <v>613850</v>
      </c>
      <c r="O64" s="204">
        <f t="shared" si="28"/>
        <v>63850</v>
      </c>
      <c r="P64" s="204">
        <f t="shared" si="28"/>
        <v>677700</v>
      </c>
      <c r="Q64" s="204">
        <f t="shared" si="28"/>
        <v>0</v>
      </c>
      <c r="R64" s="204">
        <f t="shared" si="28"/>
        <v>677700</v>
      </c>
      <c r="S64" s="204">
        <f>SUM(S65:S66)</f>
        <v>0</v>
      </c>
      <c r="T64" s="204">
        <f>SUM(T65:T66)</f>
        <v>677700</v>
      </c>
    </row>
    <row r="65" spans="1:20" s="133" customFormat="1" ht="28.5" customHeight="1">
      <c r="A65" s="134"/>
      <c r="B65" s="141"/>
      <c r="C65" s="142"/>
      <c r="D65" s="45" t="s">
        <v>426</v>
      </c>
      <c r="E65" s="144"/>
      <c r="F65" s="144"/>
      <c r="G65" s="144"/>
      <c r="H65" s="204"/>
      <c r="I65" s="204"/>
      <c r="J65" s="204"/>
      <c r="K65" s="204"/>
      <c r="L65" s="204">
        <v>0</v>
      </c>
      <c r="M65" s="204">
        <v>63850</v>
      </c>
      <c r="N65" s="206">
        <f t="shared" si="23"/>
        <v>63850</v>
      </c>
      <c r="O65" s="204">
        <v>63850</v>
      </c>
      <c r="P65" s="206">
        <f aca="true" t="shared" si="29" ref="P65:P102">SUM(N65:O65)</f>
        <v>127700</v>
      </c>
      <c r="Q65" s="204"/>
      <c r="R65" s="206">
        <f aca="true" t="shared" si="30" ref="R65:R102">SUM(P65:Q65)</f>
        <v>127700</v>
      </c>
      <c r="S65" s="204"/>
      <c r="T65" s="206">
        <f aca="true" t="shared" si="31" ref="T65:T102">SUM(R65:S65)</f>
        <v>127700</v>
      </c>
    </row>
    <row r="66" spans="1:20" s="155" customFormat="1" ht="21" customHeight="1">
      <c r="A66" s="152"/>
      <c r="B66" s="153"/>
      <c r="C66" s="139"/>
      <c r="D66" s="139" t="s">
        <v>285</v>
      </c>
      <c r="E66" s="140">
        <v>660000</v>
      </c>
      <c r="F66" s="140">
        <v>-110000</v>
      </c>
      <c r="G66" s="140"/>
      <c r="H66" s="206">
        <f t="shared" si="8"/>
        <v>550000</v>
      </c>
      <c r="I66" s="206"/>
      <c r="J66" s="206">
        <f t="shared" si="9"/>
        <v>550000</v>
      </c>
      <c r="K66" s="206"/>
      <c r="L66" s="206">
        <f t="shared" si="19"/>
        <v>550000</v>
      </c>
      <c r="M66" s="206"/>
      <c r="N66" s="206">
        <f t="shared" si="23"/>
        <v>550000</v>
      </c>
      <c r="O66" s="206"/>
      <c r="P66" s="206">
        <f t="shared" si="29"/>
        <v>550000</v>
      </c>
      <c r="Q66" s="206"/>
      <c r="R66" s="206">
        <f t="shared" si="30"/>
        <v>550000</v>
      </c>
      <c r="S66" s="206"/>
      <c r="T66" s="206">
        <f t="shared" si="31"/>
        <v>550000</v>
      </c>
    </row>
    <row r="67" spans="1:20" s="133" customFormat="1" ht="22.5">
      <c r="A67" s="134"/>
      <c r="B67" s="141"/>
      <c r="C67" s="142">
        <v>6060</v>
      </c>
      <c r="D67" s="13" t="s">
        <v>96</v>
      </c>
      <c r="E67" s="144">
        <f>SUM(E68:E69)</f>
        <v>10300</v>
      </c>
      <c r="F67" s="144">
        <f>SUM(F68:F69)</f>
        <v>0</v>
      </c>
      <c r="G67" s="144">
        <f>SUM(G68:G69)</f>
        <v>0</v>
      </c>
      <c r="H67" s="204">
        <f t="shared" si="8"/>
        <v>10300</v>
      </c>
      <c r="I67" s="204">
        <f>SUM(I68:I69)</f>
        <v>0</v>
      </c>
      <c r="J67" s="204">
        <f t="shared" si="9"/>
        <v>10300</v>
      </c>
      <c r="K67" s="204">
        <f>SUM(K68:K69)</f>
        <v>0</v>
      </c>
      <c r="L67" s="204">
        <f t="shared" si="19"/>
        <v>10300</v>
      </c>
      <c r="M67" s="204">
        <f>SUM(M68:M69)</f>
        <v>0</v>
      </c>
      <c r="N67" s="204">
        <f t="shared" si="23"/>
        <v>10300</v>
      </c>
      <c r="O67" s="204">
        <f>SUM(O68:O69)</f>
        <v>0</v>
      </c>
      <c r="P67" s="204">
        <f t="shared" si="29"/>
        <v>10300</v>
      </c>
      <c r="Q67" s="204">
        <f>SUM(Q68:Q69)</f>
        <v>0</v>
      </c>
      <c r="R67" s="204">
        <f t="shared" si="30"/>
        <v>10300</v>
      </c>
      <c r="S67" s="204">
        <f>SUM(S68:S69)</f>
        <v>0</v>
      </c>
      <c r="T67" s="204">
        <f t="shared" si="31"/>
        <v>10300</v>
      </c>
    </row>
    <row r="68" spans="1:20" s="155" customFormat="1" ht="21" customHeight="1">
      <c r="A68" s="152"/>
      <c r="B68" s="153"/>
      <c r="C68" s="176"/>
      <c r="D68" s="139" t="s">
        <v>533</v>
      </c>
      <c r="E68" s="140">
        <v>5800</v>
      </c>
      <c r="F68" s="140"/>
      <c r="G68" s="140"/>
      <c r="H68" s="206">
        <f t="shared" si="8"/>
        <v>5800</v>
      </c>
      <c r="I68" s="206"/>
      <c r="J68" s="206">
        <f t="shared" si="9"/>
        <v>5800</v>
      </c>
      <c r="K68" s="206"/>
      <c r="L68" s="206">
        <f t="shared" si="19"/>
        <v>5800</v>
      </c>
      <c r="M68" s="206"/>
      <c r="N68" s="206">
        <f t="shared" si="23"/>
        <v>5800</v>
      </c>
      <c r="O68" s="206"/>
      <c r="P68" s="206">
        <f t="shared" si="29"/>
        <v>5800</v>
      </c>
      <c r="Q68" s="206"/>
      <c r="R68" s="206">
        <f t="shared" si="30"/>
        <v>5800</v>
      </c>
      <c r="S68" s="206"/>
      <c r="T68" s="206">
        <f t="shared" si="31"/>
        <v>5800</v>
      </c>
    </row>
    <row r="69" spans="1:20" s="155" customFormat="1" ht="21.75" customHeight="1">
      <c r="A69" s="152"/>
      <c r="B69" s="153"/>
      <c r="C69" s="176"/>
      <c r="D69" s="139" t="s">
        <v>367</v>
      </c>
      <c r="E69" s="140">
        <v>4500</v>
      </c>
      <c r="F69" s="140"/>
      <c r="G69" s="140"/>
      <c r="H69" s="206">
        <f t="shared" si="8"/>
        <v>4500</v>
      </c>
      <c r="I69" s="206"/>
      <c r="J69" s="206">
        <f t="shared" si="9"/>
        <v>4500</v>
      </c>
      <c r="K69" s="206"/>
      <c r="L69" s="206">
        <f t="shared" si="19"/>
        <v>4500</v>
      </c>
      <c r="M69" s="206"/>
      <c r="N69" s="206">
        <f t="shared" si="23"/>
        <v>4500</v>
      </c>
      <c r="O69" s="206"/>
      <c r="P69" s="206">
        <f t="shared" si="29"/>
        <v>4500</v>
      </c>
      <c r="Q69" s="206"/>
      <c r="R69" s="206">
        <f t="shared" si="30"/>
        <v>4500</v>
      </c>
      <c r="S69" s="206"/>
      <c r="T69" s="206">
        <f t="shared" si="31"/>
        <v>4500</v>
      </c>
    </row>
    <row r="70" spans="1:20" s="24" customFormat="1" ht="21" customHeight="1">
      <c r="A70" s="72"/>
      <c r="B70" s="47">
        <v>80110</v>
      </c>
      <c r="C70" s="75"/>
      <c r="D70" s="13" t="s">
        <v>52</v>
      </c>
      <c r="E70" s="85">
        <f>SUM(E71)</f>
        <v>5918000</v>
      </c>
      <c r="F70" s="85">
        <f>SUM(F71)</f>
        <v>-751184</v>
      </c>
      <c r="G70" s="85">
        <f>SUM(G71)</f>
        <v>0</v>
      </c>
      <c r="H70" s="204">
        <f t="shared" si="8"/>
        <v>5166816</v>
      </c>
      <c r="I70" s="204">
        <f>SUM(I71)</f>
        <v>15000</v>
      </c>
      <c r="J70" s="204">
        <f t="shared" si="9"/>
        <v>5181816</v>
      </c>
      <c r="K70" s="204">
        <f>SUM(K71)</f>
        <v>0</v>
      </c>
      <c r="L70" s="204">
        <f t="shared" si="19"/>
        <v>5181816</v>
      </c>
      <c r="M70" s="204">
        <f>SUM(M71)</f>
        <v>0</v>
      </c>
      <c r="N70" s="204">
        <f t="shared" si="23"/>
        <v>5181816</v>
      </c>
      <c r="O70" s="204">
        <f>SUM(O71)</f>
        <v>87400</v>
      </c>
      <c r="P70" s="204">
        <f t="shared" si="29"/>
        <v>5269216</v>
      </c>
      <c r="Q70" s="204">
        <f>SUM(Q71)</f>
        <v>0</v>
      </c>
      <c r="R70" s="204">
        <f t="shared" si="30"/>
        <v>5269216</v>
      </c>
      <c r="S70" s="204">
        <f>SUM(S71)</f>
        <v>0</v>
      </c>
      <c r="T70" s="204">
        <f t="shared" si="31"/>
        <v>5269216</v>
      </c>
    </row>
    <row r="71" spans="1:20" s="24" customFormat="1" ht="21" customHeight="1">
      <c r="A71" s="72"/>
      <c r="B71" s="47"/>
      <c r="C71" s="75">
        <v>6050</v>
      </c>
      <c r="D71" s="13" t="s">
        <v>73</v>
      </c>
      <c r="E71" s="85">
        <f>SUM(E72:E75)</f>
        <v>5918000</v>
      </c>
      <c r="F71" s="85">
        <f>SUM(F72:F75)</f>
        <v>-751184</v>
      </c>
      <c r="G71" s="85">
        <f>SUM(G72:G75)</f>
        <v>0</v>
      </c>
      <c r="H71" s="204">
        <f t="shared" si="8"/>
        <v>5166816</v>
      </c>
      <c r="I71" s="204">
        <f>SUM(I72:I75)</f>
        <v>15000</v>
      </c>
      <c r="J71" s="204">
        <f t="shared" si="9"/>
        <v>5181816</v>
      </c>
      <c r="K71" s="204">
        <f>SUM(K72:K75)</f>
        <v>0</v>
      </c>
      <c r="L71" s="204">
        <f t="shared" si="19"/>
        <v>5181816</v>
      </c>
      <c r="M71" s="204">
        <f>SUM(M72:M75)</f>
        <v>0</v>
      </c>
      <c r="N71" s="204">
        <f t="shared" si="23"/>
        <v>5181816</v>
      </c>
      <c r="O71" s="204">
        <f>SUM(O72:O75)</f>
        <v>87400</v>
      </c>
      <c r="P71" s="204">
        <f t="shared" si="29"/>
        <v>5269216</v>
      </c>
      <c r="Q71" s="204">
        <f>SUM(Q72:Q75)</f>
        <v>0</v>
      </c>
      <c r="R71" s="204">
        <f t="shared" si="30"/>
        <v>5269216</v>
      </c>
      <c r="S71" s="204">
        <f>SUM(S72:S75)</f>
        <v>0</v>
      </c>
      <c r="T71" s="204">
        <f t="shared" si="31"/>
        <v>5269216</v>
      </c>
    </row>
    <row r="72" spans="1:20" s="155" customFormat="1" ht="21.75" customHeight="1">
      <c r="A72" s="152"/>
      <c r="B72" s="153"/>
      <c r="C72" s="176"/>
      <c r="D72" s="139" t="s">
        <v>283</v>
      </c>
      <c r="E72" s="140">
        <v>4350000</v>
      </c>
      <c r="F72" s="140">
        <v>-138184</v>
      </c>
      <c r="G72" s="140"/>
      <c r="H72" s="206">
        <f t="shared" si="8"/>
        <v>4211816</v>
      </c>
      <c r="I72" s="206">
        <v>15000</v>
      </c>
      <c r="J72" s="206">
        <f t="shared" si="9"/>
        <v>4226816</v>
      </c>
      <c r="K72" s="206"/>
      <c r="L72" s="206">
        <f t="shared" si="19"/>
        <v>4226816</v>
      </c>
      <c r="M72" s="206"/>
      <c r="N72" s="206">
        <f t="shared" si="23"/>
        <v>4226816</v>
      </c>
      <c r="O72" s="206">
        <v>70000</v>
      </c>
      <c r="P72" s="206">
        <f t="shared" si="29"/>
        <v>4296816</v>
      </c>
      <c r="Q72" s="206"/>
      <c r="R72" s="206">
        <f t="shared" si="30"/>
        <v>4296816</v>
      </c>
      <c r="S72" s="206"/>
      <c r="T72" s="206">
        <f t="shared" si="31"/>
        <v>4296816</v>
      </c>
    </row>
    <row r="73" spans="1:20" s="155" customFormat="1" ht="21" customHeight="1">
      <c r="A73" s="152"/>
      <c r="B73" s="153"/>
      <c r="C73" s="176"/>
      <c r="D73" s="139" t="s">
        <v>284</v>
      </c>
      <c r="E73" s="140">
        <v>868000</v>
      </c>
      <c r="F73" s="140">
        <v>-213000</v>
      </c>
      <c r="G73" s="140"/>
      <c r="H73" s="206">
        <f t="shared" si="8"/>
        <v>655000</v>
      </c>
      <c r="I73" s="206"/>
      <c r="J73" s="206">
        <f t="shared" si="9"/>
        <v>655000</v>
      </c>
      <c r="K73" s="206"/>
      <c r="L73" s="206">
        <f t="shared" si="19"/>
        <v>655000</v>
      </c>
      <c r="M73" s="206"/>
      <c r="N73" s="206">
        <f t="shared" si="23"/>
        <v>655000</v>
      </c>
      <c r="O73" s="206">
        <v>17400</v>
      </c>
      <c r="P73" s="206">
        <f t="shared" si="29"/>
        <v>672400</v>
      </c>
      <c r="Q73" s="206"/>
      <c r="R73" s="206">
        <f t="shared" si="30"/>
        <v>672400</v>
      </c>
      <c r="S73" s="206"/>
      <c r="T73" s="206">
        <f t="shared" si="31"/>
        <v>672400</v>
      </c>
    </row>
    <row r="74" spans="1:20" s="155" customFormat="1" ht="21" customHeight="1">
      <c r="A74" s="152"/>
      <c r="B74" s="153"/>
      <c r="C74" s="176"/>
      <c r="D74" s="139" t="s">
        <v>289</v>
      </c>
      <c r="E74" s="140">
        <v>600000</v>
      </c>
      <c r="F74" s="140">
        <v>-400000</v>
      </c>
      <c r="G74" s="140"/>
      <c r="H74" s="206">
        <f t="shared" si="8"/>
        <v>200000</v>
      </c>
      <c r="I74" s="206"/>
      <c r="J74" s="206">
        <f t="shared" si="9"/>
        <v>200000</v>
      </c>
      <c r="K74" s="206"/>
      <c r="L74" s="206">
        <f t="shared" si="19"/>
        <v>200000</v>
      </c>
      <c r="M74" s="206"/>
      <c r="N74" s="206">
        <f t="shared" si="23"/>
        <v>200000</v>
      </c>
      <c r="O74" s="206"/>
      <c r="P74" s="206">
        <f t="shared" si="29"/>
        <v>200000</v>
      </c>
      <c r="Q74" s="206"/>
      <c r="R74" s="206">
        <f t="shared" si="30"/>
        <v>200000</v>
      </c>
      <c r="S74" s="206"/>
      <c r="T74" s="206">
        <f t="shared" si="31"/>
        <v>200000</v>
      </c>
    </row>
    <row r="75" spans="1:20" s="155" customFormat="1" ht="24" customHeight="1">
      <c r="A75" s="152"/>
      <c r="B75" s="153"/>
      <c r="C75" s="176"/>
      <c r="D75" s="139" t="s">
        <v>290</v>
      </c>
      <c r="E75" s="140">
        <v>100000</v>
      </c>
      <c r="F75" s="140"/>
      <c r="G75" s="140"/>
      <c r="H75" s="206">
        <f t="shared" si="8"/>
        <v>100000</v>
      </c>
      <c r="I75" s="206"/>
      <c r="J75" s="206">
        <f t="shared" si="9"/>
        <v>100000</v>
      </c>
      <c r="K75" s="206"/>
      <c r="L75" s="206">
        <f t="shared" si="19"/>
        <v>100000</v>
      </c>
      <c r="M75" s="206"/>
      <c r="N75" s="206">
        <f t="shared" si="23"/>
        <v>100000</v>
      </c>
      <c r="O75" s="206"/>
      <c r="P75" s="206">
        <f t="shared" si="29"/>
        <v>100000</v>
      </c>
      <c r="Q75" s="206"/>
      <c r="R75" s="206">
        <f t="shared" si="30"/>
        <v>100000</v>
      </c>
      <c r="S75" s="206"/>
      <c r="T75" s="206">
        <f t="shared" si="31"/>
        <v>100000</v>
      </c>
    </row>
    <row r="76" spans="1:20" s="133" customFormat="1" ht="21" customHeight="1">
      <c r="A76" s="134"/>
      <c r="B76" s="141">
        <v>80148</v>
      </c>
      <c r="C76" s="142"/>
      <c r="D76" s="143" t="s">
        <v>246</v>
      </c>
      <c r="E76" s="144">
        <f aca="true" t="shared" si="32" ref="E76:G77">SUM(E77)</f>
        <v>4000</v>
      </c>
      <c r="F76" s="144">
        <f t="shared" si="32"/>
        <v>0</v>
      </c>
      <c r="G76" s="144">
        <f t="shared" si="32"/>
        <v>0</v>
      </c>
      <c r="H76" s="204">
        <f t="shared" si="8"/>
        <v>4000</v>
      </c>
      <c r="I76" s="204">
        <f>SUM(I77)</f>
        <v>0</v>
      </c>
      <c r="J76" s="204">
        <f t="shared" si="9"/>
        <v>4000</v>
      </c>
      <c r="K76" s="204">
        <f>SUM(K77)</f>
        <v>0</v>
      </c>
      <c r="L76" s="204">
        <f t="shared" si="19"/>
        <v>4000</v>
      </c>
      <c r="M76" s="204">
        <f>SUM(M77)</f>
        <v>0</v>
      </c>
      <c r="N76" s="204">
        <f t="shared" si="23"/>
        <v>4000</v>
      </c>
      <c r="O76" s="204">
        <f>SUM(O77)</f>
        <v>0</v>
      </c>
      <c r="P76" s="204">
        <f t="shared" si="29"/>
        <v>4000</v>
      </c>
      <c r="Q76" s="204">
        <f>SUM(Q77)</f>
        <v>0</v>
      </c>
      <c r="R76" s="204">
        <f t="shared" si="30"/>
        <v>4000</v>
      </c>
      <c r="S76" s="204">
        <f>SUM(S77)</f>
        <v>0</v>
      </c>
      <c r="T76" s="204">
        <f t="shared" si="31"/>
        <v>4000</v>
      </c>
    </row>
    <row r="77" spans="1:20" s="133" customFormat="1" ht="25.5" customHeight="1">
      <c r="A77" s="134"/>
      <c r="B77" s="141"/>
      <c r="C77" s="142">
        <v>6060</v>
      </c>
      <c r="D77" s="13" t="s">
        <v>96</v>
      </c>
      <c r="E77" s="144">
        <f t="shared" si="32"/>
        <v>4000</v>
      </c>
      <c r="F77" s="144">
        <f t="shared" si="32"/>
        <v>0</v>
      </c>
      <c r="G77" s="144">
        <f t="shared" si="32"/>
        <v>0</v>
      </c>
      <c r="H77" s="204">
        <f t="shared" si="8"/>
        <v>4000</v>
      </c>
      <c r="I77" s="204">
        <f>SUM(I78)</f>
        <v>0</v>
      </c>
      <c r="J77" s="204">
        <f t="shared" si="9"/>
        <v>4000</v>
      </c>
      <c r="K77" s="204">
        <f>SUM(K78)</f>
        <v>0</v>
      </c>
      <c r="L77" s="204">
        <f t="shared" si="19"/>
        <v>4000</v>
      </c>
      <c r="M77" s="204">
        <f>SUM(M78)</f>
        <v>0</v>
      </c>
      <c r="N77" s="204">
        <f t="shared" si="23"/>
        <v>4000</v>
      </c>
      <c r="O77" s="204">
        <f>SUM(O78)</f>
        <v>0</v>
      </c>
      <c r="P77" s="204">
        <f t="shared" si="29"/>
        <v>4000</v>
      </c>
      <c r="Q77" s="204">
        <f>SUM(Q78)</f>
        <v>0</v>
      </c>
      <c r="R77" s="204">
        <f t="shared" si="30"/>
        <v>4000</v>
      </c>
      <c r="S77" s="204">
        <f>SUM(S78)</f>
        <v>0</v>
      </c>
      <c r="T77" s="204">
        <f t="shared" si="31"/>
        <v>4000</v>
      </c>
    </row>
    <row r="78" spans="1:20" s="26" customFormat="1" ht="21" customHeight="1">
      <c r="A78" s="43"/>
      <c r="B78" s="42"/>
      <c r="C78" s="44"/>
      <c r="D78" s="45" t="s">
        <v>313</v>
      </c>
      <c r="E78" s="46">
        <v>4000</v>
      </c>
      <c r="F78" s="46"/>
      <c r="G78" s="46"/>
      <c r="H78" s="206">
        <f t="shared" si="8"/>
        <v>4000</v>
      </c>
      <c r="I78" s="204"/>
      <c r="J78" s="206">
        <f t="shared" si="9"/>
        <v>4000</v>
      </c>
      <c r="K78" s="204"/>
      <c r="L78" s="206">
        <f t="shared" si="19"/>
        <v>4000</v>
      </c>
      <c r="M78" s="204"/>
      <c r="N78" s="206">
        <f t="shared" si="23"/>
        <v>4000</v>
      </c>
      <c r="O78" s="204"/>
      <c r="P78" s="206">
        <f t="shared" si="29"/>
        <v>4000</v>
      </c>
      <c r="Q78" s="204"/>
      <c r="R78" s="206">
        <f t="shared" si="30"/>
        <v>4000</v>
      </c>
      <c r="S78" s="204"/>
      <c r="T78" s="206">
        <f t="shared" si="31"/>
        <v>4000</v>
      </c>
    </row>
    <row r="79" spans="1:20" s="40" customFormat="1" ht="21" customHeight="1">
      <c r="A79" s="29">
        <v>854</v>
      </c>
      <c r="B79" s="4"/>
      <c r="C79" s="12"/>
      <c r="D79" s="19" t="s">
        <v>59</v>
      </c>
      <c r="E79" s="41">
        <f>SUM(E80,)</f>
        <v>100000</v>
      </c>
      <c r="F79" s="41">
        <f>SUM(F80,)</f>
        <v>-100000</v>
      </c>
      <c r="G79" s="41">
        <f>SUM(G80,)</f>
        <v>0</v>
      </c>
      <c r="H79" s="39">
        <f t="shared" si="8"/>
        <v>0</v>
      </c>
      <c r="I79" s="39">
        <f>SUM(I80)</f>
        <v>63850</v>
      </c>
      <c r="J79" s="39">
        <f t="shared" si="9"/>
        <v>63850</v>
      </c>
      <c r="K79" s="39">
        <f>SUM(K80)</f>
        <v>0</v>
      </c>
      <c r="L79" s="39">
        <f t="shared" si="19"/>
        <v>63850</v>
      </c>
      <c r="M79" s="39">
        <f>SUM(M80)</f>
        <v>0</v>
      </c>
      <c r="N79" s="39">
        <f t="shared" si="23"/>
        <v>63850</v>
      </c>
      <c r="O79" s="39">
        <f>SUM(O80)</f>
        <v>-63850</v>
      </c>
      <c r="P79" s="39">
        <f t="shared" si="29"/>
        <v>0</v>
      </c>
      <c r="Q79" s="39">
        <f>SUM(Q80)</f>
        <v>0</v>
      </c>
      <c r="R79" s="39">
        <f t="shared" si="30"/>
        <v>0</v>
      </c>
      <c r="S79" s="39">
        <f>SUM(S80)</f>
        <v>0</v>
      </c>
      <c r="T79" s="39">
        <f t="shared" si="31"/>
        <v>0</v>
      </c>
    </row>
    <row r="80" spans="1:20" s="24" customFormat="1" ht="33.75">
      <c r="A80" s="72"/>
      <c r="B80" s="47">
        <v>85412</v>
      </c>
      <c r="C80" s="75"/>
      <c r="D80" s="38" t="s">
        <v>157</v>
      </c>
      <c r="E80" s="92">
        <f>SUM(E81)</f>
        <v>100000</v>
      </c>
      <c r="F80" s="92">
        <f>SUM(F81)</f>
        <v>-100000</v>
      </c>
      <c r="G80" s="92">
        <f>SUM(G81)</f>
        <v>0</v>
      </c>
      <c r="H80" s="204">
        <f t="shared" si="8"/>
        <v>0</v>
      </c>
      <c r="I80" s="204">
        <f>SUM(I81)</f>
        <v>63850</v>
      </c>
      <c r="J80" s="204">
        <f t="shared" si="9"/>
        <v>63850</v>
      </c>
      <c r="K80" s="204">
        <f>SUM(K81)</f>
        <v>0</v>
      </c>
      <c r="L80" s="204">
        <f t="shared" si="19"/>
        <v>63850</v>
      </c>
      <c r="M80" s="204">
        <f>SUM(M81)</f>
        <v>0</v>
      </c>
      <c r="N80" s="204">
        <f t="shared" si="23"/>
        <v>63850</v>
      </c>
      <c r="O80" s="204">
        <f>SUM(O81)</f>
        <v>-63850</v>
      </c>
      <c r="P80" s="204">
        <f t="shared" si="29"/>
        <v>0</v>
      </c>
      <c r="Q80" s="204">
        <f>SUM(Q81)</f>
        <v>0</v>
      </c>
      <c r="R80" s="204">
        <f t="shared" si="30"/>
        <v>0</v>
      </c>
      <c r="S80" s="204">
        <f>SUM(S81)</f>
        <v>0</v>
      </c>
      <c r="T80" s="204">
        <f t="shared" si="31"/>
        <v>0</v>
      </c>
    </row>
    <row r="81" spans="1:20" s="24" customFormat="1" ht="21" customHeight="1">
      <c r="A81" s="72"/>
      <c r="B81" s="47"/>
      <c r="C81" s="75">
        <v>6050</v>
      </c>
      <c r="D81" s="13" t="s">
        <v>73</v>
      </c>
      <c r="E81" s="92">
        <f>SUM(E82:E82)</f>
        <v>100000</v>
      </c>
      <c r="F81" s="92">
        <f>SUM(F82:F82)</f>
        <v>-100000</v>
      </c>
      <c r="G81" s="92">
        <f>SUM(G82:G82)</f>
        <v>0</v>
      </c>
      <c r="H81" s="204">
        <f t="shared" si="8"/>
        <v>0</v>
      </c>
      <c r="I81" s="204">
        <f>SUM(I82)</f>
        <v>63850</v>
      </c>
      <c r="J81" s="204">
        <f t="shared" si="9"/>
        <v>63850</v>
      </c>
      <c r="K81" s="204">
        <f>SUM(K82)</f>
        <v>0</v>
      </c>
      <c r="L81" s="204">
        <f t="shared" si="19"/>
        <v>63850</v>
      </c>
      <c r="M81" s="204">
        <f>SUM(M82)</f>
        <v>0</v>
      </c>
      <c r="N81" s="204">
        <f t="shared" si="23"/>
        <v>63850</v>
      </c>
      <c r="O81" s="204">
        <f>SUM(O82)</f>
        <v>-63850</v>
      </c>
      <c r="P81" s="204">
        <f t="shared" si="29"/>
        <v>0</v>
      </c>
      <c r="Q81" s="204">
        <f>SUM(Q82)</f>
        <v>0</v>
      </c>
      <c r="R81" s="204">
        <f t="shared" si="30"/>
        <v>0</v>
      </c>
      <c r="S81" s="204">
        <f>SUM(S82)</f>
        <v>0</v>
      </c>
      <c r="T81" s="204">
        <f t="shared" si="31"/>
        <v>0</v>
      </c>
    </row>
    <row r="82" spans="1:20" s="26" customFormat="1" ht="22.5">
      <c r="A82" s="43"/>
      <c r="B82" s="42"/>
      <c r="C82" s="44"/>
      <c r="D82" s="45" t="s">
        <v>426</v>
      </c>
      <c r="E82" s="95">
        <v>100000</v>
      </c>
      <c r="F82" s="95">
        <v>-100000</v>
      </c>
      <c r="G82" s="95"/>
      <c r="H82" s="206">
        <f t="shared" si="8"/>
        <v>0</v>
      </c>
      <c r="I82" s="204">
        <v>63850</v>
      </c>
      <c r="J82" s="206">
        <f t="shared" si="9"/>
        <v>63850</v>
      </c>
      <c r="K82" s="204"/>
      <c r="L82" s="206">
        <f t="shared" si="19"/>
        <v>63850</v>
      </c>
      <c r="M82" s="204"/>
      <c r="N82" s="206">
        <f t="shared" si="23"/>
        <v>63850</v>
      </c>
      <c r="O82" s="204">
        <v>-63850</v>
      </c>
      <c r="P82" s="206">
        <f t="shared" si="29"/>
        <v>0</v>
      </c>
      <c r="Q82" s="204"/>
      <c r="R82" s="206">
        <f t="shared" si="30"/>
        <v>0</v>
      </c>
      <c r="S82" s="204"/>
      <c r="T82" s="206">
        <f t="shared" si="31"/>
        <v>0</v>
      </c>
    </row>
    <row r="83" spans="1:20" s="40" customFormat="1" ht="24">
      <c r="A83" s="29" t="s">
        <v>127</v>
      </c>
      <c r="B83" s="4"/>
      <c r="C83" s="20"/>
      <c r="D83" s="19" t="s">
        <v>61</v>
      </c>
      <c r="E83" s="18">
        <f>SUM(E84,E93)</f>
        <v>140000</v>
      </c>
      <c r="F83" s="18">
        <f>SUM(F84,F93)</f>
        <v>0</v>
      </c>
      <c r="G83" s="18">
        <f>SUM(G84,G93)</f>
        <v>735000</v>
      </c>
      <c r="H83" s="18">
        <f>SUM(H84,H93)</f>
        <v>875000</v>
      </c>
      <c r="I83" s="18">
        <f>SUM(I84,I93,)</f>
        <v>-405000</v>
      </c>
      <c r="J83" s="39">
        <f t="shared" si="9"/>
        <v>470000</v>
      </c>
      <c r="K83" s="18">
        <f>SUM(K84,K93,)</f>
        <v>0</v>
      </c>
      <c r="L83" s="39">
        <f t="shared" si="19"/>
        <v>470000</v>
      </c>
      <c r="M83" s="18">
        <f>SUM(M84,M93,)</f>
        <v>0</v>
      </c>
      <c r="N83" s="39">
        <f t="shared" si="23"/>
        <v>470000</v>
      </c>
      <c r="O83" s="18">
        <f>SUM(O84,O93,)</f>
        <v>0</v>
      </c>
      <c r="P83" s="39">
        <f t="shared" si="29"/>
        <v>470000</v>
      </c>
      <c r="Q83" s="18">
        <f>SUM(Q84,Q93,)</f>
        <v>-199100</v>
      </c>
      <c r="R83" s="39">
        <f t="shared" si="30"/>
        <v>270900</v>
      </c>
      <c r="S83" s="18">
        <f>SUM(S84,S93,)</f>
        <v>0</v>
      </c>
      <c r="T83" s="39">
        <f t="shared" si="31"/>
        <v>270900</v>
      </c>
    </row>
    <row r="84" spans="1:20" s="24" customFormat="1" ht="21" customHeight="1">
      <c r="A84" s="72"/>
      <c r="B84" s="73" t="s">
        <v>128</v>
      </c>
      <c r="C84" s="80"/>
      <c r="D84" s="13" t="s">
        <v>62</v>
      </c>
      <c r="E84" s="85">
        <f>SUM(E91,E85)</f>
        <v>140000</v>
      </c>
      <c r="F84" s="85">
        <f>SUM(F91,F85)</f>
        <v>0</v>
      </c>
      <c r="G84" s="85">
        <f>SUM(G91,G85)</f>
        <v>720000</v>
      </c>
      <c r="H84" s="204">
        <f t="shared" si="8"/>
        <v>860000</v>
      </c>
      <c r="I84" s="204">
        <f>SUM(I85,I91,)</f>
        <v>-405000</v>
      </c>
      <c r="J84" s="204">
        <f t="shared" si="9"/>
        <v>455000</v>
      </c>
      <c r="K84" s="204">
        <f>SUM(K85,K91,)</f>
        <v>0</v>
      </c>
      <c r="L84" s="204">
        <f t="shared" si="19"/>
        <v>455000</v>
      </c>
      <c r="M84" s="204">
        <f>SUM(M85,M91,)</f>
        <v>0</v>
      </c>
      <c r="N84" s="204">
        <f t="shared" si="23"/>
        <v>455000</v>
      </c>
      <c r="O84" s="204">
        <f>SUM(O85,O91,)</f>
        <v>0</v>
      </c>
      <c r="P84" s="204">
        <f t="shared" si="29"/>
        <v>455000</v>
      </c>
      <c r="Q84" s="204">
        <f>SUM(Q85,Q91,)</f>
        <v>-199100</v>
      </c>
      <c r="R84" s="204">
        <f t="shared" si="30"/>
        <v>255900</v>
      </c>
      <c r="S84" s="204">
        <f>SUM(S85,S91,)</f>
        <v>0</v>
      </c>
      <c r="T84" s="204">
        <f t="shared" si="31"/>
        <v>255900</v>
      </c>
    </row>
    <row r="85" spans="1:20" s="24" customFormat="1" ht="21" customHeight="1">
      <c r="A85" s="72"/>
      <c r="B85" s="73"/>
      <c r="C85" s="80">
        <v>6050</v>
      </c>
      <c r="D85" s="13" t="s">
        <v>73</v>
      </c>
      <c r="E85" s="85">
        <f>SUM(E86:E90)</f>
        <v>0</v>
      </c>
      <c r="F85" s="85">
        <f>SUM(F86:F90)</f>
        <v>0</v>
      </c>
      <c r="G85" s="85">
        <f>SUM(G86:G90)</f>
        <v>720000</v>
      </c>
      <c r="H85" s="204">
        <f t="shared" si="8"/>
        <v>720000</v>
      </c>
      <c r="I85" s="204">
        <f>SUM(I86:I90)</f>
        <v>-405000</v>
      </c>
      <c r="J85" s="204">
        <f t="shared" si="9"/>
        <v>315000</v>
      </c>
      <c r="K85" s="204">
        <f>SUM(K86:K90)</f>
        <v>0</v>
      </c>
      <c r="L85" s="204">
        <f t="shared" si="19"/>
        <v>315000</v>
      </c>
      <c r="M85" s="204">
        <f>SUM(M86:M90)</f>
        <v>0</v>
      </c>
      <c r="N85" s="204">
        <f t="shared" si="23"/>
        <v>315000</v>
      </c>
      <c r="O85" s="204">
        <f>SUM(O86:O90)</f>
        <v>0</v>
      </c>
      <c r="P85" s="204">
        <f t="shared" si="29"/>
        <v>315000</v>
      </c>
      <c r="Q85" s="204">
        <f>SUM(Q86:Q90)</f>
        <v>-59100</v>
      </c>
      <c r="R85" s="204">
        <f t="shared" si="30"/>
        <v>255900</v>
      </c>
      <c r="S85" s="204">
        <f>SUM(S86:S90)</f>
        <v>0</v>
      </c>
      <c r="T85" s="204">
        <f t="shared" si="31"/>
        <v>255900</v>
      </c>
    </row>
    <row r="86" spans="1:20" s="155" customFormat="1" ht="36.75" customHeight="1">
      <c r="A86" s="152"/>
      <c r="B86" s="178"/>
      <c r="C86" s="154"/>
      <c r="D86" s="139" t="s">
        <v>321</v>
      </c>
      <c r="E86" s="140">
        <v>0</v>
      </c>
      <c r="F86" s="140"/>
      <c r="G86" s="140">
        <v>400000</v>
      </c>
      <c r="H86" s="206">
        <f t="shared" si="8"/>
        <v>400000</v>
      </c>
      <c r="I86" s="206">
        <v>-317000</v>
      </c>
      <c r="J86" s="206">
        <f t="shared" si="9"/>
        <v>83000</v>
      </c>
      <c r="K86" s="206"/>
      <c r="L86" s="206">
        <f t="shared" si="19"/>
        <v>83000</v>
      </c>
      <c r="M86" s="206"/>
      <c r="N86" s="206">
        <f t="shared" si="23"/>
        <v>83000</v>
      </c>
      <c r="O86" s="206"/>
      <c r="P86" s="206">
        <f t="shared" si="29"/>
        <v>83000</v>
      </c>
      <c r="Q86" s="206">
        <v>-59100</v>
      </c>
      <c r="R86" s="206">
        <f t="shared" si="30"/>
        <v>23900</v>
      </c>
      <c r="S86" s="206"/>
      <c r="T86" s="206">
        <f t="shared" si="31"/>
        <v>23900</v>
      </c>
    </row>
    <row r="87" spans="1:20" s="155" customFormat="1" ht="22.5">
      <c r="A87" s="152"/>
      <c r="B87" s="178"/>
      <c r="C87" s="154"/>
      <c r="D87" s="139" t="s">
        <v>368</v>
      </c>
      <c r="E87" s="140">
        <v>0</v>
      </c>
      <c r="F87" s="140"/>
      <c r="G87" s="140">
        <v>65000</v>
      </c>
      <c r="H87" s="206">
        <f t="shared" si="8"/>
        <v>65000</v>
      </c>
      <c r="I87" s="206">
        <v>-65000</v>
      </c>
      <c r="J87" s="206">
        <f aca="true" t="shared" si="33" ref="J87:J105">SUM(H87:I87)</f>
        <v>0</v>
      </c>
      <c r="K87" s="206"/>
      <c r="L87" s="206">
        <f t="shared" si="19"/>
        <v>0</v>
      </c>
      <c r="M87" s="206"/>
      <c r="N87" s="206">
        <f t="shared" si="23"/>
        <v>0</v>
      </c>
      <c r="O87" s="206"/>
      <c r="P87" s="206">
        <f t="shared" si="29"/>
        <v>0</v>
      </c>
      <c r="Q87" s="206"/>
      <c r="R87" s="206">
        <f t="shared" si="30"/>
        <v>0</v>
      </c>
      <c r="S87" s="206"/>
      <c r="T87" s="206">
        <f t="shared" si="31"/>
        <v>0</v>
      </c>
    </row>
    <row r="88" spans="1:20" s="155" customFormat="1" ht="45">
      <c r="A88" s="152"/>
      <c r="B88" s="178"/>
      <c r="C88" s="154"/>
      <c r="D88" s="139" t="s">
        <v>534</v>
      </c>
      <c r="E88" s="140"/>
      <c r="F88" s="140"/>
      <c r="G88" s="140"/>
      <c r="H88" s="206">
        <v>0</v>
      </c>
      <c r="I88" s="206">
        <f>65000</f>
        <v>65000</v>
      </c>
      <c r="J88" s="206">
        <f t="shared" si="33"/>
        <v>65000</v>
      </c>
      <c r="K88" s="206"/>
      <c r="L88" s="206">
        <f t="shared" si="19"/>
        <v>65000</v>
      </c>
      <c r="M88" s="206"/>
      <c r="N88" s="206">
        <f t="shared" si="23"/>
        <v>65000</v>
      </c>
      <c r="O88" s="206"/>
      <c r="P88" s="206">
        <f t="shared" si="29"/>
        <v>65000</v>
      </c>
      <c r="Q88" s="206"/>
      <c r="R88" s="206">
        <f t="shared" si="30"/>
        <v>65000</v>
      </c>
      <c r="S88" s="206"/>
      <c r="T88" s="206">
        <f t="shared" si="31"/>
        <v>65000</v>
      </c>
    </row>
    <row r="89" spans="1:20" s="155" customFormat="1" ht="22.5" customHeight="1">
      <c r="A89" s="152"/>
      <c r="B89" s="178"/>
      <c r="C89" s="154"/>
      <c r="D89" s="139" t="s">
        <v>320</v>
      </c>
      <c r="E89" s="140">
        <v>0</v>
      </c>
      <c r="F89" s="140"/>
      <c r="G89" s="140">
        <v>250000</v>
      </c>
      <c r="H89" s="206">
        <f t="shared" si="8"/>
        <v>250000</v>
      </c>
      <c r="I89" s="206">
        <v>-88000</v>
      </c>
      <c r="J89" s="206">
        <f t="shared" si="33"/>
        <v>162000</v>
      </c>
      <c r="K89" s="206"/>
      <c r="L89" s="206">
        <f t="shared" si="19"/>
        <v>162000</v>
      </c>
      <c r="M89" s="206"/>
      <c r="N89" s="206">
        <f t="shared" si="23"/>
        <v>162000</v>
      </c>
      <c r="O89" s="206"/>
      <c r="P89" s="206">
        <f t="shared" si="29"/>
        <v>162000</v>
      </c>
      <c r="Q89" s="206"/>
      <c r="R89" s="206">
        <f t="shared" si="30"/>
        <v>162000</v>
      </c>
      <c r="S89" s="206"/>
      <c r="T89" s="206">
        <f t="shared" si="31"/>
        <v>162000</v>
      </c>
    </row>
    <row r="90" spans="1:20" s="155" customFormat="1" ht="21" customHeight="1">
      <c r="A90" s="152"/>
      <c r="B90" s="178"/>
      <c r="C90" s="154"/>
      <c r="D90" s="139" t="s">
        <v>331</v>
      </c>
      <c r="E90" s="140">
        <v>0</v>
      </c>
      <c r="F90" s="140"/>
      <c r="G90" s="140">
        <v>5000</v>
      </c>
      <c r="H90" s="206">
        <f t="shared" si="8"/>
        <v>5000</v>
      </c>
      <c r="I90" s="206"/>
      <c r="J90" s="206">
        <f t="shared" si="33"/>
        <v>5000</v>
      </c>
      <c r="K90" s="206"/>
      <c r="L90" s="206">
        <f t="shared" si="19"/>
        <v>5000</v>
      </c>
      <c r="M90" s="206"/>
      <c r="N90" s="206">
        <f t="shared" si="23"/>
        <v>5000</v>
      </c>
      <c r="O90" s="206"/>
      <c r="P90" s="206">
        <f t="shared" si="29"/>
        <v>5000</v>
      </c>
      <c r="Q90" s="206"/>
      <c r="R90" s="206">
        <f t="shared" si="30"/>
        <v>5000</v>
      </c>
      <c r="S90" s="206"/>
      <c r="T90" s="206">
        <f t="shared" si="31"/>
        <v>5000</v>
      </c>
    </row>
    <row r="91" spans="1:20" s="26" customFormat="1" ht="45">
      <c r="A91" s="43"/>
      <c r="B91" s="99"/>
      <c r="C91" s="73">
        <v>6010</v>
      </c>
      <c r="D91" s="13" t="s">
        <v>263</v>
      </c>
      <c r="E91" s="95">
        <f>SUM(E92)</f>
        <v>140000</v>
      </c>
      <c r="F91" s="95">
        <f>SUM(F92)</f>
        <v>0</v>
      </c>
      <c r="G91" s="95">
        <f>SUM(G92)</f>
        <v>0</v>
      </c>
      <c r="H91" s="204">
        <f t="shared" si="8"/>
        <v>140000</v>
      </c>
      <c r="I91" s="204">
        <f>SUM(I92)</f>
        <v>0</v>
      </c>
      <c r="J91" s="204">
        <f t="shared" si="33"/>
        <v>140000</v>
      </c>
      <c r="K91" s="204">
        <f>SUM(K92)</f>
        <v>0</v>
      </c>
      <c r="L91" s="204">
        <f t="shared" si="19"/>
        <v>140000</v>
      </c>
      <c r="M91" s="204">
        <f>SUM(M92)</f>
        <v>0</v>
      </c>
      <c r="N91" s="204">
        <f t="shared" si="23"/>
        <v>140000</v>
      </c>
      <c r="O91" s="204">
        <f>SUM(O92)</f>
        <v>0</v>
      </c>
      <c r="P91" s="204">
        <f t="shared" si="29"/>
        <v>140000</v>
      </c>
      <c r="Q91" s="204">
        <f>SUM(Q92)</f>
        <v>-140000</v>
      </c>
      <c r="R91" s="204">
        <f t="shared" si="30"/>
        <v>0</v>
      </c>
      <c r="S91" s="204">
        <f>SUM(S92)</f>
        <v>0</v>
      </c>
      <c r="T91" s="204">
        <f t="shared" si="31"/>
        <v>0</v>
      </c>
    </row>
    <row r="92" spans="1:20" s="26" customFormat="1" ht="23.25" customHeight="1">
      <c r="A92" s="43"/>
      <c r="B92" s="99"/>
      <c r="C92" s="107"/>
      <c r="D92" s="48" t="s">
        <v>298</v>
      </c>
      <c r="E92" s="95">
        <v>140000</v>
      </c>
      <c r="F92" s="95"/>
      <c r="G92" s="95"/>
      <c r="H92" s="204">
        <f t="shared" si="8"/>
        <v>140000</v>
      </c>
      <c r="I92" s="204"/>
      <c r="J92" s="206">
        <f t="shared" si="33"/>
        <v>140000</v>
      </c>
      <c r="K92" s="204"/>
      <c r="L92" s="206">
        <f t="shared" si="19"/>
        <v>140000</v>
      </c>
      <c r="M92" s="204"/>
      <c r="N92" s="206">
        <f t="shared" si="23"/>
        <v>140000</v>
      </c>
      <c r="O92" s="204"/>
      <c r="P92" s="206">
        <f t="shared" si="29"/>
        <v>140000</v>
      </c>
      <c r="Q92" s="204">
        <v>-140000</v>
      </c>
      <c r="R92" s="206">
        <f t="shared" si="30"/>
        <v>0</v>
      </c>
      <c r="S92" s="204"/>
      <c r="T92" s="206">
        <f t="shared" si="31"/>
        <v>0</v>
      </c>
    </row>
    <row r="93" spans="1:20" s="133" customFormat="1" ht="23.25" customHeight="1">
      <c r="A93" s="134"/>
      <c r="B93" s="135">
        <v>90015</v>
      </c>
      <c r="C93" s="136"/>
      <c r="D93" s="38" t="s">
        <v>135</v>
      </c>
      <c r="E93" s="168">
        <f>SUM(E94)</f>
        <v>0</v>
      </c>
      <c r="F93" s="168">
        <f>SUM(F94)</f>
        <v>0</v>
      </c>
      <c r="G93" s="168">
        <f>SUM(G94)</f>
        <v>15000</v>
      </c>
      <c r="H93" s="168">
        <f>SUM(H94)</f>
        <v>15000</v>
      </c>
      <c r="I93" s="168">
        <f>SUM(I94)</f>
        <v>0</v>
      </c>
      <c r="J93" s="204">
        <f t="shared" si="33"/>
        <v>15000</v>
      </c>
      <c r="K93" s="168">
        <f>SUM(K94)</f>
        <v>0</v>
      </c>
      <c r="L93" s="204">
        <f t="shared" si="19"/>
        <v>15000</v>
      </c>
      <c r="M93" s="168">
        <f>SUM(M94)</f>
        <v>0</v>
      </c>
      <c r="N93" s="204">
        <f t="shared" si="23"/>
        <v>15000</v>
      </c>
      <c r="O93" s="168">
        <f>SUM(O94)</f>
        <v>0</v>
      </c>
      <c r="P93" s="204">
        <f t="shared" si="29"/>
        <v>15000</v>
      </c>
      <c r="Q93" s="168">
        <f>SUM(Q94)</f>
        <v>0</v>
      </c>
      <c r="R93" s="204">
        <f t="shared" si="30"/>
        <v>15000</v>
      </c>
      <c r="S93" s="168">
        <f>SUM(S94)</f>
        <v>0</v>
      </c>
      <c r="T93" s="204">
        <f t="shared" si="31"/>
        <v>15000</v>
      </c>
    </row>
    <row r="94" spans="1:20" s="133" customFormat="1" ht="23.25" customHeight="1">
      <c r="A94" s="134"/>
      <c r="B94" s="135"/>
      <c r="C94" s="136">
        <v>6050</v>
      </c>
      <c r="D94" s="13" t="s">
        <v>73</v>
      </c>
      <c r="E94" s="168">
        <f>SUM(E95:E96)</f>
        <v>0</v>
      </c>
      <c r="F94" s="168">
        <f>SUM(F95:F96)</f>
        <v>0</v>
      </c>
      <c r="G94" s="168">
        <f>SUM(G95:G96)</f>
        <v>15000</v>
      </c>
      <c r="H94" s="168">
        <f>SUM(H95:H96)</f>
        <v>15000</v>
      </c>
      <c r="I94" s="168">
        <f>SUM(I95:I96)</f>
        <v>0</v>
      </c>
      <c r="J94" s="204">
        <f t="shared" si="33"/>
        <v>15000</v>
      </c>
      <c r="K94" s="168">
        <f>SUM(K95:K96)</f>
        <v>0</v>
      </c>
      <c r="L94" s="204">
        <f t="shared" si="19"/>
        <v>15000</v>
      </c>
      <c r="M94" s="168">
        <f>SUM(M95:M96)</f>
        <v>0</v>
      </c>
      <c r="N94" s="204">
        <f t="shared" si="23"/>
        <v>15000</v>
      </c>
      <c r="O94" s="168">
        <f>SUM(O95:O96)</f>
        <v>0</v>
      </c>
      <c r="P94" s="204">
        <f t="shared" si="29"/>
        <v>15000</v>
      </c>
      <c r="Q94" s="168">
        <f>SUM(Q95:Q96)</f>
        <v>0</v>
      </c>
      <c r="R94" s="204">
        <f t="shared" si="30"/>
        <v>15000</v>
      </c>
      <c r="S94" s="168">
        <f>SUM(S95:S96)</f>
        <v>0</v>
      </c>
      <c r="T94" s="204">
        <f t="shared" si="31"/>
        <v>15000</v>
      </c>
    </row>
    <row r="95" spans="1:20" s="155" customFormat="1" ht="23.25" customHeight="1">
      <c r="A95" s="152"/>
      <c r="B95" s="178"/>
      <c r="C95" s="212"/>
      <c r="D95" s="213" t="s">
        <v>324</v>
      </c>
      <c r="E95" s="156">
        <v>0</v>
      </c>
      <c r="F95" s="156"/>
      <c r="G95" s="156">
        <v>5000</v>
      </c>
      <c r="H95" s="206">
        <f>SUM(E95:G95)</f>
        <v>5000</v>
      </c>
      <c r="I95" s="206"/>
      <c r="J95" s="206">
        <f t="shared" si="33"/>
        <v>5000</v>
      </c>
      <c r="K95" s="206"/>
      <c r="L95" s="206">
        <f t="shared" si="19"/>
        <v>5000</v>
      </c>
      <c r="M95" s="206"/>
      <c r="N95" s="206">
        <f t="shared" si="23"/>
        <v>5000</v>
      </c>
      <c r="O95" s="206"/>
      <c r="P95" s="206">
        <f t="shared" si="29"/>
        <v>5000</v>
      </c>
      <c r="Q95" s="206"/>
      <c r="R95" s="206">
        <f t="shared" si="30"/>
        <v>5000</v>
      </c>
      <c r="S95" s="206"/>
      <c r="T95" s="206">
        <f t="shared" si="31"/>
        <v>5000</v>
      </c>
    </row>
    <row r="96" spans="1:20" s="155" customFormat="1" ht="23.25" customHeight="1">
      <c r="A96" s="152"/>
      <c r="B96" s="178"/>
      <c r="C96" s="212"/>
      <c r="D96" s="213" t="s">
        <v>325</v>
      </c>
      <c r="E96" s="156">
        <v>0</v>
      </c>
      <c r="F96" s="156"/>
      <c r="G96" s="156">
        <v>10000</v>
      </c>
      <c r="H96" s="206">
        <f>SUM(E96:G96)</f>
        <v>10000</v>
      </c>
      <c r="I96" s="206"/>
      <c r="J96" s="206">
        <f t="shared" si="33"/>
        <v>10000</v>
      </c>
      <c r="K96" s="206"/>
      <c r="L96" s="206">
        <f t="shared" si="19"/>
        <v>10000</v>
      </c>
      <c r="M96" s="206"/>
      <c r="N96" s="206">
        <f t="shared" si="23"/>
        <v>10000</v>
      </c>
      <c r="O96" s="206"/>
      <c r="P96" s="206">
        <f t="shared" si="29"/>
        <v>10000</v>
      </c>
      <c r="Q96" s="206"/>
      <c r="R96" s="206">
        <f t="shared" si="30"/>
        <v>10000</v>
      </c>
      <c r="S96" s="206"/>
      <c r="T96" s="206">
        <f t="shared" si="31"/>
        <v>10000</v>
      </c>
    </row>
    <row r="97" spans="1:20" s="26" customFormat="1" ht="21" customHeight="1">
      <c r="A97" s="29">
        <v>926</v>
      </c>
      <c r="B97" s="4"/>
      <c r="C97" s="20"/>
      <c r="D97" s="19" t="s">
        <v>66</v>
      </c>
      <c r="E97" s="18">
        <f>SUM(E98,E103)</f>
        <v>2356380</v>
      </c>
      <c r="F97" s="18">
        <f>SUM(F98,F103)</f>
        <v>-850000</v>
      </c>
      <c r="G97" s="18">
        <f>SUM(G98,G103)</f>
        <v>100000</v>
      </c>
      <c r="H97" s="39">
        <f t="shared" si="8"/>
        <v>1606380</v>
      </c>
      <c r="I97" s="39">
        <f>SUM(I98,I103,)</f>
        <v>0</v>
      </c>
      <c r="J97" s="39">
        <f t="shared" si="33"/>
        <v>1606380</v>
      </c>
      <c r="K97" s="39">
        <f>SUM(K98,K103,)</f>
        <v>0</v>
      </c>
      <c r="L97" s="39">
        <f t="shared" si="19"/>
        <v>1606380</v>
      </c>
      <c r="M97" s="39">
        <f>SUM(M98,M103,)</f>
        <v>0</v>
      </c>
      <c r="N97" s="39">
        <f t="shared" si="23"/>
        <v>1606380</v>
      </c>
      <c r="O97" s="39">
        <f>SUM(O98,O103,)</f>
        <v>0</v>
      </c>
      <c r="P97" s="39">
        <f t="shared" si="29"/>
        <v>1606380</v>
      </c>
      <c r="Q97" s="39">
        <f>SUM(Q98,Q103,)</f>
        <v>0</v>
      </c>
      <c r="R97" s="39">
        <f t="shared" si="30"/>
        <v>1606380</v>
      </c>
      <c r="S97" s="39">
        <f>SUM(S98,S103,)</f>
        <v>0</v>
      </c>
      <c r="T97" s="39">
        <f t="shared" si="31"/>
        <v>1606380</v>
      </c>
    </row>
    <row r="98" spans="1:20" s="133" customFormat="1" ht="21" customHeight="1">
      <c r="A98" s="134"/>
      <c r="B98" s="141">
        <v>92601</v>
      </c>
      <c r="C98" s="151"/>
      <c r="D98" s="171" t="s">
        <v>248</v>
      </c>
      <c r="E98" s="172">
        <f>SUM(E99)</f>
        <v>1956380</v>
      </c>
      <c r="F98" s="172">
        <f>SUM(F99)</f>
        <v>-600000</v>
      </c>
      <c r="G98" s="172">
        <f>SUM(G99)</f>
        <v>100000</v>
      </c>
      <c r="H98" s="204">
        <f t="shared" si="8"/>
        <v>1456380</v>
      </c>
      <c r="I98" s="204">
        <f>SUM(I99)</f>
        <v>0</v>
      </c>
      <c r="J98" s="204">
        <f t="shared" si="33"/>
        <v>1456380</v>
      </c>
      <c r="K98" s="204">
        <f>SUM(K99)</f>
        <v>0</v>
      </c>
      <c r="L98" s="204">
        <f t="shared" si="19"/>
        <v>1456380</v>
      </c>
      <c r="M98" s="204">
        <f>SUM(M99)</f>
        <v>0</v>
      </c>
      <c r="N98" s="204">
        <f t="shared" si="23"/>
        <v>1456380</v>
      </c>
      <c r="O98" s="204">
        <f>SUM(O99)</f>
        <v>0</v>
      </c>
      <c r="P98" s="204">
        <f t="shared" si="29"/>
        <v>1456380</v>
      </c>
      <c r="Q98" s="204">
        <f>SUM(Q99)</f>
        <v>0</v>
      </c>
      <c r="R98" s="204">
        <f t="shared" si="30"/>
        <v>1456380</v>
      </c>
      <c r="S98" s="204">
        <f>SUM(S99)</f>
        <v>0</v>
      </c>
      <c r="T98" s="204">
        <f t="shared" si="31"/>
        <v>1456380</v>
      </c>
    </row>
    <row r="99" spans="1:20" s="133" customFormat="1" ht="21" customHeight="1">
      <c r="A99" s="134"/>
      <c r="B99" s="141"/>
      <c r="C99" s="151">
        <v>6050</v>
      </c>
      <c r="D99" s="13" t="s">
        <v>73</v>
      </c>
      <c r="E99" s="172">
        <f>SUM(E100:E102)</f>
        <v>1956380</v>
      </c>
      <c r="F99" s="172">
        <f>SUM(F100:F102)</f>
        <v>-600000</v>
      </c>
      <c r="G99" s="172">
        <f>SUM(G100:G102)</f>
        <v>100000</v>
      </c>
      <c r="H99" s="204">
        <f t="shared" si="8"/>
        <v>1456380</v>
      </c>
      <c r="I99" s="204">
        <f>SUM(I100:I102)</f>
        <v>0</v>
      </c>
      <c r="J99" s="204">
        <f t="shared" si="33"/>
        <v>1456380</v>
      </c>
      <c r="K99" s="204">
        <f>SUM(K100:K102)</f>
        <v>0</v>
      </c>
      <c r="L99" s="204">
        <f t="shared" si="19"/>
        <v>1456380</v>
      </c>
      <c r="M99" s="204">
        <f>SUM(M100:M102)</f>
        <v>0</v>
      </c>
      <c r="N99" s="204">
        <f t="shared" si="23"/>
        <v>1456380</v>
      </c>
      <c r="O99" s="204">
        <f>SUM(O100:O102)</f>
        <v>0</v>
      </c>
      <c r="P99" s="204">
        <f t="shared" si="29"/>
        <v>1456380</v>
      </c>
      <c r="Q99" s="204">
        <f>SUM(Q100:Q102)</f>
        <v>0</v>
      </c>
      <c r="R99" s="204">
        <f t="shared" si="30"/>
        <v>1456380</v>
      </c>
      <c r="S99" s="204">
        <f>SUM(S100:S102)</f>
        <v>0</v>
      </c>
      <c r="T99" s="204">
        <f t="shared" si="31"/>
        <v>1456380</v>
      </c>
    </row>
    <row r="100" spans="1:20" s="155" customFormat="1" ht="21" customHeight="1">
      <c r="A100" s="152"/>
      <c r="B100" s="153"/>
      <c r="C100" s="154"/>
      <c r="D100" s="173" t="s">
        <v>299</v>
      </c>
      <c r="E100" s="174">
        <v>70000</v>
      </c>
      <c r="F100" s="174"/>
      <c r="G100" s="174"/>
      <c r="H100" s="206">
        <f t="shared" si="8"/>
        <v>70000</v>
      </c>
      <c r="I100" s="206"/>
      <c r="J100" s="206">
        <f t="shared" si="33"/>
        <v>70000</v>
      </c>
      <c r="K100" s="206"/>
      <c r="L100" s="206">
        <f t="shared" si="19"/>
        <v>70000</v>
      </c>
      <c r="M100" s="206"/>
      <c r="N100" s="206">
        <f t="shared" si="23"/>
        <v>70000</v>
      </c>
      <c r="O100" s="206"/>
      <c r="P100" s="206">
        <f t="shared" si="29"/>
        <v>70000</v>
      </c>
      <c r="Q100" s="206"/>
      <c r="R100" s="206">
        <f t="shared" si="30"/>
        <v>70000</v>
      </c>
      <c r="S100" s="206"/>
      <c r="T100" s="206">
        <f t="shared" si="31"/>
        <v>70000</v>
      </c>
    </row>
    <row r="101" spans="1:20" s="155" customFormat="1" ht="26.25" customHeight="1">
      <c r="A101" s="152"/>
      <c r="B101" s="153"/>
      <c r="C101" s="154"/>
      <c r="D101" s="173" t="s">
        <v>327</v>
      </c>
      <c r="E101" s="174">
        <v>0</v>
      </c>
      <c r="F101" s="174"/>
      <c r="G101" s="174">
        <v>100000</v>
      </c>
      <c r="H101" s="206">
        <f t="shared" si="8"/>
        <v>100000</v>
      </c>
      <c r="I101" s="206"/>
      <c r="J101" s="206">
        <f t="shared" si="33"/>
        <v>100000</v>
      </c>
      <c r="K101" s="206"/>
      <c r="L101" s="206">
        <f t="shared" si="19"/>
        <v>100000</v>
      </c>
      <c r="M101" s="206"/>
      <c r="N101" s="206">
        <f t="shared" si="23"/>
        <v>100000</v>
      </c>
      <c r="O101" s="206"/>
      <c r="P101" s="206">
        <f t="shared" si="29"/>
        <v>100000</v>
      </c>
      <c r="Q101" s="206"/>
      <c r="R101" s="206">
        <f t="shared" si="30"/>
        <v>100000</v>
      </c>
      <c r="S101" s="206"/>
      <c r="T101" s="206">
        <f t="shared" si="31"/>
        <v>100000</v>
      </c>
    </row>
    <row r="102" spans="1:20" s="155" customFormat="1" ht="21" customHeight="1">
      <c r="A102" s="152"/>
      <c r="B102" s="153"/>
      <c r="C102" s="154"/>
      <c r="D102" s="173" t="s">
        <v>300</v>
      </c>
      <c r="E102" s="174">
        <v>1886380</v>
      </c>
      <c r="F102" s="174">
        <v>-600000</v>
      </c>
      <c r="G102" s="174"/>
      <c r="H102" s="206">
        <f t="shared" si="8"/>
        <v>1286380</v>
      </c>
      <c r="I102" s="206"/>
      <c r="J102" s="206">
        <f t="shared" si="33"/>
        <v>1286380</v>
      </c>
      <c r="K102" s="206"/>
      <c r="L102" s="206">
        <f t="shared" si="19"/>
        <v>1286380</v>
      </c>
      <c r="M102" s="206"/>
      <c r="N102" s="206">
        <f t="shared" si="23"/>
        <v>1286380</v>
      </c>
      <c r="O102" s="206"/>
      <c r="P102" s="206">
        <f t="shared" si="29"/>
        <v>1286380</v>
      </c>
      <c r="Q102" s="206"/>
      <c r="R102" s="206">
        <f t="shared" si="30"/>
        <v>1286380</v>
      </c>
      <c r="S102" s="206"/>
      <c r="T102" s="206">
        <f t="shared" si="31"/>
        <v>1286380</v>
      </c>
    </row>
    <row r="103" spans="1:20" s="24" customFormat="1" ht="21" customHeight="1">
      <c r="A103" s="73"/>
      <c r="B103" s="73">
        <v>92604</v>
      </c>
      <c r="C103" s="73"/>
      <c r="D103" s="122" t="s">
        <v>196</v>
      </c>
      <c r="E103" s="123">
        <f aca="true" t="shared" si="34" ref="E103:G104">SUM(E104)</f>
        <v>400000</v>
      </c>
      <c r="F103" s="123">
        <f t="shared" si="34"/>
        <v>-250000</v>
      </c>
      <c r="G103" s="123">
        <f t="shared" si="34"/>
        <v>0</v>
      </c>
      <c r="H103" s="204">
        <f t="shared" si="8"/>
        <v>150000</v>
      </c>
      <c r="I103" s="204">
        <f>SUM(I104)</f>
        <v>0</v>
      </c>
      <c r="J103" s="204">
        <f t="shared" si="33"/>
        <v>150000</v>
      </c>
      <c r="K103" s="204">
        <f>SUM(K104)</f>
        <v>0</v>
      </c>
      <c r="L103" s="204">
        <f>SUM(J103:K103)</f>
        <v>150000</v>
      </c>
      <c r="M103" s="204">
        <f>SUM(M104)</f>
        <v>0</v>
      </c>
      <c r="N103" s="204">
        <f>SUM(L103:M103)</f>
        <v>150000</v>
      </c>
      <c r="O103" s="204">
        <f>SUM(O104)</f>
        <v>0</v>
      </c>
      <c r="P103" s="204">
        <f>SUM(N103:O103)</f>
        <v>150000</v>
      </c>
      <c r="Q103" s="204">
        <f>SUM(Q104)</f>
        <v>0</v>
      </c>
      <c r="R103" s="204">
        <f>SUM(P103:Q103)</f>
        <v>150000</v>
      </c>
      <c r="S103" s="204">
        <f>SUM(S104)</f>
        <v>0</v>
      </c>
      <c r="T103" s="204">
        <f>SUM(R103:S103)</f>
        <v>150000</v>
      </c>
    </row>
    <row r="104" spans="1:20" s="24" customFormat="1" ht="45">
      <c r="A104" s="73"/>
      <c r="B104" s="73"/>
      <c r="C104" s="73">
        <v>6010</v>
      </c>
      <c r="D104" s="13" t="s">
        <v>263</v>
      </c>
      <c r="E104" s="123">
        <f t="shared" si="34"/>
        <v>400000</v>
      </c>
      <c r="F104" s="123">
        <f t="shared" si="34"/>
        <v>-250000</v>
      </c>
      <c r="G104" s="123">
        <f t="shared" si="34"/>
        <v>0</v>
      </c>
      <c r="H104" s="204">
        <f t="shared" si="8"/>
        <v>150000</v>
      </c>
      <c r="I104" s="204">
        <f>SUM(I105)</f>
        <v>0</v>
      </c>
      <c r="J104" s="204">
        <f t="shared" si="33"/>
        <v>150000</v>
      </c>
      <c r="K104" s="204">
        <f>SUM(K105)</f>
        <v>0</v>
      </c>
      <c r="L104" s="204">
        <f>SUM(J104:K104)</f>
        <v>150000</v>
      </c>
      <c r="M104" s="204">
        <f>SUM(M105)</f>
        <v>0</v>
      </c>
      <c r="N104" s="204">
        <f>SUM(L104:M104)</f>
        <v>150000</v>
      </c>
      <c r="O104" s="204">
        <f>SUM(O105)</f>
        <v>0</v>
      </c>
      <c r="P104" s="204">
        <f>SUM(N104:O104)</f>
        <v>150000</v>
      </c>
      <c r="Q104" s="204">
        <f>SUM(Q105)</f>
        <v>0</v>
      </c>
      <c r="R104" s="204">
        <f>SUM(P104:Q104)</f>
        <v>150000</v>
      </c>
      <c r="S104" s="204">
        <f>SUM(S105)</f>
        <v>0</v>
      </c>
      <c r="T104" s="204">
        <f>SUM(R104:S104)</f>
        <v>150000</v>
      </c>
    </row>
    <row r="105" spans="1:20" s="155" customFormat="1" ht="21.75" customHeight="1">
      <c r="A105" s="178"/>
      <c r="B105" s="178"/>
      <c r="C105" s="178"/>
      <c r="D105" s="173" t="s">
        <v>306</v>
      </c>
      <c r="E105" s="175">
        <v>400000</v>
      </c>
      <c r="F105" s="175">
        <v>-250000</v>
      </c>
      <c r="G105" s="175"/>
      <c r="H105" s="206">
        <f t="shared" si="8"/>
        <v>150000</v>
      </c>
      <c r="I105" s="206"/>
      <c r="J105" s="206">
        <f t="shared" si="33"/>
        <v>150000</v>
      </c>
      <c r="K105" s="206"/>
      <c r="L105" s="206">
        <f>SUM(J105:K105)</f>
        <v>150000</v>
      </c>
      <c r="M105" s="206"/>
      <c r="N105" s="206">
        <f>SUM(L105:M105)</f>
        <v>150000</v>
      </c>
      <c r="O105" s="206"/>
      <c r="P105" s="206">
        <f>SUM(N105:O105)</f>
        <v>150000</v>
      </c>
      <c r="Q105" s="206"/>
      <c r="R105" s="206">
        <f>SUM(P105:Q105)</f>
        <v>150000</v>
      </c>
      <c r="S105" s="206"/>
      <c r="T105" s="206">
        <f>SUM(R105:S105)</f>
        <v>150000</v>
      </c>
    </row>
    <row r="106" spans="1:20" s="7" customFormat="1" ht="21" customHeight="1">
      <c r="A106" s="9"/>
      <c r="B106" s="9"/>
      <c r="C106" s="9"/>
      <c r="D106" s="114" t="s">
        <v>68</v>
      </c>
      <c r="E106" s="52">
        <f>SUM(E97,E83,E79,E62,E56,E43,E31,E11,E39,E35)</f>
        <v>10548980</v>
      </c>
      <c r="F106" s="52">
        <f>SUM(F97,F83,F79,F62,F56,F43,F31,F11,F39,F35)</f>
        <v>-2211184</v>
      </c>
      <c r="G106" s="52">
        <f>SUM(G97,G83,G79,G62,G56,G43,G31,G11,G39,G35)</f>
        <v>2685000</v>
      </c>
      <c r="H106" s="52">
        <f>SUM(H97,H83,H79,H62,H56,H43,H39,H35,H31,H11)</f>
        <v>11022796</v>
      </c>
      <c r="I106" s="52">
        <f>SUM(I97,I83,I79,I62,I56,I43,I39,I35,I31,I11)</f>
        <v>-326150</v>
      </c>
      <c r="J106" s="52">
        <f aca="true" t="shared" si="35" ref="J106:P106">SUM(J97,J83,J79,J62,J56,J43,J39,J35,J31,J11,J7)</f>
        <v>10696646</v>
      </c>
      <c r="K106" s="52">
        <f t="shared" si="35"/>
        <v>127220</v>
      </c>
      <c r="L106" s="52">
        <f t="shared" si="35"/>
        <v>10823866</v>
      </c>
      <c r="M106" s="52">
        <f t="shared" si="35"/>
        <v>63850</v>
      </c>
      <c r="N106" s="52">
        <f t="shared" si="35"/>
        <v>10887716</v>
      </c>
      <c r="O106" s="52">
        <f t="shared" si="35"/>
        <v>249053</v>
      </c>
      <c r="P106" s="52">
        <f t="shared" si="35"/>
        <v>11136769</v>
      </c>
      <c r="Q106" s="52">
        <f>SUM(Q97,Q83,Q79,Q62,Q56,Q43,Q39,Q35,Q31,Q11,Q7)</f>
        <v>-151500</v>
      </c>
      <c r="R106" s="52">
        <f>SUM(R97,R83,R79,R62,R56,R43,R39,R35,R31,R11,R7)</f>
        <v>10985269</v>
      </c>
      <c r="S106" s="52">
        <f>SUM(S97,S83,S79,S62,S56,S43,S39,S35,S31,S11,S7)</f>
        <v>8000</v>
      </c>
      <c r="T106" s="52">
        <f>SUM(T97,T83,T79,T62,T56,T43,T39,T35,T31,T11,T7)</f>
        <v>10993269</v>
      </c>
    </row>
    <row r="108" ht="12.75">
      <c r="F108" s="49"/>
    </row>
    <row r="109" spans="5:20" ht="12.75"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</row>
    <row r="111" spans="9:19" ht="12.75">
      <c r="I111" s="49">
        <v>-897000</v>
      </c>
      <c r="J111" t="s">
        <v>378</v>
      </c>
      <c r="K111" s="49"/>
      <c r="M111" s="49"/>
      <c r="O111" s="49"/>
      <c r="Q111" s="49"/>
      <c r="S111" s="49"/>
    </row>
    <row r="112" spans="9:19" ht="12.75">
      <c r="I112" s="49">
        <v>63850</v>
      </c>
      <c r="J112" t="s">
        <v>379</v>
      </c>
      <c r="K112" s="49"/>
      <c r="M112" s="49"/>
      <c r="O112" s="49"/>
      <c r="Q112" s="49"/>
      <c r="S112" s="49"/>
    </row>
    <row r="113" spans="9:19" ht="12.75">
      <c r="I113" s="49">
        <v>90000</v>
      </c>
      <c r="J113" t="s">
        <v>382</v>
      </c>
      <c r="K113" s="49"/>
      <c r="M113" s="49"/>
      <c r="O113" s="49"/>
      <c r="Q113" s="49"/>
      <c r="S113" s="49"/>
    </row>
    <row r="114" spans="9:19" ht="12.75">
      <c r="I114" s="49">
        <v>15000</v>
      </c>
      <c r="J114" t="s">
        <v>381</v>
      </c>
      <c r="K114" s="49"/>
      <c r="M114" s="49"/>
      <c r="O114" s="49"/>
      <c r="Q114" s="49"/>
      <c r="S114" s="49"/>
    </row>
    <row r="115" spans="9:19" ht="12.75">
      <c r="I115" s="232">
        <f>SUM(I111:I114)</f>
        <v>-728150</v>
      </c>
      <c r="K115" s="232"/>
      <c r="M115" s="232"/>
      <c r="O115" s="232"/>
      <c r="Q115" s="232"/>
      <c r="S115" s="232"/>
    </row>
    <row r="119" spans="5:8" ht="12.75">
      <c r="E119" t="s">
        <v>206</v>
      </c>
      <c r="F119" t="s">
        <v>206</v>
      </c>
      <c r="G119" t="s">
        <v>206</v>
      </c>
      <c r="H119" t="s">
        <v>206</v>
      </c>
    </row>
    <row r="120" spans="5:8" ht="12.75">
      <c r="E120" t="s">
        <v>207</v>
      </c>
      <c r="F120" t="s">
        <v>207</v>
      </c>
      <c r="G120" t="s">
        <v>207</v>
      </c>
      <c r="H120" t="s">
        <v>207</v>
      </c>
    </row>
  </sheetData>
  <sheetProtection/>
  <mergeCells count="1">
    <mergeCell ref="A5:D5"/>
  </mergeCells>
  <printOptions horizontalCentered="1"/>
  <pageMargins left="0.3937007874015748" right="0.3937007874015748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&amp;C&amp;8Wydatki majątkowe - str.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6.00390625" style="7" customWidth="1"/>
    <col min="2" max="2" width="7.25390625" style="7" bestFit="1" customWidth="1"/>
    <col min="3" max="3" width="5.00390625" style="7" bestFit="1" customWidth="1"/>
    <col min="4" max="4" width="27.125" style="7" customWidth="1"/>
    <col min="5" max="5" width="46.375" style="7" customWidth="1"/>
    <col min="6" max="6" width="13.625" style="7" customWidth="1"/>
    <col min="7" max="7" width="13.125" style="7" hidden="1" customWidth="1"/>
    <col min="8" max="8" width="13.125" style="0" hidden="1" customWidth="1"/>
    <col min="9" max="9" width="11.75390625" style="0" hidden="1" customWidth="1"/>
    <col min="10" max="10" width="0.6171875" style="0" hidden="1" customWidth="1"/>
    <col min="11" max="11" width="11.75390625" style="0" hidden="1" customWidth="1"/>
    <col min="12" max="12" width="10.125" style="0" hidden="1" customWidth="1"/>
    <col min="13" max="13" width="11.75390625" style="0" hidden="1" customWidth="1"/>
    <col min="14" max="14" width="9.125" style="0" hidden="1" customWidth="1"/>
    <col min="15" max="15" width="11.75390625" style="0" hidden="1" customWidth="1"/>
    <col min="16" max="16" width="9.375" style="0" hidden="1" customWidth="1"/>
    <col min="17" max="17" width="11.75390625" style="0" bestFit="1" customWidth="1"/>
    <col min="18" max="18" width="13.125" style="0" customWidth="1"/>
    <col min="19" max="19" width="11.75390625" style="0" bestFit="1" customWidth="1"/>
  </cols>
  <sheetData>
    <row r="1" spans="6:18" ht="12.75">
      <c r="F1" s="57" t="s">
        <v>535</v>
      </c>
      <c r="G1" s="57" t="s">
        <v>358</v>
      </c>
      <c r="H1" s="57"/>
      <c r="I1" s="57"/>
      <c r="J1" s="57"/>
      <c r="K1" s="57"/>
      <c r="L1" s="57"/>
      <c r="M1" s="57" t="s">
        <v>481</v>
      </c>
      <c r="N1" s="57"/>
      <c r="O1" s="57"/>
      <c r="P1" s="57" t="s">
        <v>502</v>
      </c>
      <c r="Q1" s="57"/>
      <c r="R1" s="57"/>
    </row>
    <row r="2" spans="6:18" ht="12.75">
      <c r="F2" s="57" t="s">
        <v>521</v>
      </c>
      <c r="G2" s="57" t="s">
        <v>352</v>
      </c>
      <c r="H2" s="57"/>
      <c r="I2" s="57"/>
      <c r="J2" s="57"/>
      <c r="K2" s="57"/>
      <c r="L2" s="57"/>
      <c r="M2" s="57" t="s">
        <v>479</v>
      </c>
      <c r="N2" s="57"/>
      <c r="O2" s="57"/>
      <c r="P2" s="57" t="s">
        <v>499</v>
      </c>
      <c r="Q2" s="57"/>
      <c r="R2" s="57"/>
    </row>
    <row r="3" spans="6:18" ht="12.75">
      <c r="F3" s="57" t="s">
        <v>502</v>
      </c>
      <c r="G3" s="57" t="s">
        <v>349</v>
      </c>
      <c r="H3" s="57"/>
      <c r="I3" s="57"/>
      <c r="J3" s="57"/>
      <c r="K3" s="57"/>
      <c r="L3" s="57"/>
      <c r="M3" s="57" t="s">
        <v>447</v>
      </c>
      <c r="N3" s="57"/>
      <c r="O3" s="57"/>
      <c r="P3" s="57" t="s">
        <v>481</v>
      </c>
      <c r="Q3" s="57"/>
      <c r="R3" s="57"/>
    </row>
    <row r="4" spans="6:18" ht="12.75">
      <c r="F4" s="57" t="s">
        <v>510</v>
      </c>
      <c r="G4" s="57" t="s">
        <v>350</v>
      </c>
      <c r="H4" s="57"/>
      <c r="I4" s="57"/>
      <c r="J4" s="57"/>
      <c r="K4" s="57"/>
      <c r="L4" s="57"/>
      <c r="M4" s="57" t="s">
        <v>449</v>
      </c>
      <c r="N4" s="57"/>
      <c r="O4" s="57"/>
      <c r="P4" s="57" t="s">
        <v>488</v>
      </c>
      <c r="Q4" s="57"/>
      <c r="R4" s="57"/>
    </row>
    <row r="5" spans="1:7" ht="21" customHeight="1">
      <c r="A5" s="312" t="s">
        <v>351</v>
      </c>
      <c r="B5" s="312"/>
      <c r="C5" s="312"/>
      <c r="D5" s="312"/>
      <c r="E5" s="312"/>
      <c r="F5" s="312"/>
      <c r="G5" s="312"/>
    </row>
    <row r="6" spans="1:7" ht="22.5" customHeight="1">
      <c r="A6" s="316" t="s">
        <v>271</v>
      </c>
      <c r="B6" s="316"/>
      <c r="C6" s="316"/>
      <c r="D6" s="316"/>
      <c r="E6" s="316"/>
      <c r="F6" s="316"/>
      <c r="G6" s="316"/>
    </row>
    <row r="7" spans="1:19" s="117" customFormat="1" ht="29.25" customHeight="1">
      <c r="A7" s="4" t="s">
        <v>0</v>
      </c>
      <c r="B7" s="4" t="s">
        <v>1</v>
      </c>
      <c r="C7" s="4" t="s">
        <v>2</v>
      </c>
      <c r="D7" s="4" t="s">
        <v>227</v>
      </c>
      <c r="E7" s="4" t="s">
        <v>228</v>
      </c>
      <c r="F7" s="4" t="s">
        <v>275</v>
      </c>
      <c r="G7" s="8" t="s">
        <v>142</v>
      </c>
      <c r="H7" s="8" t="s">
        <v>316</v>
      </c>
      <c r="I7" s="125" t="s">
        <v>363</v>
      </c>
      <c r="J7" s="8" t="s">
        <v>316</v>
      </c>
      <c r="K7" s="125" t="s">
        <v>143</v>
      </c>
      <c r="L7" s="8" t="s">
        <v>316</v>
      </c>
      <c r="M7" s="125" t="s">
        <v>143</v>
      </c>
      <c r="N7" s="8" t="s">
        <v>316</v>
      </c>
      <c r="O7" s="125" t="s">
        <v>143</v>
      </c>
      <c r="P7" s="8" t="s">
        <v>316</v>
      </c>
      <c r="Q7" s="125" t="s">
        <v>143</v>
      </c>
      <c r="R7" s="8" t="s">
        <v>316</v>
      </c>
      <c r="S7" s="125" t="s">
        <v>348</v>
      </c>
    </row>
    <row r="8" spans="1:11" s="117" customFormat="1" ht="30" customHeight="1">
      <c r="A8" s="324" t="s">
        <v>389</v>
      </c>
      <c r="B8" s="325"/>
      <c r="C8" s="325"/>
      <c r="D8" s="325"/>
      <c r="E8" s="325"/>
      <c r="F8" s="325"/>
      <c r="G8" s="325"/>
      <c r="H8" s="325"/>
      <c r="I8" s="325"/>
      <c r="J8" s="325"/>
      <c r="K8" s="326"/>
    </row>
    <row r="9" spans="1:19" s="228" customFormat="1" ht="66" customHeight="1">
      <c r="A9" s="2">
        <v>600</v>
      </c>
      <c r="B9" s="2">
        <v>60014</v>
      </c>
      <c r="C9" s="3">
        <v>6300</v>
      </c>
      <c r="D9" s="158" t="s">
        <v>238</v>
      </c>
      <c r="E9" s="217" t="s">
        <v>388</v>
      </c>
      <c r="F9" s="158" t="s">
        <v>277</v>
      </c>
      <c r="G9" s="244"/>
      <c r="H9" s="227"/>
      <c r="I9" s="229">
        <v>0</v>
      </c>
      <c r="J9" s="189">
        <v>100000</v>
      </c>
      <c r="K9" s="229">
        <f>SUM(I9:J9)</f>
        <v>100000</v>
      </c>
      <c r="L9" s="189"/>
      <c r="M9" s="229">
        <f>SUM(K9:L9)</f>
        <v>100000</v>
      </c>
      <c r="N9" s="189"/>
      <c r="O9" s="229">
        <f>SUM(M9:N9)</f>
        <v>100000</v>
      </c>
      <c r="P9" s="189">
        <f>-40500-10895</f>
        <v>-51395</v>
      </c>
      <c r="Q9" s="229">
        <f>SUM(O9:P9)</f>
        <v>48605</v>
      </c>
      <c r="R9" s="189"/>
      <c r="S9" s="229">
        <f>SUM(Q9:R9)</f>
        <v>48605</v>
      </c>
    </row>
    <row r="10" spans="1:19" s="228" customFormat="1" ht="68.25" customHeight="1">
      <c r="A10" s="2">
        <v>600</v>
      </c>
      <c r="B10" s="2">
        <v>60014</v>
      </c>
      <c r="C10" s="2">
        <v>6300</v>
      </c>
      <c r="D10" s="158" t="s">
        <v>238</v>
      </c>
      <c r="E10" s="272" t="s">
        <v>441</v>
      </c>
      <c r="F10" s="158" t="s">
        <v>277</v>
      </c>
      <c r="G10" s="244"/>
      <c r="H10" s="227"/>
      <c r="I10" s="229"/>
      <c r="J10" s="189"/>
      <c r="K10" s="229">
        <v>0</v>
      </c>
      <c r="L10" s="189">
        <v>127220</v>
      </c>
      <c r="M10" s="229">
        <f>SUM(K10:L10)</f>
        <v>127220</v>
      </c>
      <c r="N10" s="189"/>
      <c r="O10" s="229">
        <f>SUM(M10:N10)</f>
        <v>127220</v>
      </c>
      <c r="P10" s="189"/>
      <c r="Q10" s="229">
        <f>SUM(O10:P10)</f>
        <v>127220</v>
      </c>
      <c r="R10" s="189"/>
      <c r="S10" s="229">
        <f>SUM(Q10:R10)</f>
        <v>127220</v>
      </c>
    </row>
    <row r="11" spans="1:19" s="228" customFormat="1" ht="68.25" customHeight="1">
      <c r="A11" s="2">
        <v>600</v>
      </c>
      <c r="B11" s="2">
        <v>60014</v>
      </c>
      <c r="C11" s="2">
        <v>6300</v>
      </c>
      <c r="D11" s="158" t="s">
        <v>238</v>
      </c>
      <c r="E11" s="305" t="s">
        <v>501</v>
      </c>
      <c r="F11" s="158" t="s">
        <v>277</v>
      </c>
      <c r="G11" s="244"/>
      <c r="H11" s="227"/>
      <c r="I11" s="229"/>
      <c r="J11" s="189"/>
      <c r="K11" s="229"/>
      <c r="L11" s="189"/>
      <c r="M11" s="229"/>
      <c r="N11" s="189"/>
      <c r="O11" s="229">
        <v>0</v>
      </c>
      <c r="P11" s="189">
        <v>51395</v>
      </c>
      <c r="Q11" s="229">
        <f>SUM(O11:P11)</f>
        <v>51395</v>
      </c>
      <c r="R11" s="189"/>
      <c r="S11" s="229">
        <f>SUM(Q11:R11)</f>
        <v>51395</v>
      </c>
    </row>
    <row r="12" spans="1:19" s="228" customFormat="1" ht="25.5" customHeight="1">
      <c r="A12" s="126"/>
      <c r="B12" s="246"/>
      <c r="C12" s="246"/>
      <c r="D12" s="160"/>
      <c r="E12" s="251" t="s">
        <v>391</v>
      </c>
      <c r="F12" s="158"/>
      <c r="G12" s="244"/>
      <c r="H12" s="227"/>
      <c r="I12" s="210">
        <f>SUM(I9)</f>
        <v>0</v>
      </c>
      <c r="J12" s="210">
        <f>SUM(J9)</f>
        <v>100000</v>
      </c>
      <c r="K12" s="210">
        <f>SUM(K9:K10)</f>
        <v>100000</v>
      </c>
      <c r="L12" s="210">
        <f>SUM(L9:L10)</f>
        <v>127220</v>
      </c>
      <c r="M12" s="210">
        <f>SUM(M9:M10)</f>
        <v>227220</v>
      </c>
      <c r="N12" s="210">
        <f>SUM(N9:N10)</f>
        <v>0</v>
      </c>
      <c r="O12" s="210">
        <f>SUM(O9:O11)</f>
        <v>227220</v>
      </c>
      <c r="P12" s="210">
        <f>SUM(P9:P11)</f>
        <v>0</v>
      </c>
      <c r="Q12" s="210">
        <f>SUM(Q9:Q11)</f>
        <v>227220</v>
      </c>
      <c r="R12" s="210">
        <f>SUM(R9:R11)</f>
        <v>0</v>
      </c>
      <c r="S12" s="210">
        <f>SUM(S9:S11)</f>
        <v>227220</v>
      </c>
    </row>
    <row r="13" spans="1:11" s="228" customFormat="1" ht="30.75" customHeight="1">
      <c r="A13" s="327" t="s">
        <v>390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9"/>
    </row>
    <row r="14" spans="1:19" s="228" customFormat="1" ht="30.75" customHeight="1">
      <c r="A14" s="306">
        <v>600</v>
      </c>
      <c r="B14" s="306">
        <v>60095</v>
      </c>
      <c r="C14" s="306">
        <v>2710</v>
      </c>
      <c r="D14" s="310" t="s">
        <v>536</v>
      </c>
      <c r="E14" s="305" t="s">
        <v>537</v>
      </c>
      <c r="F14" s="310" t="s">
        <v>277</v>
      </c>
      <c r="G14" s="310"/>
      <c r="H14" s="310"/>
      <c r="I14" s="310"/>
      <c r="J14" s="310"/>
      <c r="K14" s="310"/>
      <c r="L14" s="309"/>
      <c r="M14" s="309"/>
      <c r="N14" s="309"/>
      <c r="O14" s="309"/>
      <c r="P14" s="309"/>
      <c r="Q14" s="307">
        <v>0</v>
      </c>
      <c r="R14" s="307">
        <v>60000</v>
      </c>
      <c r="S14" s="307">
        <f>SUM(Q14:R14)</f>
        <v>60000</v>
      </c>
    </row>
    <row r="15" spans="1:19" s="228" customFormat="1" ht="24.75" customHeight="1">
      <c r="A15" s="2">
        <v>750</v>
      </c>
      <c r="B15" s="2">
        <v>75075</v>
      </c>
      <c r="C15" s="3">
        <v>2320</v>
      </c>
      <c r="D15" s="158" t="s">
        <v>238</v>
      </c>
      <c r="E15" s="161" t="s">
        <v>383</v>
      </c>
      <c r="F15" s="158" t="s">
        <v>277</v>
      </c>
      <c r="G15" s="244"/>
      <c r="H15" s="227"/>
      <c r="I15" s="229">
        <v>0</v>
      </c>
      <c r="J15" s="189">
        <v>5000</v>
      </c>
      <c r="K15" s="124">
        <f>SUM(I15:J15)</f>
        <v>5000</v>
      </c>
      <c r="L15" s="189"/>
      <c r="M15" s="124">
        <f>SUM(K15:L15)</f>
        <v>5000</v>
      </c>
      <c r="N15" s="189"/>
      <c r="O15" s="124">
        <f>SUM(M15:N15)</f>
        <v>5000</v>
      </c>
      <c r="P15" s="189"/>
      <c r="Q15" s="124">
        <f>SUM(O15:P15)</f>
        <v>5000</v>
      </c>
      <c r="R15" s="189"/>
      <c r="S15" s="124">
        <f>SUM(Q15:R15)</f>
        <v>5000</v>
      </c>
    </row>
    <row r="16" spans="1:19" s="228" customFormat="1" ht="42.75" customHeight="1">
      <c r="A16" s="2">
        <v>801</v>
      </c>
      <c r="B16" s="2">
        <v>80104</v>
      </c>
      <c r="C16" s="3">
        <v>2310</v>
      </c>
      <c r="D16" s="158" t="s">
        <v>384</v>
      </c>
      <c r="E16" s="161" t="s">
        <v>385</v>
      </c>
      <c r="F16" s="158" t="s">
        <v>277</v>
      </c>
      <c r="G16" s="244"/>
      <c r="H16" s="233"/>
      <c r="I16" s="229">
        <v>0</v>
      </c>
      <c r="J16" s="189">
        <v>7860</v>
      </c>
      <c r="K16" s="189">
        <f>SUM(I16:J16)</f>
        <v>7860</v>
      </c>
      <c r="L16" s="189"/>
      <c r="M16" s="189">
        <f>SUM(K16:L16)</f>
        <v>7860</v>
      </c>
      <c r="N16" s="189"/>
      <c r="O16" s="189">
        <f>SUM(M16:N16)</f>
        <v>7860</v>
      </c>
      <c r="P16" s="189"/>
      <c r="Q16" s="189">
        <f>SUM(O16:P16)</f>
        <v>7860</v>
      </c>
      <c r="R16" s="189"/>
      <c r="S16" s="189">
        <f>SUM(Q16:R16)</f>
        <v>7860</v>
      </c>
    </row>
    <row r="17" spans="1:19" s="128" customFormat="1" ht="25.5" customHeight="1">
      <c r="A17" s="127">
        <v>801</v>
      </c>
      <c r="B17" s="2">
        <v>80104</v>
      </c>
      <c r="C17" s="3">
        <v>2510</v>
      </c>
      <c r="D17" s="158" t="s">
        <v>229</v>
      </c>
      <c r="E17" s="161" t="s">
        <v>230</v>
      </c>
      <c r="F17" s="158" t="s">
        <v>276</v>
      </c>
      <c r="G17" s="124">
        <v>3632917</v>
      </c>
      <c r="H17" s="124"/>
      <c r="I17" s="124">
        <f>SUM(G17:H17)</f>
        <v>3632917</v>
      </c>
      <c r="J17" s="124"/>
      <c r="K17" s="124">
        <f>SUM(I17:J17)</f>
        <v>3632917</v>
      </c>
      <c r="L17" s="124"/>
      <c r="M17" s="124">
        <f>SUM(K17:L17)</f>
        <v>3632917</v>
      </c>
      <c r="N17" s="124"/>
      <c r="O17" s="124">
        <f>SUM(M17:N17)</f>
        <v>3632917</v>
      </c>
      <c r="P17" s="124"/>
      <c r="Q17" s="124">
        <f>SUM(O17:P17)</f>
        <v>3632917</v>
      </c>
      <c r="R17" s="124"/>
      <c r="S17" s="124">
        <f>SUM(Q17:R17)</f>
        <v>3632917</v>
      </c>
    </row>
    <row r="18" spans="1:19" s="128" customFormat="1" ht="24.75" customHeight="1">
      <c r="A18" s="127">
        <v>801</v>
      </c>
      <c r="B18" s="127">
        <v>80146</v>
      </c>
      <c r="C18" s="2">
        <v>2510</v>
      </c>
      <c r="D18" s="159" t="s">
        <v>229</v>
      </c>
      <c r="E18" s="183" t="s">
        <v>231</v>
      </c>
      <c r="F18" s="159" t="s">
        <v>276</v>
      </c>
      <c r="G18" s="167">
        <v>15642</v>
      </c>
      <c r="H18" s="167"/>
      <c r="I18" s="124">
        <f aca="true" t="shared" si="0" ref="I18:I29">SUM(G18:H18)</f>
        <v>15642</v>
      </c>
      <c r="J18" s="167"/>
      <c r="K18" s="124">
        <f aca="true" t="shared" si="1" ref="K18:K30">SUM(I18:J18)</f>
        <v>15642</v>
      </c>
      <c r="L18" s="167"/>
      <c r="M18" s="124">
        <f aca="true" t="shared" si="2" ref="M18:M30">SUM(K18:L18)</f>
        <v>15642</v>
      </c>
      <c r="N18" s="167"/>
      <c r="O18" s="124">
        <f aca="true" t="shared" si="3" ref="O18:O30">SUM(M18:N18)</f>
        <v>15642</v>
      </c>
      <c r="P18" s="167"/>
      <c r="Q18" s="124">
        <f aca="true" t="shared" si="4" ref="Q18:Q30">SUM(O18:P18)</f>
        <v>15642</v>
      </c>
      <c r="R18" s="167"/>
      <c r="S18" s="124">
        <f aca="true" t="shared" si="5" ref="S18:S30">SUM(Q18:R18)</f>
        <v>15642</v>
      </c>
    </row>
    <row r="19" spans="1:19" s="128" customFormat="1" ht="48">
      <c r="A19" s="127">
        <v>851</v>
      </c>
      <c r="B19" s="127">
        <v>85154</v>
      </c>
      <c r="C19" s="2">
        <v>2710</v>
      </c>
      <c r="D19" s="159" t="s">
        <v>384</v>
      </c>
      <c r="E19" s="183" t="s">
        <v>475</v>
      </c>
      <c r="F19" s="194" t="s">
        <v>277</v>
      </c>
      <c r="G19" s="167"/>
      <c r="H19" s="167"/>
      <c r="I19" s="124"/>
      <c r="J19" s="167"/>
      <c r="K19" s="124"/>
      <c r="L19" s="167"/>
      <c r="M19" s="124">
        <v>0</v>
      </c>
      <c r="N19" s="167">
        <v>20930</v>
      </c>
      <c r="O19" s="124">
        <f t="shared" si="3"/>
        <v>20930</v>
      </c>
      <c r="P19" s="167"/>
      <c r="Q19" s="124">
        <f t="shared" si="4"/>
        <v>20930</v>
      </c>
      <c r="R19" s="167"/>
      <c r="S19" s="124">
        <f t="shared" si="5"/>
        <v>20930</v>
      </c>
    </row>
    <row r="20" spans="1:19" s="128" customFormat="1" ht="24">
      <c r="A20" s="2">
        <v>853</v>
      </c>
      <c r="B20" s="2">
        <v>85311</v>
      </c>
      <c r="C20" s="2">
        <v>2710</v>
      </c>
      <c r="D20" s="158" t="s">
        <v>239</v>
      </c>
      <c r="E20" s="190" t="s">
        <v>265</v>
      </c>
      <c r="F20" s="194" t="s">
        <v>277</v>
      </c>
      <c r="G20" s="124">
        <v>10704</v>
      </c>
      <c r="H20" s="189"/>
      <c r="I20" s="124">
        <f t="shared" si="0"/>
        <v>10704</v>
      </c>
      <c r="J20" s="189">
        <v>1133</v>
      </c>
      <c r="K20" s="124">
        <f t="shared" si="1"/>
        <v>11837</v>
      </c>
      <c r="L20" s="189"/>
      <c r="M20" s="124">
        <f t="shared" si="2"/>
        <v>11837</v>
      </c>
      <c r="N20" s="189"/>
      <c r="O20" s="124">
        <f t="shared" si="3"/>
        <v>11837</v>
      </c>
      <c r="P20" s="189"/>
      <c r="Q20" s="124">
        <f t="shared" si="4"/>
        <v>11837</v>
      </c>
      <c r="R20" s="189"/>
      <c r="S20" s="124">
        <f t="shared" si="5"/>
        <v>11837</v>
      </c>
    </row>
    <row r="21" spans="1:19" s="128" customFormat="1" ht="27.75" customHeight="1">
      <c r="A21" s="2">
        <v>854</v>
      </c>
      <c r="B21" s="2">
        <v>85412</v>
      </c>
      <c r="C21" s="2">
        <v>2320</v>
      </c>
      <c r="D21" s="158" t="s">
        <v>238</v>
      </c>
      <c r="E21" s="303" t="s">
        <v>494</v>
      </c>
      <c r="F21" s="194" t="s">
        <v>277</v>
      </c>
      <c r="G21" s="167"/>
      <c r="H21" s="304"/>
      <c r="I21" s="124"/>
      <c r="J21" s="304"/>
      <c r="K21" s="124"/>
      <c r="L21" s="304"/>
      <c r="M21" s="124"/>
      <c r="N21" s="304"/>
      <c r="O21" s="124">
        <v>0</v>
      </c>
      <c r="P21" s="304">
        <v>12000</v>
      </c>
      <c r="Q21" s="124">
        <f t="shared" si="4"/>
        <v>12000</v>
      </c>
      <c r="R21" s="304"/>
      <c r="S21" s="124">
        <f t="shared" si="5"/>
        <v>12000</v>
      </c>
    </row>
    <row r="22" spans="1:19" s="128" customFormat="1" ht="24">
      <c r="A22" s="2">
        <v>854</v>
      </c>
      <c r="B22" s="2">
        <v>85495</v>
      </c>
      <c r="C22" s="2">
        <v>2320</v>
      </c>
      <c r="D22" s="158" t="s">
        <v>238</v>
      </c>
      <c r="E22" s="191" t="s">
        <v>315</v>
      </c>
      <c r="F22" s="192" t="s">
        <v>277</v>
      </c>
      <c r="G22" s="245">
        <v>199150</v>
      </c>
      <c r="H22" s="193"/>
      <c r="I22" s="124">
        <f t="shared" si="0"/>
        <v>199150</v>
      </c>
      <c r="J22" s="193"/>
      <c r="K22" s="124">
        <f t="shared" si="1"/>
        <v>199150</v>
      </c>
      <c r="L22" s="193"/>
      <c r="M22" s="124">
        <f t="shared" si="2"/>
        <v>199150</v>
      </c>
      <c r="N22" s="193"/>
      <c r="O22" s="124">
        <f t="shared" si="3"/>
        <v>199150</v>
      </c>
      <c r="P22" s="193"/>
      <c r="Q22" s="124">
        <f t="shared" si="4"/>
        <v>199150</v>
      </c>
      <c r="R22" s="193"/>
      <c r="S22" s="124">
        <f t="shared" si="5"/>
        <v>199150</v>
      </c>
    </row>
    <row r="23" spans="1:19" s="128" customFormat="1" ht="24.75" customHeight="1">
      <c r="A23" s="2">
        <v>854</v>
      </c>
      <c r="B23" s="2">
        <v>85495</v>
      </c>
      <c r="C23" s="2">
        <v>2320</v>
      </c>
      <c r="D23" s="158" t="s">
        <v>239</v>
      </c>
      <c r="E23" s="161" t="s">
        <v>240</v>
      </c>
      <c r="F23" s="158" t="s">
        <v>277</v>
      </c>
      <c r="G23" s="124">
        <v>37095</v>
      </c>
      <c r="H23" s="189"/>
      <c r="I23" s="124">
        <f t="shared" si="0"/>
        <v>37095</v>
      </c>
      <c r="J23" s="189"/>
      <c r="K23" s="124">
        <f t="shared" si="1"/>
        <v>37095</v>
      </c>
      <c r="L23" s="189"/>
      <c r="M23" s="124">
        <f t="shared" si="2"/>
        <v>37095</v>
      </c>
      <c r="N23" s="189"/>
      <c r="O23" s="124">
        <f t="shared" si="3"/>
        <v>37095</v>
      </c>
      <c r="P23" s="189"/>
      <c r="Q23" s="124">
        <f t="shared" si="4"/>
        <v>37095</v>
      </c>
      <c r="R23" s="189"/>
      <c r="S23" s="124">
        <f t="shared" si="5"/>
        <v>37095</v>
      </c>
    </row>
    <row r="24" spans="1:19" s="128" customFormat="1" ht="29.25" customHeight="1">
      <c r="A24" s="127" t="s">
        <v>63</v>
      </c>
      <c r="B24" s="2">
        <v>92109</v>
      </c>
      <c r="C24" s="3">
        <v>2480</v>
      </c>
      <c r="D24" s="158" t="s">
        <v>234</v>
      </c>
      <c r="E24" s="161" t="s">
        <v>235</v>
      </c>
      <c r="F24" s="158" t="s">
        <v>276</v>
      </c>
      <c r="G24" s="124">
        <v>753300</v>
      </c>
      <c r="H24" s="124"/>
      <c r="I24" s="124">
        <f t="shared" si="0"/>
        <v>753300</v>
      </c>
      <c r="J24" s="124"/>
      <c r="K24" s="124">
        <f t="shared" si="1"/>
        <v>753300</v>
      </c>
      <c r="L24" s="124"/>
      <c r="M24" s="124">
        <f t="shared" si="2"/>
        <v>753300</v>
      </c>
      <c r="N24" s="124"/>
      <c r="O24" s="124">
        <f t="shared" si="3"/>
        <v>753300</v>
      </c>
      <c r="P24" s="124"/>
      <c r="Q24" s="124">
        <f t="shared" si="4"/>
        <v>753300</v>
      </c>
      <c r="R24" s="124"/>
      <c r="S24" s="124">
        <f t="shared" si="5"/>
        <v>753300</v>
      </c>
    </row>
    <row r="25" spans="1:19" s="128" customFormat="1" ht="29.25" customHeight="1">
      <c r="A25" s="127">
        <v>921</v>
      </c>
      <c r="B25" s="2">
        <v>92109</v>
      </c>
      <c r="C25" s="3">
        <v>2480</v>
      </c>
      <c r="D25" s="158" t="s">
        <v>234</v>
      </c>
      <c r="E25" s="161" t="s">
        <v>301</v>
      </c>
      <c r="F25" s="158" t="s">
        <v>276</v>
      </c>
      <c r="G25" s="124"/>
      <c r="H25" s="124"/>
      <c r="I25" s="124">
        <v>0</v>
      </c>
      <c r="J25" s="124">
        <f>1000+3500</f>
        <v>4500</v>
      </c>
      <c r="K25" s="124">
        <f t="shared" si="1"/>
        <v>4500</v>
      </c>
      <c r="L25" s="124"/>
      <c r="M25" s="124">
        <f t="shared" si="2"/>
        <v>4500</v>
      </c>
      <c r="N25" s="124"/>
      <c r="O25" s="124">
        <f t="shared" si="3"/>
        <v>4500</v>
      </c>
      <c r="P25" s="124"/>
      <c r="Q25" s="124">
        <f t="shared" si="4"/>
        <v>4500</v>
      </c>
      <c r="R25" s="124"/>
      <c r="S25" s="124">
        <f t="shared" si="5"/>
        <v>4500</v>
      </c>
    </row>
    <row r="26" spans="1:19" s="128" customFormat="1" ht="36">
      <c r="A26" s="127">
        <v>921</v>
      </c>
      <c r="B26" s="127" t="s">
        <v>64</v>
      </c>
      <c r="C26" s="3">
        <v>2480</v>
      </c>
      <c r="D26" s="161" t="s">
        <v>236</v>
      </c>
      <c r="E26" s="161" t="s">
        <v>301</v>
      </c>
      <c r="F26" s="158" t="s">
        <v>276</v>
      </c>
      <c r="G26" s="124">
        <f>60000</f>
        <v>60000</v>
      </c>
      <c r="H26" s="124"/>
      <c r="I26" s="124">
        <f t="shared" si="0"/>
        <v>60000</v>
      </c>
      <c r="J26" s="124"/>
      <c r="K26" s="124">
        <f t="shared" si="1"/>
        <v>60000</v>
      </c>
      <c r="L26" s="124"/>
      <c r="M26" s="124">
        <f t="shared" si="2"/>
        <v>60000</v>
      </c>
      <c r="N26" s="124"/>
      <c r="O26" s="124">
        <f t="shared" si="3"/>
        <v>60000</v>
      </c>
      <c r="P26" s="124"/>
      <c r="Q26" s="124">
        <f t="shared" si="4"/>
        <v>60000</v>
      </c>
      <c r="R26" s="124"/>
      <c r="S26" s="124">
        <f t="shared" si="5"/>
        <v>60000</v>
      </c>
    </row>
    <row r="27" spans="1:19" s="128" customFormat="1" ht="36">
      <c r="A27" s="127">
        <v>921</v>
      </c>
      <c r="B27" s="127">
        <v>92116</v>
      </c>
      <c r="C27" s="3">
        <v>2480</v>
      </c>
      <c r="D27" s="161" t="s">
        <v>236</v>
      </c>
      <c r="E27" s="161" t="s">
        <v>301</v>
      </c>
      <c r="F27" s="158" t="s">
        <v>276</v>
      </c>
      <c r="G27" s="124"/>
      <c r="H27" s="124"/>
      <c r="I27" s="124">
        <v>0</v>
      </c>
      <c r="J27" s="124">
        <v>1000</v>
      </c>
      <c r="K27" s="124">
        <f t="shared" si="1"/>
        <v>1000</v>
      </c>
      <c r="L27" s="124"/>
      <c r="M27" s="124">
        <f t="shared" si="2"/>
        <v>1000</v>
      </c>
      <c r="N27" s="124"/>
      <c r="O27" s="124">
        <f t="shared" si="3"/>
        <v>1000</v>
      </c>
      <c r="P27" s="124"/>
      <c r="Q27" s="124">
        <f t="shared" si="4"/>
        <v>1000</v>
      </c>
      <c r="R27" s="124"/>
      <c r="S27" s="124">
        <f t="shared" si="5"/>
        <v>1000</v>
      </c>
    </row>
    <row r="28" spans="1:19" s="128" customFormat="1" ht="24" customHeight="1">
      <c r="A28" s="127">
        <v>921</v>
      </c>
      <c r="B28" s="127">
        <v>92116</v>
      </c>
      <c r="C28" s="3">
        <v>2480</v>
      </c>
      <c r="D28" s="161" t="s">
        <v>236</v>
      </c>
      <c r="E28" s="161" t="s">
        <v>235</v>
      </c>
      <c r="F28" s="158" t="s">
        <v>276</v>
      </c>
      <c r="G28" s="124">
        <v>1120352</v>
      </c>
      <c r="H28" s="124"/>
      <c r="I28" s="124">
        <f t="shared" si="0"/>
        <v>1120352</v>
      </c>
      <c r="J28" s="124"/>
      <c r="K28" s="124">
        <f t="shared" si="1"/>
        <v>1120352</v>
      </c>
      <c r="L28" s="124"/>
      <c r="M28" s="124">
        <f t="shared" si="2"/>
        <v>1120352</v>
      </c>
      <c r="N28" s="124"/>
      <c r="O28" s="124">
        <f t="shared" si="3"/>
        <v>1120352</v>
      </c>
      <c r="P28" s="124"/>
      <c r="Q28" s="124">
        <f t="shared" si="4"/>
        <v>1120352</v>
      </c>
      <c r="R28" s="124"/>
      <c r="S28" s="124">
        <f t="shared" si="5"/>
        <v>1120352</v>
      </c>
    </row>
    <row r="29" spans="1:19" s="128" customFormat="1" ht="24">
      <c r="A29" s="127">
        <v>921</v>
      </c>
      <c r="B29" s="127" t="s">
        <v>139</v>
      </c>
      <c r="C29" s="2">
        <v>2480</v>
      </c>
      <c r="D29" s="217" t="s">
        <v>237</v>
      </c>
      <c r="E29" s="161" t="s">
        <v>235</v>
      </c>
      <c r="F29" s="158" t="s">
        <v>276</v>
      </c>
      <c r="G29" s="124">
        <v>650000</v>
      </c>
      <c r="H29" s="124"/>
      <c r="I29" s="124">
        <f t="shared" si="0"/>
        <v>650000</v>
      </c>
      <c r="J29" s="124"/>
      <c r="K29" s="124">
        <f t="shared" si="1"/>
        <v>650000</v>
      </c>
      <c r="L29" s="124"/>
      <c r="M29" s="124">
        <f t="shared" si="2"/>
        <v>650000</v>
      </c>
      <c r="N29" s="124"/>
      <c r="O29" s="124">
        <f t="shared" si="3"/>
        <v>650000</v>
      </c>
      <c r="P29" s="124"/>
      <c r="Q29" s="124">
        <f t="shared" si="4"/>
        <v>650000</v>
      </c>
      <c r="R29" s="124"/>
      <c r="S29" s="124">
        <f t="shared" si="5"/>
        <v>650000</v>
      </c>
    </row>
    <row r="30" spans="1:19" s="128" customFormat="1" ht="24">
      <c r="A30" s="127">
        <v>921</v>
      </c>
      <c r="B30" s="127" t="s">
        <v>139</v>
      </c>
      <c r="C30" s="2">
        <v>2480</v>
      </c>
      <c r="D30" s="217" t="s">
        <v>237</v>
      </c>
      <c r="E30" s="161" t="s">
        <v>301</v>
      </c>
      <c r="F30" s="158" t="s">
        <v>276</v>
      </c>
      <c r="G30" s="124"/>
      <c r="H30" s="124"/>
      <c r="I30" s="124">
        <v>0</v>
      </c>
      <c r="J30" s="124">
        <f>1000+2000+1000</f>
        <v>4000</v>
      </c>
      <c r="K30" s="124">
        <f t="shared" si="1"/>
        <v>4000</v>
      </c>
      <c r="L30" s="124"/>
      <c r="M30" s="124">
        <f t="shared" si="2"/>
        <v>4000</v>
      </c>
      <c r="N30" s="124"/>
      <c r="O30" s="124">
        <f t="shared" si="3"/>
        <v>4000</v>
      </c>
      <c r="P30" s="124"/>
      <c r="Q30" s="124">
        <f t="shared" si="4"/>
        <v>4000</v>
      </c>
      <c r="R30" s="124"/>
      <c r="S30" s="124">
        <f t="shared" si="5"/>
        <v>4000</v>
      </c>
    </row>
    <row r="31" spans="1:19" s="132" customFormat="1" ht="22.5" customHeight="1">
      <c r="A31" s="247"/>
      <c r="B31" s="248"/>
      <c r="C31" s="249"/>
      <c r="D31" s="250"/>
      <c r="E31" s="252" t="s">
        <v>392</v>
      </c>
      <c r="F31" s="185"/>
      <c r="G31" s="186"/>
      <c r="H31" s="186"/>
      <c r="I31" s="186">
        <f aca="true" t="shared" si="6" ref="I31:O31">SUM(I15:I30)</f>
        <v>6479160</v>
      </c>
      <c r="J31" s="186">
        <f t="shared" si="6"/>
        <v>23493</v>
      </c>
      <c r="K31" s="186">
        <f t="shared" si="6"/>
        <v>6502653</v>
      </c>
      <c r="L31" s="186">
        <f t="shared" si="6"/>
        <v>0</v>
      </c>
      <c r="M31" s="186">
        <f t="shared" si="6"/>
        <v>6502653</v>
      </c>
      <c r="N31" s="186">
        <f t="shared" si="6"/>
        <v>20930</v>
      </c>
      <c r="O31" s="186">
        <f t="shared" si="6"/>
        <v>6523583</v>
      </c>
      <c r="P31" s="186">
        <f>SUM(P15:P30)</f>
        <v>12000</v>
      </c>
      <c r="Q31" s="186">
        <f>SUM(Q14:Q30)</f>
        <v>6535583</v>
      </c>
      <c r="R31" s="186">
        <f>SUM(R14:R30)</f>
        <v>60000</v>
      </c>
      <c r="S31" s="186">
        <f>SUM(S14:S30)</f>
        <v>6595583</v>
      </c>
    </row>
    <row r="32" spans="1:19" s="128" customFormat="1" ht="22.5" customHeight="1">
      <c r="A32" s="321"/>
      <c r="B32" s="322"/>
      <c r="C32" s="322"/>
      <c r="D32" s="322"/>
      <c r="E32" s="323"/>
      <c r="F32" s="185" t="s">
        <v>393</v>
      </c>
      <c r="G32" s="186">
        <f>SUM(G17:G29)</f>
        <v>6479160</v>
      </c>
      <c r="H32" s="186">
        <f>SUM(H17:H29)</f>
        <v>0</v>
      </c>
      <c r="I32" s="186">
        <f aca="true" t="shared" si="7" ref="I32:Q32">SUM(I31,I12)</f>
        <v>6479160</v>
      </c>
      <c r="J32" s="186">
        <f t="shared" si="7"/>
        <v>123493</v>
      </c>
      <c r="K32" s="186">
        <f t="shared" si="7"/>
        <v>6602653</v>
      </c>
      <c r="L32" s="186">
        <f t="shared" si="7"/>
        <v>127220</v>
      </c>
      <c r="M32" s="186">
        <f t="shared" si="7"/>
        <v>6729873</v>
      </c>
      <c r="N32" s="186">
        <f t="shared" si="7"/>
        <v>20930</v>
      </c>
      <c r="O32" s="186">
        <f t="shared" si="7"/>
        <v>6750803</v>
      </c>
      <c r="P32" s="186">
        <f t="shared" si="7"/>
        <v>12000</v>
      </c>
      <c r="Q32" s="186">
        <f t="shared" si="7"/>
        <v>6762803</v>
      </c>
      <c r="R32" s="186">
        <f>SUM(R31,R12)</f>
        <v>60000</v>
      </c>
      <c r="S32" s="186">
        <f>SUM(S31,S12)</f>
        <v>6822803</v>
      </c>
    </row>
    <row r="33" spans="1:7" s="128" customFormat="1" ht="21" customHeight="1" thickBot="1">
      <c r="A33" s="313" t="s">
        <v>272</v>
      </c>
      <c r="B33" s="314"/>
      <c r="C33" s="314"/>
      <c r="D33" s="314"/>
      <c r="E33" s="314"/>
      <c r="F33" s="314"/>
      <c r="G33" s="315"/>
    </row>
    <row r="34" spans="1:11" s="128" customFormat="1" ht="21.75" customHeight="1" thickBot="1">
      <c r="A34" s="330" t="s">
        <v>394</v>
      </c>
      <c r="B34" s="331"/>
      <c r="C34" s="331"/>
      <c r="D34" s="331"/>
      <c r="E34" s="331"/>
      <c r="F34" s="331"/>
      <c r="G34" s="331"/>
      <c r="H34" s="331"/>
      <c r="I34" s="331"/>
      <c r="J34" s="331"/>
      <c r="K34" s="332"/>
    </row>
    <row r="35" spans="1:19" s="150" customFormat="1" ht="27" customHeight="1">
      <c r="A35" s="254" t="s">
        <v>4</v>
      </c>
      <c r="B35" s="254" t="s">
        <v>279</v>
      </c>
      <c r="C35" s="255">
        <v>2830</v>
      </c>
      <c r="D35" s="256" t="s">
        <v>281</v>
      </c>
      <c r="E35" s="256" t="s">
        <v>282</v>
      </c>
      <c r="F35" s="257" t="s">
        <v>277</v>
      </c>
      <c r="G35" s="258">
        <v>45000</v>
      </c>
      <c r="H35" s="258"/>
      <c r="I35" s="258">
        <f aca="true" t="shared" si="8" ref="I35:I40">SUM(G35:H35)</f>
        <v>45000</v>
      </c>
      <c r="J35" s="258"/>
      <c r="K35" s="258">
        <f aca="true" t="shared" si="9" ref="K35:K60">SUM(I35:J35)</f>
        <v>45000</v>
      </c>
      <c r="L35" s="258"/>
      <c r="M35" s="189">
        <f aca="true" t="shared" si="10" ref="M35:M60">SUM(K35:L35)</f>
        <v>45000</v>
      </c>
      <c r="N35" s="189"/>
      <c r="O35" s="189">
        <f aca="true" t="shared" si="11" ref="O35:O60">SUM(M35:N35)</f>
        <v>45000</v>
      </c>
      <c r="P35" s="189"/>
      <c r="Q35" s="189">
        <f aca="true" t="shared" si="12" ref="Q35:Q60">SUM(O35:P35)</f>
        <v>45000</v>
      </c>
      <c r="R35" s="189"/>
      <c r="S35" s="189">
        <f aca="true" t="shared" si="13" ref="S35:S60">SUM(Q35:R35)</f>
        <v>45000</v>
      </c>
    </row>
    <row r="36" spans="1:19" s="128" customFormat="1" ht="36">
      <c r="A36" s="127">
        <v>801</v>
      </c>
      <c r="B36" s="2">
        <v>80101</v>
      </c>
      <c r="C36" s="3">
        <v>2590</v>
      </c>
      <c r="D36" s="161" t="s">
        <v>232</v>
      </c>
      <c r="E36" s="161" t="s">
        <v>273</v>
      </c>
      <c r="F36" s="158" t="s">
        <v>276</v>
      </c>
      <c r="G36" s="189">
        <v>746055</v>
      </c>
      <c r="H36" s="189"/>
      <c r="I36" s="189">
        <f t="shared" si="8"/>
        <v>746055</v>
      </c>
      <c r="J36" s="189"/>
      <c r="K36" s="189">
        <f t="shared" si="9"/>
        <v>746055</v>
      </c>
      <c r="L36" s="189"/>
      <c r="M36" s="189">
        <f t="shared" si="10"/>
        <v>746055</v>
      </c>
      <c r="N36" s="189"/>
      <c r="O36" s="189">
        <f t="shared" si="11"/>
        <v>746055</v>
      </c>
      <c r="P36" s="189"/>
      <c r="Q36" s="189">
        <f t="shared" si="12"/>
        <v>746055</v>
      </c>
      <c r="R36" s="189"/>
      <c r="S36" s="189">
        <f t="shared" si="13"/>
        <v>746055</v>
      </c>
    </row>
    <row r="37" spans="1:19" s="128" customFormat="1" ht="36">
      <c r="A37" s="127">
        <v>801</v>
      </c>
      <c r="B37" s="184">
        <v>80103</v>
      </c>
      <c r="C37" s="2">
        <v>2590</v>
      </c>
      <c r="D37" s="190" t="s">
        <v>233</v>
      </c>
      <c r="E37" s="161" t="s">
        <v>274</v>
      </c>
      <c r="F37" s="158" t="s">
        <v>276</v>
      </c>
      <c r="G37" s="189">
        <v>41492</v>
      </c>
      <c r="H37" s="189"/>
      <c r="I37" s="189">
        <f t="shared" si="8"/>
        <v>41492</v>
      </c>
      <c r="J37" s="189"/>
      <c r="K37" s="189">
        <f t="shared" si="9"/>
        <v>41492</v>
      </c>
      <c r="L37" s="189"/>
      <c r="M37" s="189">
        <f t="shared" si="10"/>
        <v>41492</v>
      </c>
      <c r="N37" s="189"/>
      <c r="O37" s="189">
        <f t="shared" si="11"/>
        <v>41492</v>
      </c>
      <c r="P37" s="189"/>
      <c r="Q37" s="189">
        <f t="shared" si="12"/>
        <v>41492</v>
      </c>
      <c r="R37" s="189"/>
      <c r="S37" s="189">
        <f t="shared" si="13"/>
        <v>41492</v>
      </c>
    </row>
    <row r="38" spans="1:19" s="128" customFormat="1" ht="36">
      <c r="A38" s="127">
        <v>801</v>
      </c>
      <c r="B38" s="184">
        <v>80110</v>
      </c>
      <c r="C38" s="2">
        <v>2590</v>
      </c>
      <c r="D38" s="190" t="s">
        <v>312</v>
      </c>
      <c r="E38" s="161" t="s">
        <v>256</v>
      </c>
      <c r="F38" s="160" t="s">
        <v>276</v>
      </c>
      <c r="G38" s="189">
        <v>263533</v>
      </c>
      <c r="H38" s="189"/>
      <c r="I38" s="189">
        <f t="shared" si="8"/>
        <v>263533</v>
      </c>
      <c r="J38" s="189"/>
      <c r="K38" s="189">
        <f t="shared" si="9"/>
        <v>263533</v>
      </c>
      <c r="L38" s="189"/>
      <c r="M38" s="189">
        <f t="shared" si="10"/>
        <v>263533</v>
      </c>
      <c r="N38" s="189"/>
      <c r="O38" s="189">
        <f t="shared" si="11"/>
        <v>263533</v>
      </c>
      <c r="P38" s="189"/>
      <c r="Q38" s="189">
        <f t="shared" si="12"/>
        <v>263533</v>
      </c>
      <c r="R38" s="189"/>
      <c r="S38" s="189">
        <f t="shared" si="13"/>
        <v>263533</v>
      </c>
    </row>
    <row r="39" spans="1:19" ht="28.5" customHeight="1">
      <c r="A39" s="195">
        <v>921</v>
      </c>
      <c r="B39" s="195">
        <v>92120</v>
      </c>
      <c r="C39" s="195">
        <v>2720</v>
      </c>
      <c r="D39" s="196" t="s">
        <v>286</v>
      </c>
      <c r="E39" s="196" t="s">
        <v>287</v>
      </c>
      <c r="F39" s="197" t="s">
        <v>277</v>
      </c>
      <c r="G39" s="198">
        <v>7500</v>
      </c>
      <c r="H39" s="198"/>
      <c r="I39" s="189">
        <f t="shared" si="8"/>
        <v>7500</v>
      </c>
      <c r="J39" s="198"/>
      <c r="K39" s="189">
        <f t="shared" si="9"/>
        <v>7500</v>
      </c>
      <c r="L39" s="198"/>
      <c r="M39" s="189">
        <f t="shared" si="10"/>
        <v>7500</v>
      </c>
      <c r="N39" s="198"/>
      <c r="O39" s="189">
        <f t="shared" si="11"/>
        <v>7500</v>
      </c>
      <c r="P39" s="198"/>
      <c r="Q39" s="189">
        <f t="shared" si="12"/>
        <v>7500</v>
      </c>
      <c r="R39" s="198"/>
      <c r="S39" s="189">
        <f t="shared" si="13"/>
        <v>7500</v>
      </c>
    </row>
    <row r="40" spans="1:19" ht="28.5" customHeight="1">
      <c r="A40" s="195">
        <v>851</v>
      </c>
      <c r="B40" s="195">
        <v>85154</v>
      </c>
      <c r="C40" s="195">
        <v>2830</v>
      </c>
      <c r="D40" s="196" t="s">
        <v>346</v>
      </c>
      <c r="E40" s="196" t="s">
        <v>347</v>
      </c>
      <c r="F40" s="197" t="s">
        <v>277</v>
      </c>
      <c r="G40" s="198">
        <v>0</v>
      </c>
      <c r="H40" s="198">
        <v>47545</v>
      </c>
      <c r="I40" s="189">
        <f t="shared" si="8"/>
        <v>47545</v>
      </c>
      <c r="J40" s="198"/>
      <c r="K40" s="189">
        <f t="shared" si="9"/>
        <v>47545</v>
      </c>
      <c r="L40" s="198"/>
      <c r="M40" s="189">
        <f t="shared" si="10"/>
        <v>47545</v>
      </c>
      <c r="N40" s="198"/>
      <c r="O40" s="189">
        <f t="shared" si="11"/>
        <v>47545</v>
      </c>
      <c r="P40" s="198"/>
      <c r="Q40" s="189">
        <f t="shared" si="12"/>
        <v>47545</v>
      </c>
      <c r="R40" s="198"/>
      <c r="S40" s="189">
        <f t="shared" si="13"/>
        <v>47545</v>
      </c>
    </row>
    <row r="41" spans="1:19" ht="28.5" customHeight="1">
      <c r="A41" s="195">
        <v>854</v>
      </c>
      <c r="B41" s="195">
        <v>85412</v>
      </c>
      <c r="C41" s="195">
        <v>2830</v>
      </c>
      <c r="D41" s="196" t="s">
        <v>346</v>
      </c>
      <c r="E41" s="196" t="s">
        <v>503</v>
      </c>
      <c r="F41" s="197" t="s">
        <v>277</v>
      </c>
      <c r="G41" s="198"/>
      <c r="H41" s="198"/>
      <c r="I41" s="189"/>
      <c r="J41" s="198"/>
      <c r="K41" s="189"/>
      <c r="L41" s="198"/>
      <c r="M41" s="189"/>
      <c r="N41" s="198"/>
      <c r="O41" s="189">
        <v>0</v>
      </c>
      <c r="P41" s="198">
        <v>28000</v>
      </c>
      <c r="Q41" s="189">
        <f t="shared" si="12"/>
        <v>28000</v>
      </c>
      <c r="R41" s="198"/>
      <c r="S41" s="189">
        <f t="shared" si="13"/>
        <v>28000</v>
      </c>
    </row>
    <row r="42" spans="1:19" ht="28.5" customHeight="1">
      <c r="A42" s="195">
        <v>926</v>
      </c>
      <c r="B42" s="195">
        <v>92605</v>
      </c>
      <c r="C42" s="195">
        <v>2820</v>
      </c>
      <c r="D42" s="196" t="s">
        <v>396</v>
      </c>
      <c r="E42" s="196" t="s">
        <v>395</v>
      </c>
      <c r="F42" s="197" t="s">
        <v>277</v>
      </c>
      <c r="G42" s="198"/>
      <c r="H42" s="198"/>
      <c r="I42" s="189">
        <v>0</v>
      </c>
      <c r="J42" s="198">
        <v>209000</v>
      </c>
      <c r="K42" s="189">
        <f t="shared" si="9"/>
        <v>209000</v>
      </c>
      <c r="L42" s="198"/>
      <c r="M42" s="189">
        <f t="shared" si="10"/>
        <v>209000</v>
      </c>
      <c r="N42" s="198"/>
      <c r="O42" s="189">
        <f t="shared" si="11"/>
        <v>209000</v>
      </c>
      <c r="P42" s="198"/>
      <c r="Q42" s="189">
        <f t="shared" si="12"/>
        <v>209000</v>
      </c>
      <c r="R42" s="198"/>
      <c r="S42" s="189">
        <f t="shared" si="13"/>
        <v>209000</v>
      </c>
    </row>
    <row r="43" spans="1:19" ht="28.5" customHeight="1">
      <c r="A43" s="195">
        <v>926</v>
      </c>
      <c r="B43" s="195">
        <v>92605</v>
      </c>
      <c r="C43" s="195">
        <v>2820</v>
      </c>
      <c r="D43" s="196" t="s">
        <v>397</v>
      </c>
      <c r="E43" s="196" t="s">
        <v>395</v>
      </c>
      <c r="F43" s="197" t="s">
        <v>277</v>
      </c>
      <c r="G43" s="198"/>
      <c r="H43" s="198"/>
      <c r="I43" s="189">
        <v>0</v>
      </c>
      <c r="J43" s="198">
        <v>118000</v>
      </c>
      <c r="K43" s="189">
        <f t="shared" si="9"/>
        <v>118000</v>
      </c>
      <c r="L43" s="198"/>
      <c r="M43" s="189">
        <f t="shared" si="10"/>
        <v>118000</v>
      </c>
      <c r="N43" s="198"/>
      <c r="O43" s="189">
        <f t="shared" si="11"/>
        <v>118000</v>
      </c>
      <c r="P43" s="198"/>
      <c r="Q43" s="189">
        <f t="shared" si="12"/>
        <v>118000</v>
      </c>
      <c r="R43" s="198"/>
      <c r="S43" s="189">
        <f t="shared" si="13"/>
        <v>118000</v>
      </c>
    </row>
    <row r="44" spans="1:19" ht="28.5" customHeight="1">
      <c r="A44" s="195">
        <v>926</v>
      </c>
      <c r="B44" s="195">
        <v>92605</v>
      </c>
      <c r="C44" s="195">
        <v>2820</v>
      </c>
      <c r="D44" s="196" t="s">
        <v>398</v>
      </c>
      <c r="E44" s="196" t="s">
        <v>399</v>
      </c>
      <c r="F44" s="197" t="s">
        <v>277</v>
      </c>
      <c r="G44" s="198"/>
      <c r="H44" s="198"/>
      <c r="I44" s="189">
        <v>0</v>
      </c>
      <c r="J44" s="198">
        <v>7000</v>
      </c>
      <c r="K44" s="189">
        <f t="shared" si="9"/>
        <v>7000</v>
      </c>
      <c r="L44" s="198"/>
      <c r="M44" s="189">
        <f t="shared" si="10"/>
        <v>7000</v>
      </c>
      <c r="N44" s="198"/>
      <c r="O44" s="189">
        <f t="shared" si="11"/>
        <v>7000</v>
      </c>
      <c r="P44" s="198"/>
      <c r="Q44" s="189">
        <f t="shared" si="12"/>
        <v>7000</v>
      </c>
      <c r="R44" s="198"/>
      <c r="S44" s="189">
        <f t="shared" si="13"/>
        <v>7000</v>
      </c>
    </row>
    <row r="45" spans="1:19" ht="28.5" customHeight="1">
      <c r="A45" s="195">
        <v>926</v>
      </c>
      <c r="B45" s="195">
        <v>92605</v>
      </c>
      <c r="C45" s="195">
        <v>2820</v>
      </c>
      <c r="D45" s="196" t="s">
        <v>400</v>
      </c>
      <c r="E45" s="196" t="s">
        <v>399</v>
      </c>
      <c r="F45" s="197" t="s">
        <v>277</v>
      </c>
      <c r="G45" s="198"/>
      <c r="H45" s="198"/>
      <c r="I45" s="189">
        <v>0</v>
      </c>
      <c r="J45" s="198">
        <v>6000</v>
      </c>
      <c r="K45" s="189">
        <f t="shared" si="9"/>
        <v>6000</v>
      </c>
      <c r="L45" s="198"/>
      <c r="M45" s="189">
        <f t="shared" si="10"/>
        <v>6000</v>
      </c>
      <c r="N45" s="198"/>
      <c r="O45" s="189">
        <f t="shared" si="11"/>
        <v>6000</v>
      </c>
      <c r="P45" s="198"/>
      <c r="Q45" s="189">
        <f t="shared" si="12"/>
        <v>6000</v>
      </c>
      <c r="R45" s="198"/>
      <c r="S45" s="189">
        <f t="shared" si="13"/>
        <v>6000</v>
      </c>
    </row>
    <row r="46" spans="1:19" ht="28.5" customHeight="1">
      <c r="A46" s="195">
        <v>926</v>
      </c>
      <c r="B46" s="195">
        <v>92605</v>
      </c>
      <c r="C46" s="195">
        <v>2820</v>
      </c>
      <c r="D46" s="196" t="s">
        <v>401</v>
      </c>
      <c r="E46" s="196" t="s">
        <v>399</v>
      </c>
      <c r="F46" s="197" t="s">
        <v>277</v>
      </c>
      <c r="G46" s="198"/>
      <c r="H46" s="198"/>
      <c r="I46" s="189">
        <v>0</v>
      </c>
      <c r="J46" s="198">
        <v>15000</v>
      </c>
      <c r="K46" s="189">
        <f t="shared" si="9"/>
        <v>15000</v>
      </c>
      <c r="L46" s="198"/>
      <c r="M46" s="189">
        <f t="shared" si="10"/>
        <v>15000</v>
      </c>
      <c r="N46" s="198"/>
      <c r="O46" s="189">
        <f t="shared" si="11"/>
        <v>15000</v>
      </c>
      <c r="P46" s="198"/>
      <c r="Q46" s="189">
        <f t="shared" si="12"/>
        <v>15000</v>
      </c>
      <c r="R46" s="198"/>
      <c r="S46" s="189">
        <f t="shared" si="13"/>
        <v>15000</v>
      </c>
    </row>
    <row r="47" spans="1:19" ht="28.5" customHeight="1">
      <c r="A47" s="195">
        <v>926</v>
      </c>
      <c r="B47" s="195">
        <v>92605</v>
      </c>
      <c r="C47" s="195">
        <v>2820</v>
      </c>
      <c r="D47" s="196" t="s">
        <v>402</v>
      </c>
      <c r="E47" s="196" t="s">
        <v>399</v>
      </c>
      <c r="F47" s="197" t="s">
        <v>277</v>
      </c>
      <c r="G47" s="198"/>
      <c r="H47" s="198"/>
      <c r="I47" s="189">
        <v>0</v>
      </c>
      <c r="J47" s="198">
        <v>4000</v>
      </c>
      <c r="K47" s="189">
        <f t="shared" si="9"/>
        <v>4000</v>
      </c>
      <c r="L47" s="198"/>
      <c r="M47" s="189">
        <f t="shared" si="10"/>
        <v>4000</v>
      </c>
      <c r="N47" s="198"/>
      <c r="O47" s="189">
        <f t="shared" si="11"/>
        <v>4000</v>
      </c>
      <c r="P47" s="198"/>
      <c r="Q47" s="189">
        <f t="shared" si="12"/>
        <v>4000</v>
      </c>
      <c r="R47" s="198"/>
      <c r="S47" s="189">
        <f t="shared" si="13"/>
        <v>4000</v>
      </c>
    </row>
    <row r="48" spans="1:19" ht="28.5" customHeight="1">
      <c r="A48" s="195">
        <v>926</v>
      </c>
      <c r="B48" s="195">
        <v>92605</v>
      </c>
      <c r="C48" s="195">
        <v>2820</v>
      </c>
      <c r="D48" s="196" t="s">
        <v>403</v>
      </c>
      <c r="E48" s="196" t="s">
        <v>399</v>
      </c>
      <c r="F48" s="197" t="s">
        <v>277</v>
      </c>
      <c r="G48" s="198"/>
      <c r="H48" s="198"/>
      <c r="I48" s="189">
        <v>0</v>
      </c>
      <c r="J48" s="198">
        <v>4000</v>
      </c>
      <c r="K48" s="189">
        <f t="shared" si="9"/>
        <v>4000</v>
      </c>
      <c r="L48" s="198"/>
      <c r="M48" s="189">
        <f t="shared" si="10"/>
        <v>4000</v>
      </c>
      <c r="N48" s="198"/>
      <c r="O48" s="189">
        <f t="shared" si="11"/>
        <v>4000</v>
      </c>
      <c r="P48" s="198"/>
      <c r="Q48" s="189">
        <f t="shared" si="12"/>
        <v>4000</v>
      </c>
      <c r="R48" s="198"/>
      <c r="S48" s="189">
        <f t="shared" si="13"/>
        <v>4000</v>
      </c>
    </row>
    <row r="49" spans="1:19" ht="57" customHeight="1">
      <c r="A49" s="195">
        <v>926</v>
      </c>
      <c r="B49" s="195">
        <v>92605</v>
      </c>
      <c r="C49" s="195">
        <v>2820</v>
      </c>
      <c r="D49" s="196" t="s">
        <v>404</v>
      </c>
      <c r="E49" s="196" t="s">
        <v>405</v>
      </c>
      <c r="F49" s="197" t="s">
        <v>277</v>
      </c>
      <c r="G49" s="198"/>
      <c r="H49" s="198"/>
      <c r="I49" s="189">
        <v>0</v>
      </c>
      <c r="J49" s="198">
        <v>7000</v>
      </c>
      <c r="K49" s="189">
        <f t="shared" si="9"/>
        <v>7000</v>
      </c>
      <c r="L49" s="198"/>
      <c r="M49" s="189">
        <f t="shared" si="10"/>
        <v>7000</v>
      </c>
      <c r="N49" s="198"/>
      <c r="O49" s="189">
        <f t="shared" si="11"/>
        <v>7000</v>
      </c>
      <c r="P49" s="198"/>
      <c r="Q49" s="189">
        <f t="shared" si="12"/>
        <v>7000</v>
      </c>
      <c r="R49" s="198"/>
      <c r="S49" s="189">
        <f t="shared" si="13"/>
        <v>7000</v>
      </c>
    </row>
    <row r="50" spans="1:19" ht="28.5" customHeight="1">
      <c r="A50" s="195">
        <v>926</v>
      </c>
      <c r="B50" s="195">
        <v>92605</v>
      </c>
      <c r="C50" s="195">
        <v>2820</v>
      </c>
      <c r="D50" s="196" t="s">
        <v>404</v>
      </c>
      <c r="E50" s="196" t="s">
        <v>406</v>
      </c>
      <c r="F50" s="197" t="s">
        <v>277</v>
      </c>
      <c r="G50" s="198"/>
      <c r="H50" s="198"/>
      <c r="I50" s="189">
        <v>0</v>
      </c>
      <c r="J50" s="198">
        <v>3100</v>
      </c>
      <c r="K50" s="189">
        <f t="shared" si="9"/>
        <v>3100</v>
      </c>
      <c r="L50" s="198"/>
      <c r="M50" s="189">
        <f t="shared" si="10"/>
        <v>3100</v>
      </c>
      <c r="N50" s="198"/>
      <c r="O50" s="189">
        <f t="shared" si="11"/>
        <v>3100</v>
      </c>
      <c r="P50" s="198"/>
      <c r="Q50" s="189">
        <f t="shared" si="12"/>
        <v>3100</v>
      </c>
      <c r="R50" s="198"/>
      <c r="S50" s="189">
        <f t="shared" si="13"/>
        <v>3100</v>
      </c>
    </row>
    <row r="51" spans="1:19" ht="46.5" customHeight="1">
      <c r="A51" s="195">
        <v>926</v>
      </c>
      <c r="B51" s="195">
        <v>92605</v>
      </c>
      <c r="C51" s="195">
        <v>2820</v>
      </c>
      <c r="D51" s="196" t="s">
        <v>407</v>
      </c>
      <c r="E51" s="196" t="s">
        <v>408</v>
      </c>
      <c r="F51" s="197" t="s">
        <v>277</v>
      </c>
      <c r="G51" s="198"/>
      <c r="H51" s="198"/>
      <c r="I51" s="189">
        <v>0</v>
      </c>
      <c r="J51" s="198">
        <v>2500</v>
      </c>
      <c r="K51" s="189">
        <f t="shared" si="9"/>
        <v>2500</v>
      </c>
      <c r="L51" s="198"/>
      <c r="M51" s="189">
        <f t="shared" si="10"/>
        <v>2500</v>
      </c>
      <c r="N51" s="198"/>
      <c r="O51" s="189">
        <f t="shared" si="11"/>
        <v>2500</v>
      </c>
      <c r="P51" s="198"/>
      <c r="Q51" s="189">
        <f t="shared" si="12"/>
        <v>2500</v>
      </c>
      <c r="R51" s="198"/>
      <c r="S51" s="189">
        <f t="shared" si="13"/>
        <v>2500</v>
      </c>
    </row>
    <row r="52" spans="1:19" ht="45" customHeight="1">
      <c r="A52" s="195">
        <v>926</v>
      </c>
      <c r="B52" s="195">
        <v>92605</v>
      </c>
      <c r="C52" s="195">
        <v>2820</v>
      </c>
      <c r="D52" s="196" t="s">
        <v>409</v>
      </c>
      <c r="E52" s="196" t="s">
        <v>408</v>
      </c>
      <c r="F52" s="197" t="s">
        <v>277</v>
      </c>
      <c r="G52" s="198"/>
      <c r="H52" s="198"/>
      <c r="I52" s="189">
        <v>0</v>
      </c>
      <c r="J52" s="198">
        <v>9000</v>
      </c>
      <c r="K52" s="189">
        <f t="shared" si="9"/>
        <v>9000</v>
      </c>
      <c r="L52" s="198"/>
      <c r="M52" s="189">
        <f t="shared" si="10"/>
        <v>9000</v>
      </c>
      <c r="N52" s="198"/>
      <c r="O52" s="189">
        <f t="shared" si="11"/>
        <v>9000</v>
      </c>
      <c r="P52" s="198"/>
      <c r="Q52" s="189">
        <f t="shared" si="12"/>
        <v>9000</v>
      </c>
      <c r="R52" s="198"/>
      <c r="S52" s="189">
        <f t="shared" si="13"/>
        <v>9000</v>
      </c>
    </row>
    <row r="53" spans="1:19" ht="28.5" customHeight="1">
      <c r="A53" s="195">
        <v>926</v>
      </c>
      <c r="B53" s="195">
        <v>92605</v>
      </c>
      <c r="C53" s="195">
        <v>2820</v>
      </c>
      <c r="D53" s="196" t="s">
        <v>409</v>
      </c>
      <c r="E53" s="196" t="s">
        <v>406</v>
      </c>
      <c r="F53" s="197" t="s">
        <v>277</v>
      </c>
      <c r="G53" s="198"/>
      <c r="H53" s="198"/>
      <c r="I53" s="189">
        <v>0</v>
      </c>
      <c r="J53" s="198">
        <v>2000</v>
      </c>
      <c r="K53" s="189">
        <f t="shared" si="9"/>
        <v>2000</v>
      </c>
      <c r="L53" s="198"/>
      <c r="M53" s="189">
        <f t="shared" si="10"/>
        <v>2000</v>
      </c>
      <c r="N53" s="198"/>
      <c r="O53" s="189">
        <f t="shared" si="11"/>
        <v>2000</v>
      </c>
      <c r="P53" s="198"/>
      <c r="Q53" s="189">
        <f t="shared" si="12"/>
        <v>2000</v>
      </c>
      <c r="R53" s="198"/>
      <c r="S53" s="189">
        <f t="shared" si="13"/>
        <v>2000</v>
      </c>
    </row>
    <row r="54" spans="1:19" ht="28.5" customHeight="1">
      <c r="A54" s="195">
        <v>926</v>
      </c>
      <c r="B54" s="195">
        <v>92605</v>
      </c>
      <c r="C54" s="195">
        <v>2820</v>
      </c>
      <c r="D54" s="196" t="s">
        <v>410</v>
      </c>
      <c r="E54" s="196" t="s">
        <v>406</v>
      </c>
      <c r="F54" s="197" t="s">
        <v>277</v>
      </c>
      <c r="G54" s="198"/>
      <c r="H54" s="198"/>
      <c r="I54" s="189">
        <v>0</v>
      </c>
      <c r="J54" s="198">
        <v>1520</v>
      </c>
      <c r="K54" s="189">
        <f t="shared" si="9"/>
        <v>1520</v>
      </c>
      <c r="L54" s="198"/>
      <c r="M54" s="189">
        <f t="shared" si="10"/>
        <v>1520</v>
      </c>
      <c r="N54" s="198"/>
      <c r="O54" s="189">
        <f t="shared" si="11"/>
        <v>1520</v>
      </c>
      <c r="P54" s="198"/>
      <c r="Q54" s="189">
        <f t="shared" si="12"/>
        <v>1520</v>
      </c>
      <c r="R54" s="198"/>
      <c r="S54" s="189">
        <f t="shared" si="13"/>
        <v>1520</v>
      </c>
    </row>
    <row r="55" spans="1:19" ht="28.5" customHeight="1">
      <c r="A55" s="195">
        <v>926</v>
      </c>
      <c r="B55" s="195">
        <v>92605</v>
      </c>
      <c r="C55" s="195">
        <v>2820</v>
      </c>
      <c r="D55" s="196" t="s">
        <v>410</v>
      </c>
      <c r="E55" s="196" t="s">
        <v>411</v>
      </c>
      <c r="F55" s="197" t="s">
        <v>277</v>
      </c>
      <c r="G55" s="198"/>
      <c r="H55" s="198"/>
      <c r="I55" s="189">
        <v>0</v>
      </c>
      <c r="J55" s="198">
        <v>1000</v>
      </c>
      <c r="K55" s="189">
        <f t="shared" si="9"/>
        <v>1000</v>
      </c>
      <c r="L55" s="198"/>
      <c r="M55" s="189">
        <f t="shared" si="10"/>
        <v>1000</v>
      </c>
      <c r="N55" s="198"/>
      <c r="O55" s="189">
        <f t="shared" si="11"/>
        <v>1000</v>
      </c>
      <c r="P55" s="198"/>
      <c r="Q55" s="189">
        <f t="shared" si="12"/>
        <v>1000</v>
      </c>
      <c r="R55" s="198"/>
      <c r="S55" s="189">
        <f t="shared" si="13"/>
        <v>1000</v>
      </c>
    </row>
    <row r="56" spans="1:19" ht="28.5" customHeight="1">
      <c r="A56" s="195">
        <v>926</v>
      </c>
      <c r="B56" s="195">
        <v>92605</v>
      </c>
      <c r="C56" s="195">
        <v>2820</v>
      </c>
      <c r="D56" s="196" t="s">
        <v>412</v>
      </c>
      <c r="E56" s="196" t="s">
        <v>406</v>
      </c>
      <c r="F56" s="197" t="s">
        <v>277</v>
      </c>
      <c r="G56" s="198"/>
      <c r="H56" s="198"/>
      <c r="I56" s="189">
        <v>0</v>
      </c>
      <c r="J56" s="198">
        <v>880</v>
      </c>
      <c r="K56" s="189">
        <f t="shared" si="9"/>
        <v>880</v>
      </c>
      <c r="L56" s="198"/>
      <c r="M56" s="189">
        <f t="shared" si="10"/>
        <v>880</v>
      </c>
      <c r="N56" s="198"/>
      <c r="O56" s="189">
        <f t="shared" si="11"/>
        <v>880</v>
      </c>
      <c r="P56" s="198"/>
      <c r="Q56" s="189">
        <f t="shared" si="12"/>
        <v>880</v>
      </c>
      <c r="R56" s="198"/>
      <c r="S56" s="189">
        <f t="shared" si="13"/>
        <v>880</v>
      </c>
    </row>
    <row r="57" spans="1:19" ht="36" customHeight="1">
      <c r="A57" s="195">
        <v>926</v>
      </c>
      <c r="B57" s="195">
        <v>92605</v>
      </c>
      <c r="C57" s="195">
        <v>2820</v>
      </c>
      <c r="D57" s="196" t="s">
        <v>413</v>
      </c>
      <c r="E57" s="196" t="s">
        <v>406</v>
      </c>
      <c r="F57" s="197" t="s">
        <v>277</v>
      </c>
      <c r="G57" s="198"/>
      <c r="H57" s="198"/>
      <c r="I57" s="189">
        <v>0</v>
      </c>
      <c r="J57" s="198">
        <v>5000</v>
      </c>
      <c r="K57" s="189">
        <f t="shared" si="9"/>
        <v>5000</v>
      </c>
      <c r="L57" s="198"/>
      <c r="M57" s="189">
        <f t="shared" si="10"/>
        <v>5000</v>
      </c>
      <c r="N57" s="198"/>
      <c r="O57" s="189">
        <f t="shared" si="11"/>
        <v>5000</v>
      </c>
      <c r="P57" s="198"/>
      <c r="Q57" s="189">
        <f t="shared" si="12"/>
        <v>5000</v>
      </c>
      <c r="R57" s="198"/>
      <c r="S57" s="189">
        <f t="shared" si="13"/>
        <v>5000</v>
      </c>
    </row>
    <row r="58" spans="1:19" ht="28.5" customHeight="1">
      <c r="A58" s="195">
        <v>926</v>
      </c>
      <c r="B58" s="195">
        <v>92605</v>
      </c>
      <c r="C58" s="195">
        <v>2820</v>
      </c>
      <c r="D58" s="196" t="s">
        <v>414</v>
      </c>
      <c r="E58" s="196" t="s">
        <v>406</v>
      </c>
      <c r="F58" s="197" t="s">
        <v>277</v>
      </c>
      <c r="G58" s="198"/>
      <c r="H58" s="198"/>
      <c r="I58" s="189">
        <v>0</v>
      </c>
      <c r="J58" s="198">
        <v>1500</v>
      </c>
      <c r="K58" s="189">
        <f t="shared" si="9"/>
        <v>1500</v>
      </c>
      <c r="L58" s="198"/>
      <c r="M58" s="189">
        <f t="shared" si="10"/>
        <v>1500</v>
      </c>
      <c r="N58" s="198"/>
      <c r="O58" s="189">
        <f t="shared" si="11"/>
        <v>1500</v>
      </c>
      <c r="P58" s="198"/>
      <c r="Q58" s="189">
        <f t="shared" si="12"/>
        <v>1500</v>
      </c>
      <c r="R58" s="198"/>
      <c r="S58" s="189">
        <f t="shared" si="13"/>
        <v>1500</v>
      </c>
    </row>
    <row r="59" spans="1:19" ht="28.5" customHeight="1">
      <c r="A59" s="195">
        <v>926</v>
      </c>
      <c r="B59" s="195">
        <v>92605</v>
      </c>
      <c r="C59" s="195">
        <v>2820</v>
      </c>
      <c r="D59" s="196" t="s">
        <v>415</v>
      </c>
      <c r="E59" s="196" t="s">
        <v>406</v>
      </c>
      <c r="F59" s="197" t="s">
        <v>277</v>
      </c>
      <c r="G59" s="198"/>
      <c r="H59" s="198"/>
      <c r="I59" s="189">
        <v>0</v>
      </c>
      <c r="J59" s="198">
        <v>1500</v>
      </c>
      <c r="K59" s="189">
        <f t="shared" si="9"/>
        <v>1500</v>
      </c>
      <c r="L59" s="198"/>
      <c r="M59" s="189">
        <f t="shared" si="10"/>
        <v>1500</v>
      </c>
      <c r="N59" s="198"/>
      <c r="O59" s="189">
        <f t="shared" si="11"/>
        <v>1500</v>
      </c>
      <c r="P59" s="198"/>
      <c r="Q59" s="189">
        <f t="shared" si="12"/>
        <v>1500</v>
      </c>
      <c r="R59" s="198"/>
      <c r="S59" s="189">
        <f t="shared" si="13"/>
        <v>1500</v>
      </c>
    </row>
    <row r="60" spans="1:19" ht="37.5" customHeight="1">
      <c r="A60" s="195">
        <v>926</v>
      </c>
      <c r="B60" s="195">
        <v>92605</v>
      </c>
      <c r="C60" s="195">
        <v>2820</v>
      </c>
      <c r="D60" s="196" t="s">
        <v>416</v>
      </c>
      <c r="E60" s="196" t="s">
        <v>411</v>
      </c>
      <c r="F60" s="197" t="s">
        <v>277</v>
      </c>
      <c r="G60" s="198"/>
      <c r="H60" s="198"/>
      <c r="I60" s="189">
        <v>0</v>
      </c>
      <c r="J60" s="198">
        <v>2000</v>
      </c>
      <c r="K60" s="189">
        <f t="shared" si="9"/>
        <v>2000</v>
      </c>
      <c r="L60" s="198"/>
      <c r="M60" s="189">
        <f t="shared" si="10"/>
        <v>2000</v>
      </c>
      <c r="N60" s="198"/>
      <c r="O60" s="189">
        <f t="shared" si="11"/>
        <v>2000</v>
      </c>
      <c r="P60" s="198"/>
      <c r="Q60" s="189">
        <f t="shared" si="12"/>
        <v>2000</v>
      </c>
      <c r="R60" s="198"/>
      <c r="S60" s="189">
        <f t="shared" si="13"/>
        <v>2000</v>
      </c>
    </row>
    <row r="61" spans="1:19" ht="21.75" customHeight="1">
      <c r="A61" s="318"/>
      <c r="B61" s="319"/>
      <c r="C61" s="319"/>
      <c r="D61" s="319"/>
      <c r="E61" s="320"/>
      <c r="F61" s="203" t="s">
        <v>68</v>
      </c>
      <c r="G61" s="199">
        <f>SUM(G35:G40)</f>
        <v>1103580</v>
      </c>
      <c r="H61" s="199">
        <f>SUM(H35:H40)</f>
        <v>47545</v>
      </c>
      <c r="I61" s="199">
        <f aca="true" t="shared" si="14" ref="I61:O61">SUM(I35:I60)</f>
        <v>1151125</v>
      </c>
      <c r="J61" s="199">
        <f t="shared" si="14"/>
        <v>400000</v>
      </c>
      <c r="K61" s="199">
        <f t="shared" si="14"/>
        <v>1551125</v>
      </c>
      <c r="L61" s="199">
        <f t="shared" si="14"/>
        <v>0</v>
      </c>
      <c r="M61" s="199">
        <f t="shared" si="14"/>
        <v>1551125</v>
      </c>
      <c r="N61" s="199">
        <f t="shared" si="14"/>
        <v>0</v>
      </c>
      <c r="O61" s="199">
        <f t="shared" si="14"/>
        <v>1551125</v>
      </c>
      <c r="P61" s="199">
        <f>SUM(P35:P60)</f>
        <v>28000</v>
      </c>
      <c r="Q61" s="199">
        <f>SUM(Q35:Q60)</f>
        <v>1579125</v>
      </c>
      <c r="R61" s="199">
        <f>SUM(R35:R60)</f>
        <v>0</v>
      </c>
      <c r="S61" s="199">
        <f>SUM(S35:S60)</f>
        <v>1579125</v>
      </c>
    </row>
    <row r="62" spans="1:19" ht="31.5" customHeight="1">
      <c r="A62" s="128"/>
      <c r="B62" s="128"/>
      <c r="C62" s="128"/>
      <c r="D62" s="128"/>
      <c r="E62" s="317" t="s">
        <v>305</v>
      </c>
      <c r="F62" s="317"/>
      <c r="G62" s="243">
        <f aca="true" t="shared" si="15" ref="G62:Q62">SUM(G32,G61)</f>
        <v>7582740</v>
      </c>
      <c r="H62" s="243">
        <f t="shared" si="15"/>
        <v>47545</v>
      </c>
      <c r="I62" s="243">
        <f t="shared" si="15"/>
        <v>7630285</v>
      </c>
      <c r="J62" s="243">
        <f t="shared" si="15"/>
        <v>523493</v>
      </c>
      <c r="K62" s="243">
        <f t="shared" si="15"/>
        <v>8153778</v>
      </c>
      <c r="L62" s="243">
        <f t="shared" si="15"/>
        <v>127220</v>
      </c>
      <c r="M62" s="243">
        <f t="shared" si="15"/>
        <v>8280998</v>
      </c>
      <c r="N62" s="243">
        <f t="shared" si="15"/>
        <v>20930</v>
      </c>
      <c r="O62" s="243">
        <f t="shared" si="15"/>
        <v>8301928</v>
      </c>
      <c r="P62" s="243">
        <f t="shared" si="15"/>
        <v>40000</v>
      </c>
      <c r="Q62" s="243">
        <f t="shared" si="15"/>
        <v>8341928</v>
      </c>
      <c r="R62" s="243">
        <f>SUM(R32,R61)</f>
        <v>60000</v>
      </c>
      <c r="S62" s="243">
        <f>SUM(S32,S61)</f>
        <v>8401928</v>
      </c>
    </row>
    <row r="63" ht="12.75">
      <c r="E63" s="253"/>
    </row>
    <row r="64" ht="12.75">
      <c r="E64" s="253"/>
    </row>
  </sheetData>
  <sheetProtection/>
  <mergeCells count="9">
    <mergeCell ref="A5:G5"/>
    <mergeCell ref="A33:G33"/>
    <mergeCell ref="A6:G6"/>
    <mergeCell ref="E62:F62"/>
    <mergeCell ref="A61:E61"/>
    <mergeCell ref="A32:E32"/>
    <mergeCell ref="A8:K8"/>
    <mergeCell ref="A13:K13"/>
    <mergeCell ref="A34:K34"/>
  </mergeCells>
  <printOptions horizontalCentered="1"/>
  <pageMargins left="0.5118110236220472" right="0.5118110236220472" top="0.5905511811023623" bottom="0.5905511811023623" header="0.5118110236220472" footer="0.31496062992125984"/>
  <pageSetup firstPageNumber="1" useFirstPageNumber="1" horizontalDpi="600" verticalDpi="600" orientation="landscape" paperSize="9" scale="95" r:id="rId1"/>
  <headerFooter alignWithMargins="0">
    <oddFooter>&amp;C&amp;8Dotacje przekazywane - str.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Tomasz Witkowski</cp:lastModifiedBy>
  <cp:lastPrinted>2010-07-23T08:29:40Z</cp:lastPrinted>
  <dcterms:created xsi:type="dcterms:W3CDTF">2002-10-21T08:56:44Z</dcterms:created>
  <dcterms:modified xsi:type="dcterms:W3CDTF">2010-08-17T10:55:19Z</dcterms:modified>
  <cp:category/>
  <cp:version/>
  <cp:contentType/>
  <cp:contentStatus/>
</cp:coreProperties>
</file>