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Ą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Arkusz1" sheetId="14" r:id="rId14"/>
    <sheet name="Arkusz2" sheetId="15" r:id="rId15"/>
  </sheets>
  <definedNames>
    <definedName name="_xlnm.Print_Area" localSheetId="8">'ZAŁ. NR 9'!$A:$IV</definedName>
    <definedName name="_xlnm.Print_Titles" localSheetId="0">'ZAŁ. NR 1'!$6:$6</definedName>
    <definedName name="_xlnm.Print_Titles" localSheetId="1">'ZAŁ. NR 2'!$6:$6</definedName>
    <definedName name="_xlnm.Print_Titles" localSheetId="2">'ZAŁ. NR 3'!$6:$6</definedName>
    <definedName name="_xlnm.Print_Titles" localSheetId="4">'ZAŁ. NR 5'!$6:$6</definedName>
    <definedName name="_xlnm.Print_Titles" localSheetId="6">'ZAŁ. NR 7'!$6:$6</definedName>
    <definedName name="_xlnm.Print_Titles" localSheetId="7">'ZAŁ. NR 8'!$6:$6</definedName>
    <definedName name="_xlnm.Print_Titles" localSheetId="8">'ZAŁ. NR 9'!$7:$7</definedName>
    <definedName name="_xlnm.Print_Titles" localSheetId="5">'ZĄŁ. NR 6'!$6:$6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F171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<sst xmlns="http://schemas.openxmlformats.org/spreadsheetml/2006/main" count="1252" uniqueCount="460">
  <si>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</si>
  <si>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</si>
  <si>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</si>
  <si>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</si>
  <si>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</si>
  <si>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</si>
  <si>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</si>
  <si>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</si>
  <si>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</si>
  <si>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</si>
  <si>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</si>
  <si>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</si>
  <si>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</si>
  <si>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</si>
  <si>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</si>
  <si>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</si>
  <si>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</si>
  <si>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</si>
  <si>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</si>
  <si>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</si>
  <si>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</si>
  <si>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</si>
  <si>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</si>
  <si>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</si>
  <si>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</si>
  <si>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</si>
  <si>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</si>
  <si>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</si>
  <si>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</si>
  <si>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</si>
  <si>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</si>
  <si>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</si>
  <si>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</si>
  <si>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</si>
  <si>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</si>
  <si>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</si>
  <si>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</si>
  <si>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</si>
  <si>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</si>
  <si>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</si>
  <si>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</si>
  <si>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</si>
  <si>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</si>
  <si>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</si>
  <si>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</si>
  <si>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</si>
  <si>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</si>
  <si>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</si>
  <si>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</si>
  <si>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</si>
  <si>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</si>
  <si>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</si>
  <si>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</si>
  <si>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</si>
  <si>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</si>
  <si>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</si>
  <si>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</si>
  <si>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</si>
  <si>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</si>
  <si>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</si>
  <si>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</si>
  <si>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</si>
  <si>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</si>
  <si>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</si>
  <si>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</si>
  <si>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</si>
  <si>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</si>
  <si>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</si>
  <si>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</si>
  <si>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</si>
  <si>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</si>
  <si>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</si>
  <si>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</si>
  <si>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</si>
  <si>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</si>
  <si>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</si>
  <si>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</si>
  <si>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</si>
  <si>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</si>
  <si>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</si>
  <si>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</si>
  <si>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</si>
  <si>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</si>
  <si>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</si>
  <si>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</si>
  <si>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</si>
  <si>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</si>
  <si>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</si>
  <si>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</si>
  <si>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</si>
  <si>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</si>
  <si>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</si>
  <si>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</si>
  <si>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</si>
  <si>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</si>
  <si>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</si>
  <si>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</si>
  <si>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</si>
  <si>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</si>
  <si>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</si>
  <si>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</si>
  <si>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</si>
  <si>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</si>
  <si>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</si>
  <si>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</si>
  <si>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</si>
  <si>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</si>
  <si>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</si>
  <si>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</si>
  <si>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</si>
  <si>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</si>
  <si>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</si>
  <si>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</si>
  <si>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</si>
  <si>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</si>
  <si>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</si>
  <si>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</si>
  <si>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</si>
  <si>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</si>
  <si>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</si>
  <si>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</si>
  <si>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</si>
  <si>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</si>
  <si>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</si>
  <si>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</si>
  <si>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</si>
  <si>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</si>
  <si>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</si>
  <si>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</si>
  <si>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</si>
  <si>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</si>
  <si>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</si>
  <si>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</si>
  <si>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</si>
  <si>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</si>
  <si>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</si>
  <si>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</si>
  <si>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</si>
  <si>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</si>
  <si>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</si>
  <si>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</si>
  <si>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</si>
  <si>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</si>
  <si>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</si>
  <si>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</si>
  <si>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</si>
  <si>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</si>
  <si>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</si>
  <si>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</si>
  <si>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</si>
  <si>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spłaty otrzymanych krajowych pożyczek i kredytów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</si>
  <si>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</si>
  <si>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</si>
  <si>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</si>
  <si>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</si>
  <si>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</si>
  <si>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</si>
  <si>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</si>
  <si>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</si>
  <si>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</si>
  <si>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</si>
  <si>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</si>
  <si>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</si>
  <si>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</si>
  <si>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</si>
  <si>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</si>
  <si>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</si>
  <si>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</si>
  <si>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</si>
  <si>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</si>
  <si>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</si>
  <si>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</si>
  <si>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</si>
  <si>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</si>
  <si>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</si>
  <si>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</si>
  <si>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</si>
  <si>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</si>
  <si>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</si>
  <si>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</si>
  <si>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</si>
  <si>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</si>
  <si>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</si>
  <si>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</si>
  <si>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</si>
  <si>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</si>
  <si>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</si>
  <si>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</si>
  <si>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</si>
  <si>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</si>
  <si>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</si>
  <si>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</si>
  <si>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</si>
  <si>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</si>
  <si>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</si>
  <si>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</si>
  <si>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</si>
  <si>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</si>
  <si>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</si>
  <si>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Załącznik Nr 3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</si>
  <si>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</si>
  <si>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</si>
  <si>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</si>
  <si>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</si>
  <si>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</si>
  <si>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</si>
  <si>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</si>
  <si>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</si>
  <si>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zwiększenia</t>
  </si>
  <si>
    <t>zmniejszenia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</si>
  <si>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</si>
  <si>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</si>
  <si>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</si>
  <si>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</si>
  <si>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</si>
  <si>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</si>
  <si>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</si>
  <si>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</si>
  <si>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</si>
  <si>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przychody z zaciągniętych pożyczek na finansowanie zadań realizowanych z udziałem środków pochodzących z budżetu Unii Eropejskiej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</si>
  <si>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</si>
  <si>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</si>
  <si>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</si>
  <si>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</si>
  <si>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</si>
  <si>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</si>
  <si>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</si>
  <si>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</si>
  <si>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</si>
  <si>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</si>
  <si>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</si>
  <si>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</si>
  <si>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</si>
  <si>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</si>
  <si>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Załącznik Nr 5</t>
  </si>
  <si>
    <t>Załącznik Nr 7</t>
  </si>
  <si>
    <t>Załącznik Nr 10</t>
  </si>
  <si>
    <t xml:space="preserve">      Ochrona zdrowia</t>
  </si>
  <si>
    <t>zasiłki i pomoc w naturze oraz składki na ubezpieczenia emerytalne i rentowe</t>
  </si>
  <si>
    <t>zwalczanie narkomanii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</si>
  <si>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</si>
  <si>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</si>
  <si>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</si>
  <si>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</si>
  <si>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</si>
  <si>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</si>
  <si>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</si>
  <si>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</si>
  <si>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</si>
  <si>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Załącznik Nr 6</t>
  </si>
  <si>
    <t>Załącznik Nr 9</t>
  </si>
  <si>
    <t xml:space="preserve">Przychody Gminnego Funduszu Ochrony Środowiska i Gospodarki Wodnej </t>
  </si>
  <si>
    <t>Fundusz Ochrony Środowiska i Gospodarki Wodnej</t>
  </si>
  <si>
    <t xml:space="preserve">Wydatki Gminnego Funduszu Ochrony Środowiska i Gospodarki Wodnej </t>
  </si>
  <si>
    <t>fundusz obrotowy na koniec roku</t>
  </si>
  <si>
    <t>L.p.</t>
  </si>
  <si>
    <t>Nazwa programu lub zadania z kontraktu</t>
  </si>
  <si>
    <t>Cel</t>
  </si>
  <si>
    <t>Jendostka organizacyjna odpowiedzialna za realizację lub koordynująca</t>
  </si>
  <si>
    <t>Okres realizacji                               (w latach)</t>
  </si>
  <si>
    <t>Łączne nakłady finansowe</t>
  </si>
  <si>
    <t>Wydatki</t>
  </si>
  <si>
    <t>1.</t>
  </si>
  <si>
    <t>Urząd Miejski Trzcianki</t>
  </si>
  <si>
    <t>3.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</si>
  <si>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</si>
  <si>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</si>
  <si>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</si>
  <si>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</si>
  <si>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</si>
  <si>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</si>
  <si>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</si>
  <si>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</si>
  <si>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Załacznik Nr 4</t>
  </si>
  <si>
    <t>Nazwa jednostki</t>
  </si>
  <si>
    <t>Zakres dotacji</t>
  </si>
  <si>
    <t>Kwota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</si>
  <si>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</si>
  <si>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</si>
  <si>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</si>
  <si>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</si>
  <si>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Oddział Przedszkolny przy Katolickiej Szkole Podstawowej św. Siostry Faustyny w Trzciance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</si>
  <si>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</si>
  <si>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</si>
  <si>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</si>
  <si>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</si>
  <si>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 xml:space="preserve">Starostwo Powiatowe </t>
  </si>
  <si>
    <t>Starostwo Powiatowe</t>
  </si>
  <si>
    <t>utrzymanie pracownika ZNP</t>
  </si>
  <si>
    <t xml:space="preserve">Zakłady budżetowe 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</si>
  <si>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</si>
  <si>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</si>
  <si>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</si>
  <si>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</si>
  <si>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</si>
  <si>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</si>
  <si>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</si>
  <si>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</si>
  <si>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</si>
  <si>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Rozdział</t>
  </si>
  <si>
    <t>przedszkola</t>
  </si>
  <si>
    <t>wpływy z tytułu przekształcenia prawa użytkowania wieczystego przysługującego osobom fizycznym 
w prawo własności</t>
  </si>
  <si>
    <t>rekompensaty utraconych dochodów w podatkach
 i opłatach lokalnych</t>
  </si>
  <si>
    <t>zakup usług obejmujących wykonanie ekspertyz, analiz
 i opinii</t>
  </si>
  <si>
    <t>zakup akcesoriów komputerowych, w tym programów
 i licencji</t>
  </si>
  <si>
    <t>Załącznik Nr 12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</si>
  <si>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</si>
  <si>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</si>
  <si>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</si>
  <si>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</si>
  <si>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</si>
  <si>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</si>
  <si>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</si>
  <si>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</si>
  <si>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</si>
  <si>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</si>
  <si>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</si>
  <si>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</si>
  <si>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</si>
  <si>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</si>
  <si>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</si>
  <si>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Biała</t>
  </si>
  <si>
    <t>Sołectwo Biernatowo</t>
  </si>
  <si>
    <t>Sołectwo Niekursko</t>
  </si>
  <si>
    <t>Sołectwo Radolin</t>
  </si>
  <si>
    <t>Sołectwo Stobno</t>
  </si>
  <si>
    <t>Sołectwo Straduń</t>
  </si>
  <si>
    <t>Sołectwo Wapniarnia III</t>
  </si>
  <si>
    <t>Sołectwo Teresin</t>
  </si>
  <si>
    <t>Sołectwo Wrząca</t>
  </si>
  <si>
    <t>kolonie i obozy oraz inne formy wypoczynku dzieci i młodzieży</t>
  </si>
  <si>
    <t>prowadzenie gimnazjum</t>
  </si>
  <si>
    <t>zakup worków na nieczystości</t>
  </si>
  <si>
    <t>zakup drzew i krzewów</t>
  </si>
  <si>
    <t>popularyzacja wiedzy o środowisku</t>
  </si>
  <si>
    <t>wywóz pojemników na szkło</t>
  </si>
  <si>
    <t>aktualizacja programu ochrony środowiska</t>
  </si>
  <si>
    <t>program usuwania azbestu</t>
  </si>
  <si>
    <t>nasadzenia drzew i krzewów</t>
  </si>
  <si>
    <t>wywóz kontenerów na wsiach</t>
  </si>
  <si>
    <t>utrzymanie terenów zielonych nad jeziorem Sarcz, Logo, Parka Grottgera</t>
  </si>
  <si>
    <t>koszty prowadzenia rachunku bankowego</t>
  </si>
  <si>
    <t>0370</t>
  </si>
  <si>
    <t>opłata od posiadania psów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</si>
  <si>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</si>
  <si>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</si>
  <si>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</si>
  <si>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</si>
  <si>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</si>
  <si>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</si>
  <si>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dofinansowanie działalności Warsztatów Terapii Zajęciowej</t>
  </si>
  <si>
    <t>składki na ubezpieczenie zdrowotne opłacane za osoby pobierające niektóre świadczenia z pomocy społecznej, niektóre świadczenia rodzinne oraz za osoby uczestniczące 
w zajęciach w centrum integracji społecznej</t>
  </si>
  <si>
    <t xml:space="preserve">wpływy z podatku rolnego, podatku leśnego,podatku od spadków i darowizn, podatku od czynności cywilnoprawnych oraz podatków i opłat lokalnych od osób fizycznych </t>
  </si>
  <si>
    <t>dochody z najmu i dzierżawy składników majątkowych Skarbu Państwa, jednostek samorządu terytorialnego lub  innych jednostek zaliczanych do sektora finansów publicznych oraz innych umów 
o podobnym charakterze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</si>
  <si>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</si>
  <si>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</si>
  <si>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2.</t>
  </si>
  <si>
    <t>Wykupy nieruchomości (obowiązkowe wykupy działek pod drogi)</t>
  </si>
  <si>
    <t>2009-2010</t>
  </si>
  <si>
    <t>2009-2011</t>
  </si>
  <si>
    <t xml:space="preserve">lata finansowania </t>
  </si>
  <si>
    <t>Rozbudowa gimnazjum i sali sportowej przy Gimnazjum w Siedlisku</t>
  </si>
  <si>
    <t>budowa bazy rekreacyjno - sportowej</t>
  </si>
  <si>
    <t>ochrona środowiska, uzbrojenia terenów</t>
  </si>
  <si>
    <t>Załącznik Nr 13</t>
  </si>
  <si>
    <t>dotacja celowa na pomoc finansową udzielaną między jednostkami samorządu terytorialnego na dofinansowanie własnych zadań bieżących</t>
  </si>
  <si>
    <t>Załącznik Nr 8</t>
  </si>
  <si>
    <t>różnica</t>
  </si>
  <si>
    <t>wykup nieruchomości i działek po zmianach w planie</t>
  </si>
  <si>
    <t>Dochody i wydatki na rok 2010 z tytułu opłat za wydawanie zezwoleń na sprzedaż napojów alkoholowych oraz wydatki na realizację zadań określonych w programie profilaktyki i rozwiązywania problemów alkoholowych</t>
  </si>
  <si>
    <t>świadczenia rodzinne, świadczenia z funduszu alimentacyjnego oraz składki na ubezpieczenia emerytalne i rentowe z ubezpieczenia społecznego</t>
  </si>
  <si>
    <t>I. Dotacje dla jednostek sektora finansów publicznych</t>
  </si>
  <si>
    <t>II. Dotacje dla jednostek spoza sektora finansów publicznych</t>
  </si>
  <si>
    <t>prowadzenie szkoły podstawowej</t>
  </si>
  <si>
    <t>prowadzenie oddziału przedszkolnego przy szkole podstawowej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</si>
  <si>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</si>
  <si>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</si>
  <si>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</si>
  <si>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</si>
  <si>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</si>
  <si>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</si>
  <si>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</si>
  <si>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konserwacje i remonty rowów meliracyjnych będących własnością gminy Trzcianka</t>
  </si>
  <si>
    <t xml:space="preserve">rozbudowa gimnazjum w Siedlisku z budową sali gimnastycznej </t>
  </si>
  <si>
    <t>termomodernizacja Gimnazjum Nr 1</t>
  </si>
  <si>
    <t>termomodernizacja Szkoły Podstawowej Nr 3</t>
  </si>
  <si>
    <t>Parafia Rzymskokatolicka  pw. Trójcy Świętej w Róży Wielkiej</t>
  </si>
  <si>
    <t>prace konserwatorskie i roboty budowlane przy kościele zabytkowym p.w. Matki Bożej Królowej Polski w Łomnicy</t>
  </si>
  <si>
    <t>buodwa chodnika w Siedlisku (wydatek z funduszu sołeckiego)</t>
  </si>
  <si>
    <t>Wydatki z funduszu sołeckiego - plan na 2010 rok</t>
  </si>
  <si>
    <t>utrzymanie zieleni w miastach  i gminach</t>
  </si>
  <si>
    <t>01041</t>
  </si>
  <si>
    <t>budowa sali przy Gimnzajum Nr 2</t>
  </si>
  <si>
    <t>PT termomodernizacji Gimnzajum Nr 2 i Szkoły Podstawowej Nr 2</t>
  </si>
  <si>
    <t>budowa chodnika w Radolinie</t>
  </si>
  <si>
    <t>przebudowa parkingu przy ul. Kościuszki I etap</t>
  </si>
  <si>
    <t>budowa zjazdu z ul. Sikorskiego do bloków na ul. Sikorskiego 25-27</t>
  </si>
  <si>
    <t>budowa zjazdów z ul. Łomnickiej na osiedla przy jez. Okunie</t>
  </si>
  <si>
    <t>wykupy nieruchomości</t>
  </si>
  <si>
    <t>zakup samochodu dla OSP Nowa Wieś</t>
  </si>
  <si>
    <t>Info Kiosk</t>
  </si>
  <si>
    <t>rezerwa na współpracę z ZDP</t>
  </si>
  <si>
    <t>budowa placów zabaw</t>
  </si>
  <si>
    <t xml:space="preserve">wniesienie udziałów do Spółki Z.I.K. Sp. z o.o. </t>
  </si>
  <si>
    <t>budowa boiska w Białej</t>
  </si>
  <si>
    <t>budowa boiska "ORLIK"</t>
  </si>
  <si>
    <t>działalność instytucji kultury - porozumienie</t>
  </si>
  <si>
    <t>zakup taśmy przeciwko szkodnikom drzew</t>
  </si>
  <si>
    <t>projekt i wykonanie sieci teleinformatycznej</t>
  </si>
  <si>
    <t>Program Rozwoju Obszarów Wiejskich 2007 - 2013</t>
  </si>
  <si>
    <t>rózne opłaty i składki</t>
  </si>
  <si>
    <t>Podsumowanie I i II.</t>
  </si>
  <si>
    <t>wniesienie udziałów do Spółki OSIR Sp. z o.o.</t>
  </si>
  <si>
    <t>Wydatki majątkowe - plan na 2010 rok</t>
  </si>
  <si>
    <t xml:space="preserve">Wydatki  budżetu gminy Trzcianka - plan na 2010 rok </t>
  </si>
  <si>
    <t>Dochody budżetu gminy Trzcianka - plan na 2010 rok</t>
  </si>
  <si>
    <t xml:space="preserve">Dotacje otrzymywane do budżetu - plan na 2010 rok                                    </t>
  </si>
  <si>
    <t>Zestawienie planowanych kwot dotacji udzielanych z budżetu gminy - plan na 2010 rok</t>
  </si>
  <si>
    <t>Wydatki związane z realizacją zadań z zakresu administracji rządowej i innych zadań zleconych ustawami - plan na 2010 rok</t>
  </si>
  <si>
    <t>Wydatki związane z realizacją zadań wspólnych realizowanych 
w drodze umów lub porozumień między jednostkami samorządu terytorialnego - plan na 2010 rok</t>
  </si>
  <si>
    <t>Przychody i rozchody - plan na 2010 rok</t>
  </si>
  <si>
    <t>Przychody i wydatki Gminnego Funduszu Ochrony Środowiska i Gospodarki Wodnej - plan na 2010 rok</t>
  </si>
  <si>
    <t xml:space="preserve">Publiczne Gimnazjum Katolickie im. św. Siostry Faustyny w Trzciance  </t>
  </si>
  <si>
    <t>zakup wyparzacza do kuchni (SP Łomnica)</t>
  </si>
  <si>
    <t>Wydatki na realizację zadań określonych w programie profilaktyki i rozwiązywania problemów alkoholowych - plan na 2010 rok</t>
  </si>
  <si>
    <t>Dochody z tytułu opłat za wydawanie zezwoleń na sprzedaż napojów alkoholowych - plan na 2010 rok</t>
  </si>
  <si>
    <t>Wydatki na wieloletnie programy inwestycyjne w latach 2010 - 2012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</si>
  <si>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</si>
  <si>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</si>
  <si>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Załącznik Nr 11</t>
  </si>
  <si>
    <t>Przychody i wydatki zakładów budżetowych - plan na 2010 rok</t>
  </si>
  <si>
    <t>2010-2012</t>
  </si>
  <si>
    <t>Termomodernizacja obiektów oświatowych i kultury (Gimnzazjum Nr 1 i Nr 2, Szkoła Podstawowa Nr 2 i Nr 3)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</si>
  <si>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</si>
  <si>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</si>
  <si>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</si>
  <si>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</si>
  <si>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budowa wodociągu w Biernatowie</t>
  </si>
  <si>
    <t>budowa sieci kanalizacji sanitarnej w rejonie ulic Chrobrego, Batorego, przedłużenie ulicy Reymonta</t>
  </si>
  <si>
    <t>I etap budowy ścieżki pieszo - rowerowej od przejazdu PKP i dalej  wzdłuż torów kolejowych i wiaduktu do ulicy asfaltowej przy cmentarzu komunalnym</t>
  </si>
  <si>
    <t xml:space="preserve">przebudowa drogi Żurawiec - Łomnica I </t>
  </si>
  <si>
    <t>do Uchwały Nr XXXVII/266/09</t>
  </si>
  <si>
    <t>z dnia 17 grudnia 2009 r.</t>
  </si>
  <si>
    <t>PT budowy strażnicy OSP w Stobnie</t>
  </si>
  <si>
    <t>budowa oświetlenia w Teresinie</t>
  </si>
  <si>
    <t>budowa oświetlenia w Sarczu</t>
  </si>
  <si>
    <t>budowa drogi w Sarczu</t>
  </si>
  <si>
    <t>opracowanie koncepcji budowy pływalni przy 
Gimnazjum nr 1</t>
  </si>
  <si>
    <t>projekty techniczne dróg - ulice: Jarzębinowa, Olchowa, Jesionowa</t>
  </si>
  <si>
    <t>opracowanie koncepcji i projektu technicznego monitoringu miasta oraz montaż dwóch kamer na parkingu przy ul. Kościuszki  oraz przy Pl. Pocztowym</t>
  </si>
  <si>
    <t>rozbudowa strażnicy OSP w Białej</t>
  </si>
  <si>
    <t>PT kanalizacji deszczowej ul. Jaworowa</t>
  </si>
  <si>
    <t>rezerwa na dofinansowanie zakupu samochodu dla Państwowej Straży Pożarnej w Czarnkowie dla Jednostki Ratowniczo - Gaśniczej w Trzciance</t>
  </si>
  <si>
    <t>zakup zamiatarki do boiska sztucznego (SP Nr 3)</t>
  </si>
  <si>
    <t>zakup serwera do nowej sieci internetowej (SP Nr 3)</t>
  </si>
  <si>
    <t>PT rozbudowy cmentarza komunalnego w Trzciance</t>
  </si>
  <si>
    <t>4.</t>
  </si>
  <si>
    <t>Budowa pływalni przy Gimnzajum nr 1</t>
  </si>
  <si>
    <t>budowa ścieżki pieszo - rowerowej od ul. Dąbrowskiego wzdłuż 
ul. Wieleńskiej do zakrętu na ogrody działkowe, lewa strona , 
I etap, nawierzchnia polbruk</t>
  </si>
  <si>
    <t>PT sieci wodociągowej i kanalizacji sanitarnej w kwartale ulic Reymonta i Krzywoustego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</si>
</sst>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6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4"/>
      <name val="Arial CE"/>
      <family val="2"/>
    </font>
    <font>
      <sz val="7"/>
      <name val="Arial CE"/>
      <family val="0"/>
    </font>
    <font>
      <sz val="11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i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inden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164" fontId="9" fillId="0" borderId="0" xfId="0" applyNumberFormat="1" applyFont="1" applyFill="1" applyAlignment="1">
      <alignment horizontal="left" vertical="center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14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4" fontId="0" fillId="0" borderId="0" xfId="0" applyNumberForma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 indent="1"/>
    </xf>
    <xf numFmtId="4" fontId="7" fillId="0" borderId="15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quotePrefix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4" fontId="55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.25390625" style="9" customWidth="1"/>
    <col min="2" max="2" width="7.625" style="9" customWidth="1"/>
    <col min="3" max="3" width="5.25390625" style="9" customWidth="1"/>
    <col min="4" max="4" width="49.625" style="9" customWidth="1"/>
    <col min="5" max="5" width="20.25390625" style="34" customWidth="1"/>
    <col min="6" max="7" width="11.75390625" style="26" bestFit="1" customWidth="1"/>
    <col min="8" max="8" width="12.75390625" style="26" bestFit="1" customWidth="1"/>
    <col min="9" max="10" width="9.125" style="26" customWidth="1"/>
    <col min="11" max="11" width="10.00390625" style="26" bestFit="1" customWidth="1"/>
  </cols>
  <sheetData>
    <row r="1" spans="1:5" ht="12.75">
      <c r="A1" s="68"/>
      <c r="B1" s="68"/>
      <c r="C1" s="68"/>
      <c r="D1" s="68"/>
      <c r="E1" s="69" t="s">
        <v>197</v>
      </c>
    </row>
    <row r="2" spans="1:5" ht="12.75">
      <c r="A2" s="68"/>
      <c r="B2" s="68"/>
      <c r="C2" s="68"/>
      <c r="D2" s="68"/>
      <c r="E2" s="69" t="s">
        <v>441</v>
      </c>
    </row>
    <row r="3" spans="1:5" ht="12.75">
      <c r="A3" s="68"/>
      <c r="B3" s="68"/>
      <c r="C3" s="68"/>
      <c r="D3" s="68"/>
      <c r="E3" s="69" t="s">
        <v>154</v>
      </c>
    </row>
    <row r="4" spans="1:5" ht="12.75">
      <c r="A4" s="68"/>
      <c r="B4" s="68"/>
      <c r="C4" s="68"/>
      <c r="D4" s="68"/>
      <c r="E4" s="69" t="s">
        <v>442</v>
      </c>
    </row>
    <row r="5" spans="1:5" ht="18.75" customHeight="1">
      <c r="A5" s="188" t="s">
        <v>415</v>
      </c>
      <c r="B5" s="188"/>
      <c r="C5" s="188"/>
      <c r="D5" s="188"/>
      <c r="E5" s="188"/>
    </row>
    <row r="6" spans="1:11" s="9" customFormat="1" ht="24.75" customHeight="1">
      <c r="A6" s="7" t="s">
        <v>0</v>
      </c>
      <c r="B6" s="6" t="s">
        <v>1</v>
      </c>
      <c r="C6" s="25" t="s">
        <v>2</v>
      </c>
      <c r="D6" s="7" t="s">
        <v>3</v>
      </c>
      <c r="E6" s="10" t="s">
        <v>146</v>
      </c>
      <c r="F6" s="28"/>
      <c r="G6" s="28"/>
      <c r="H6" s="28"/>
      <c r="I6" s="28"/>
      <c r="J6" s="28"/>
      <c r="K6" s="28"/>
    </row>
    <row r="7" spans="1:11" s="9" customFormat="1" ht="24" customHeight="1">
      <c r="A7" s="113" t="s">
        <v>4</v>
      </c>
      <c r="B7" s="6"/>
      <c r="C7" s="25"/>
      <c r="D7" s="175" t="s">
        <v>5</v>
      </c>
      <c r="E7" s="21">
        <f>SUM(E8)</f>
        <v>639800</v>
      </c>
      <c r="F7" s="28"/>
      <c r="G7" s="28"/>
      <c r="H7" s="28"/>
      <c r="I7" s="28"/>
      <c r="J7" s="28"/>
      <c r="K7" s="28"/>
    </row>
    <row r="8" spans="1:11" s="29" customFormat="1" ht="24" customHeight="1">
      <c r="A8" s="90"/>
      <c r="B8" s="88" t="s">
        <v>291</v>
      </c>
      <c r="C8" s="92"/>
      <c r="D8" s="176" t="s">
        <v>6</v>
      </c>
      <c r="E8" s="97">
        <f>SUM(E9:E10)</f>
        <v>639800</v>
      </c>
      <c r="F8" s="190"/>
      <c r="G8" s="190"/>
      <c r="H8" s="190"/>
      <c r="I8" s="190"/>
      <c r="J8" s="190"/>
      <c r="K8" s="190"/>
    </row>
    <row r="9" spans="1:11" s="29" customFormat="1" ht="45">
      <c r="A9" s="90"/>
      <c r="B9" s="59"/>
      <c r="C9" s="91" t="s">
        <v>170</v>
      </c>
      <c r="D9" s="89" t="s">
        <v>57</v>
      </c>
      <c r="E9" s="97">
        <f>110000+9800</f>
        <v>119800</v>
      </c>
      <c r="F9" s="190"/>
      <c r="G9" s="190"/>
      <c r="H9" s="190"/>
      <c r="I9" s="190"/>
      <c r="J9" s="190"/>
      <c r="K9" s="191"/>
    </row>
    <row r="10" spans="1:11" s="29" customFormat="1" ht="22.5">
      <c r="A10" s="90"/>
      <c r="B10" s="59"/>
      <c r="C10" s="91" t="s">
        <v>292</v>
      </c>
      <c r="D10" s="89" t="s">
        <v>293</v>
      </c>
      <c r="E10" s="97">
        <v>520000</v>
      </c>
      <c r="F10" s="191"/>
      <c r="G10" s="190"/>
      <c r="H10" s="192"/>
      <c r="I10" s="190"/>
      <c r="J10" s="190"/>
      <c r="K10" s="190"/>
    </row>
    <row r="11" spans="1:11" s="8" customFormat="1" ht="24" customHeight="1">
      <c r="A11" s="36" t="s">
        <v>8</v>
      </c>
      <c r="B11" s="4"/>
      <c r="C11" s="5"/>
      <c r="D11" s="37" t="s">
        <v>9</v>
      </c>
      <c r="E11" s="70">
        <f>SUM(E12,)</f>
        <v>4836700</v>
      </c>
      <c r="F11" s="193"/>
      <c r="G11" s="193"/>
      <c r="H11" s="194"/>
      <c r="I11" s="193"/>
      <c r="J11" s="193"/>
      <c r="K11" s="193"/>
    </row>
    <row r="12" spans="1:11" s="29" customFormat="1" ht="24" customHeight="1">
      <c r="A12" s="84"/>
      <c r="B12" s="85" t="s">
        <v>10</v>
      </c>
      <c r="C12" s="92"/>
      <c r="D12" s="89" t="s">
        <v>157</v>
      </c>
      <c r="E12" s="83">
        <f>SUM(E13:E17)</f>
        <v>4836700</v>
      </c>
      <c r="F12" s="190"/>
      <c r="G12" s="190"/>
      <c r="H12" s="190"/>
      <c r="I12" s="190"/>
      <c r="J12" s="190"/>
      <c r="K12" s="190"/>
    </row>
    <row r="13" spans="1:11" s="29" customFormat="1" ht="24" customHeight="1">
      <c r="A13" s="84"/>
      <c r="B13" s="59"/>
      <c r="C13" s="91" t="s">
        <v>169</v>
      </c>
      <c r="D13" s="89" t="s">
        <v>225</v>
      </c>
      <c r="E13" s="83">
        <v>120000</v>
      </c>
      <c r="F13" s="190"/>
      <c r="G13" s="190"/>
      <c r="H13" s="190"/>
      <c r="I13" s="190"/>
      <c r="J13" s="190"/>
      <c r="K13" s="190"/>
    </row>
    <row r="14" spans="1:11" s="29" customFormat="1" ht="50.25" customHeight="1">
      <c r="A14" s="84"/>
      <c r="B14" s="59"/>
      <c r="C14" s="86" t="s">
        <v>170</v>
      </c>
      <c r="D14" s="89" t="s">
        <v>353</v>
      </c>
      <c r="E14" s="83">
        <f>1850000+16000+82000+8000+4000</f>
        <v>1960000</v>
      </c>
      <c r="F14" s="190"/>
      <c r="G14" s="190"/>
      <c r="H14" s="190"/>
      <c r="I14" s="190"/>
      <c r="J14" s="190"/>
      <c r="K14" s="190"/>
    </row>
    <row r="15" spans="1:11" s="29" customFormat="1" ht="33.75">
      <c r="A15" s="84"/>
      <c r="B15" s="59"/>
      <c r="C15" s="86" t="s">
        <v>241</v>
      </c>
      <c r="D15" s="89" t="s">
        <v>301</v>
      </c>
      <c r="E15" s="83">
        <v>30000</v>
      </c>
      <c r="F15" s="191"/>
      <c r="G15" s="190"/>
      <c r="H15" s="190"/>
      <c r="I15" s="190"/>
      <c r="J15" s="190"/>
      <c r="K15" s="190"/>
    </row>
    <row r="16" spans="1:11" s="29" customFormat="1" ht="24" customHeight="1">
      <c r="A16" s="84"/>
      <c r="B16" s="59"/>
      <c r="C16" s="86" t="s">
        <v>292</v>
      </c>
      <c r="D16" s="89" t="s">
        <v>293</v>
      </c>
      <c r="E16" s="83">
        <f>150000+450000+1300000+800000+9900+4800+2000</f>
        <v>2716700</v>
      </c>
      <c r="F16" s="191"/>
      <c r="G16" s="190"/>
      <c r="H16" s="190"/>
      <c r="I16" s="190"/>
      <c r="J16" s="190"/>
      <c r="K16" s="190"/>
    </row>
    <row r="17" spans="1:11" s="29" customFormat="1" ht="21.75" customHeight="1">
      <c r="A17" s="84"/>
      <c r="B17" s="59"/>
      <c r="C17" s="86" t="s">
        <v>171</v>
      </c>
      <c r="D17" s="89" t="s">
        <v>11</v>
      </c>
      <c r="E17" s="83">
        <v>10000</v>
      </c>
      <c r="F17" s="190"/>
      <c r="G17" s="190"/>
      <c r="H17" s="190"/>
      <c r="I17" s="190"/>
      <c r="J17" s="190"/>
      <c r="K17" s="190"/>
    </row>
    <row r="18" spans="1:11" s="8" customFormat="1" ht="24" customHeight="1">
      <c r="A18" s="36" t="s">
        <v>15</v>
      </c>
      <c r="B18" s="4"/>
      <c r="C18" s="5"/>
      <c r="D18" s="37" t="s">
        <v>16</v>
      </c>
      <c r="E18" s="70">
        <f>SUM(E19,E21)</f>
        <v>168600</v>
      </c>
      <c r="F18" s="193"/>
      <c r="G18" s="193"/>
      <c r="H18" s="193"/>
      <c r="I18" s="193"/>
      <c r="J18" s="193"/>
      <c r="K18" s="193"/>
    </row>
    <row r="19" spans="1:11" s="29" customFormat="1" ht="24" customHeight="1">
      <c r="A19" s="84"/>
      <c r="B19" s="85">
        <v>75011</v>
      </c>
      <c r="C19" s="92"/>
      <c r="D19" s="89" t="s">
        <v>17</v>
      </c>
      <c r="E19" s="83">
        <f>SUM(E20:E20)</f>
        <v>156600</v>
      </c>
      <c r="F19" s="190"/>
      <c r="G19" s="190"/>
      <c r="H19" s="190"/>
      <c r="I19" s="190"/>
      <c r="J19" s="190"/>
      <c r="K19" s="190"/>
    </row>
    <row r="20" spans="1:11" s="29" customFormat="1" ht="33.75">
      <c r="A20" s="84"/>
      <c r="B20" s="59"/>
      <c r="C20" s="86">
        <v>2010</v>
      </c>
      <c r="D20" s="89" t="s">
        <v>226</v>
      </c>
      <c r="E20" s="97">
        <v>156600</v>
      </c>
      <c r="F20" s="191"/>
      <c r="G20" s="190"/>
      <c r="H20" s="190"/>
      <c r="I20" s="190"/>
      <c r="J20" s="190"/>
      <c r="K20" s="190"/>
    </row>
    <row r="21" spans="1:11" s="29" customFormat="1" ht="24" customHeight="1">
      <c r="A21" s="84"/>
      <c r="B21" s="59">
        <v>75023</v>
      </c>
      <c r="C21" s="86"/>
      <c r="D21" s="46" t="s">
        <v>19</v>
      </c>
      <c r="E21" s="83">
        <f>SUM(E22)</f>
        <v>12000</v>
      </c>
      <c r="F21" s="190"/>
      <c r="G21" s="190"/>
      <c r="H21" s="190"/>
      <c r="I21" s="190"/>
      <c r="J21" s="190"/>
      <c r="K21" s="190"/>
    </row>
    <row r="22" spans="1:11" s="29" customFormat="1" ht="21.75" customHeight="1">
      <c r="A22" s="84"/>
      <c r="B22" s="59"/>
      <c r="C22" s="86" t="s">
        <v>172</v>
      </c>
      <c r="D22" s="89" t="s">
        <v>12</v>
      </c>
      <c r="E22" s="83">
        <v>12000</v>
      </c>
      <c r="F22" s="190"/>
      <c r="G22" s="190"/>
      <c r="H22" s="190"/>
      <c r="I22" s="190"/>
      <c r="J22" s="190"/>
      <c r="K22" s="190"/>
    </row>
    <row r="23" spans="1:11" s="8" customFormat="1" ht="24">
      <c r="A23" s="36">
        <v>751</v>
      </c>
      <c r="B23" s="6"/>
      <c r="C23" s="25"/>
      <c r="D23" s="37" t="s">
        <v>20</v>
      </c>
      <c r="E23" s="70">
        <f>SUM(E24)</f>
        <v>3952</v>
      </c>
      <c r="F23" s="193"/>
      <c r="G23" s="193"/>
      <c r="H23" s="193"/>
      <c r="I23" s="193"/>
      <c r="J23" s="193"/>
      <c r="K23" s="193"/>
    </row>
    <row r="24" spans="1:11" s="29" customFormat="1" ht="22.5">
      <c r="A24" s="90"/>
      <c r="B24" s="85">
        <v>75101</v>
      </c>
      <c r="C24" s="92"/>
      <c r="D24" s="89" t="s">
        <v>21</v>
      </c>
      <c r="E24" s="83">
        <f>SUM(E25)</f>
        <v>3952</v>
      </c>
      <c r="F24" s="190"/>
      <c r="G24" s="190"/>
      <c r="H24" s="190"/>
      <c r="I24" s="190"/>
      <c r="J24" s="190"/>
      <c r="K24" s="190"/>
    </row>
    <row r="25" spans="1:11" s="29" customFormat="1" ht="33.75">
      <c r="A25" s="90"/>
      <c r="B25" s="85"/>
      <c r="C25" s="92">
        <v>2010</v>
      </c>
      <c r="D25" s="89" t="s">
        <v>226</v>
      </c>
      <c r="E25" s="83">
        <v>3952</v>
      </c>
      <c r="F25" s="191"/>
      <c r="G25" s="190"/>
      <c r="H25" s="190"/>
      <c r="I25" s="190"/>
      <c r="J25" s="190"/>
      <c r="K25" s="190"/>
    </row>
    <row r="26" spans="1:11" s="8" customFormat="1" ht="30" customHeight="1">
      <c r="A26" s="36" t="s">
        <v>22</v>
      </c>
      <c r="B26" s="4"/>
      <c r="C26" s="5"/>
      <c r="D26" s="37" t="s">
        <v>23</v>
      </c>
      <c r="E26" s="70">
        <f>SUM(E27)</f>
        <v>5500</v>
      </c>
      <c r="F26" s="193"/>
      <c r="G26" s="193"/>
      <c r="H26" s="193"/>
      <c r="I26" s="193"/>
      <c r="J26" s="193"/>
      <c r="K26" s="193"/>
    </row>
    <row r="27" spans="1:11" s="29" customFormat="1" ht="24" customHeight="1">
      <c r="A27" s="90"/>
      <c r="B27" s="85" t="s">
        <v>24</v>
      </c>
      <c r="C27" s="92"/>
      <c r="D27" s="89" t="s">
        <v>25</v>
      </c>
      <c r="E27" s="83">
        <f>SUM(E28:E29)</f>
        <v>5500</v>
      </c>
      <c r="F27" s="190"/>
      <c r="G27" s="190"/>
      <c r="H27" s="190"/>
      <c r="I27" s="190"/>
      <c r="J27" s="190"/>
      <c r="K27" s="190"/>
    </row>
    <row r="28" spans="1:11" s="29" customFormat="1" ht="21.75" customHeight="1">
      <c r="A28" s="90"/>
      <c r="B28" s="59"/>
      <c r="C28" s="86" t="s">
        <v>173</v>
      </c>
      <c r="D28" s="89" t="s">
        <v>26</v>
      </c>
      <c r="E28" s="83">
        <v>5000</v>
      </c>
      <c r="F28" s="190"/>
      <c r="G28" s="190"/>
      <c r="H28" s="190"/>
      <c r="I28" s="190"/>
      <c r="J28" s="190"/>
      <c r="K28" s="190"/>
    </row>
    <row r="29" spans="1:11" s="29" customFormat="1" ht="21.75" customHeight="1">
      <c r="A29" s="90"/>
      <c r="B29" s="59"/>
      <c r="C29" s="86" t="s">
        <v>171</v>
      </c>
      <c r="D29" s="89" t="s">
        <v>11</v>
      </c>
      <c r="E29" s="83">
        <v>500</v>
      </c>
      <c r="F29" s="190"/>
      <c r="G29" s="190"/>
      <c r="H29" s="190"/>
      <c r="I29" s="190"/>
      <c r="J29" s="190"/>
      <c r="K29" s="190"/>
    </row>
    <row r="30" spans="1:11" s="8" customFormat="1" ht="36">
      <c r="A30" s="36" t="s">
        <v>27</v>
      </c>
      <c r="B30" s="4"/>
      <c r="C30" s="5"/>
      <c r="D30" s="37" t="s">
        <v>162</v>
      </c>
      <c r="E30" s="70">
        <f>SUM(E31,E34,E41,E50,E55,)</f>
        <v>22599894</v>
      </c>
      <c r="F30" s="193"/>
      <c r="G30" s="193"/>
      <c r="H30" s="193"/>
      <c r="I30" s="193"/>
      <c r="J30" s="193"/>
      <c r="K30" s="193"/>
    </row>
    <row r="31" spans="1:11" s="29" customFormat="1" ht="24" customHeight="1">
      <c r="A31" s="84"/>
      <c r="B31" s="59">
        <v>75601</v>
      </c>
      <c r="C31" s="92"/>
      <c r="D31" s="89" t="s">
        <v>29</v>
      </c>
      <c r="E31" s="83">
        <f>SUM(E32:E33)</f>
        <v>41500</v>
      </c>
      <c r="F31" s="190"/>
      <c r="G31" s="190"/>
      <c r="H31" s="190"/>
      <c r="I31" s="190"/>
      <c r="J31" s="190"/>
      <c r="K31" s="190"/>
    </row>
    <row r="32" spans="1:11" s="29" customFormat="1" ht="24" customHeight="1">
      <c r="A32" s="84"/>
      <c r="B32" s="59"/>
      <c r="C32" s="91" t="s">
        <v>174</v>
      </c>
      <c r="D32" s="89" t="s">
        <v>30</v>
      </c>
      <c r="E32" s="83">
        <v>40000</v>
      </c>
      <c r="F32" s="190"/>
      <c r="G32" s="190"/>
      <c r="H32" s="190"/>
      <c r="I32" s="190"/>
      <c r="J32" s="190"/>
      <c r="K32" s="190"/>
    </row>
    <row r="33" spans="1:11" s="29" customFormat="1" ht="24" customHeight="1">
      <c r="A33" s="84"/>
      <c r="B33" s="59"/>
      <c r="C33" s="91" t="s">
        <v>175</v>
      </c>
      <c r="D33" s="89" t="s">
        <v>37</v>
      </c>
      <c r="E33" s="83">
        <v>1500</v>
      </c>
      <c r="F33" s="190"/>
      <c r="G33" s="190"/>
      <c r="H33" s="190"/>
      <c r="I33" s="190"/>
      <c r="J33" s="190"/>
      <c r="K33" s="190"/>
    </row>
    <row r="34" spans="1:11" s="29" customFormat="1" ht="33.75">
      <c r="A34" s="84"/>
      <c r="B34" s="85" t="s">
        <v>31</v>
      </c>
      <c r="C34" s="92"/>
      <c r="D34" s="89" t="s">
        <v>203</v>
      </c>
      <c r="E34" s="83">
        <f>SUM(E35:E40)</f>
        <v>7409319</v>
      </c>
      <c r="F34" s="190"/>
      <c r="G34" s="190"/>
      <c r="H34" s="190"/>
      <c r="I34" s="190"/>
      <c r="J34" s="190"/>
      <c r="K34" s="190"/>
    </row>
    <row r="35" spans="1:11" s="29" customFormat="1" ht="21.75" customHeight="1">
      <c r="A35" s="84"/>
      <c r="B35" s="85"/>
      <c r="C35" s="86" t="s">
        <v>176</v>
      </c>
      <c r="D35" s="89" t="s">
        <v>32</v>
      </c>
      <c r="E35" s="83">
        <v>6712218</v>
      </c>
      <c r="F35" s="190"/>
      <c r="G35" s="190"/>
      <c r="H35" s="190"/>
      <c r="I35" s="190"/>
      <c r="J35" s="190"/>
      <c r="K35" s="190"/>
    </row>
    <row r="36" spans="1:11" s="29" customFormat="1" ht="21.75" customHeight="1">
      <c r="A36" s="84"/>
      <c r="B36" s="85"/>
      <c r="C36" s="86" t="s">
        <v>177</v>
      </c>
      <c r="D36" s="89" t="s">
        <v>33</v>
      </c>
      <c r="E36" s="83">
        <v>26903</v>
      </c>
      <c r="F36" s="190"/>
      <c r="G36" s="190"/>
      <c r="H36" s="190"/>
      <c r="I36" s="190"/>
      <c r="J36" s="190"/>
      <c r="K36" s="190"/>
    </row>
    <row r="37" spans="1:11" s="29" customFormat="1" ht="21.75" customHeight="1">
      <c r="A37" s="84"/>
      <c r="B37" s="85"/>
      <c r="C37" s="86" t="s">
        <v>178</v>
      </c>
      <c r="D37" s="89" t="s">
        <v>34</v>
      </c>
      <c r="E37" s="83">
        <v>318660</v>
      </c>
      <c r="F37" s="190"/>
      <c r="G37" s="190"/>
      <c r="H37" s="190"/>
      <c r="I37" s="190"/>
      <c r="J37" s="190"/>
      <c r="K37" s="190"/>
    </row>
    <row r="38" spans="1:11" s="29" customFormat="1" ht="21.75" customHeight="1">
      <c r="A38" s="84"/>
      <c r="B38" s="85"/>
      <c r="C38" s="86" t="s">
        <v>179</v>
      </c>
      <c r="D38" s="89" t="s">
        <v>35</v>
      </c>
      <c r="E38" s="83">
        <v>60000</v>
      </c>
      <c r="F38" s="190"/>
      <c r="G38" s="190"/>
      <c r="H38" s="190"/>
      <c r="I38" s="190"/>
      <c r="J38" s="190"/>
      <c r="K38" s="190"/>
    </row>
    <row r="39" spans="1:11" s="29" customFormat="1" ht="24" customHeight="1">
      <c r="A39" s="84"/>
      <c r="B39" s="85"/>
      <c r="C39" s="81" t="s">
        <v>175</v>
      </c>
      <c r="D39" s="78" t="s">
        <v>213</v>
      </c>
      <c r="E39" s="93">
        <v>26000</v>
      </c>
      <c r="F39" s="190"/>
      <c r="G39" s="190"/>
      <c r="H39" s="190"/>
      <c r="I39" s="190"/>
      <c r="J39" s="190"/>
      <c r="K39" s="190"/>
    </row>
    <row r="40" spans="1:11" s="29" customFormat="1" ht="24" customHeight="1">
      <c r="A40" s="84"/>
      <c r="B40" s="85"/>
      <c r="C40" s="86">
        <v>2680</v>
      </c>
      <c r="D40" s="89" t="s">
        <v>302</v>
      </c>
      <c r="E40" s="83">
        <v>265538</v>
      </c>
      <c r="F40" s="190"/>
      <c r="G40" s="190"/>
      <c r="H40" s="190"/>
      <c r="I40" s="191"/>
      <c r="J40" s="190"/>
      <c r="K40" s="190"/>
    </row>
    <row r="41" spans="1:11" s="29" customFormat="1" ht="33.75">
      <c r="A41" s="84"/>
      <c r="B41" s="85">
        <v>75616</v>
      </c>
      <c r="C41" s="86"/>
      <c r="D41" s="89" t="s">
        <v>352</v>
      </c>
      <c r="E41" s="83">
        <f>SUM(E42:E49)</f>
        <v>3801789</v>
      </c>
      <c r="F41" s="190"/>
      <c r="G41" s="190"/>
      <c r="H41" s="190"/>
      <c r="I41" s="190"/>
      <c r="J41" s="190"/>
      <c r="K41" s="190"/>
    </row>
    <row r="42" spans="1:11" s="29" customFormat="1" ht="21.75" customHeight="1">
      <c r="A42" s="84"/>
      <c r="B42" s="85"/>
      <c r="C42" s="86" t="s">
        <v>176</v>
      </c>
      <c r="D42" s="89" t="s">
        <v>32</v>
      </c>
      <c r="E42" s="83">
        <v>2460154</v>
      </c>
      <c r="F42" s="190"/>
      <c r="G42" s="190"/>
      <c r="H42" s="190"/>
      <c r="I42" s="190"/>
      <c r="J42" s="190"/>
      <c r="K42" s="190"/>
    </row>
    <row r="43" spans="1:11" s="29" customFormat="1" ht="21.75" customHeight="1">
      <c r="A43" s="84"/>
      <c r="B43" s="85"/>
      <c r="C43" s="86" t="s">
        <v>177</v>
      </c>
      <c r="D43" s="89" t="s">
        <v>33</v>
      </c>
      <c r="E43" s="83">
        <v>348755</v>
      </c>
      <c r="F43" s="190"/>
      <c r="G43" s="190"/>
      <c r="H43" s="190"/>
      <c r="I43" s="190"/>
      <c r="J43" s="190"/>
      <c r="K43" s="190"/>
    </row>
    <row r="44" spans="1:11" s="29" customFormat="1" ht="21.75" customHeight="1">
      <c r="A44" s="84"/>
      <c r="B44" s="85"/>
      <c r="C44" s="86" t="s">
        <v>178</v>
      </c>
      <c r="D44" s="89" t="s">
        <v>34</v>
      </c>
      <c r="E44" s="83">
        <v>7880</v>
      </c>
      <c r="F44" s="190"/>
      <c r="G44" s="190"/>
      <c r="H44" s="190"/>
      <c r="I44" s="190"/>
      <c r="J44" s="190"/>
      <c r="K44" s="190"/>
    </row>
    <row r="45" spans="1:11" s="29" customFormat="1" ht="21.75" customHeight="1">
      <c r="A45" s="84"/>
      <c r="B45" s="85"/>
      <c r="C45" s="86" t="s">
        <v>179</v>
      </c>
      <c r="D45" s="89" t="s">
        <v>35</v>
      </c>
      <c r="E45" s="83">
        <v>250000</v>
      </c>
      <c r="F45" s="190"/>
      <c r="G45" s="190"/>
      <c r="H45" s="190"/>
      <c r="I45" s="190"/>
      <c r="J45" s="190"/>
      <c r="K45" s="190"/>
    </row>
    <row r="46" spans="1:11" s="29" customFormat="1" ht="21.75" customHeight="1">
      <c r="A46" s="84"/>
      <c r="B46" s="85"/>
      <c r="C46" s="86" t="s">
        <v>342</v>
      </c>
      <c r="D46" s="89" t="s">
        <v>343</v>
      </c>
      <c r="E46" s="83">
        <v>10000</v>
      </c>
      <c r="F46" s="190"/>
      <c r="G46" s="190"/>
      <c r="H46" s="190"/>
      <c r="I46" s="190"/>
      <c r="J46" s="190"/>
      <c r="K46" s="190"/>
    </row>
    <row r="47" spans="1:11" s="29" customFormat="1" ht="21.75" customHeight="1">
      <c r="A47" s="84"/>
      <c r="B47" s="85"/>
      <c r="C47" s="86" t="s">
        <v>180</v>
      </c>
      <c r="D47" s="89" t="s">
        <v>38</v>
      </c>
      <c r="E47" s="83">
        <v>70000</v>
      </c>
      <c r="F47" s="190"/>
      <c r="G47" s="190"/>
      <c r="H47" s="190"/>
      <c r="I47" s="190"/>
      <c r="J47" s="190"/>
      <c r="K47" s="190"/>
    </row>
    <row r="48" spans="1:11" s="29" customFormat="1" ht="21.75" customHeight="1">
      <c r="A48" s="84"/>
      <c r="B48" s="85"/>
      <c r="C48" s="86" t="s">
        <v>182</v>
      </c>
      <c r="D48" s="89" t="s">
        <v>39</v>
      </c>
      <c r="E48" s="83">
        <v>600000</v>
      </c>
      <c r="F48" s="190"/>
      <c r="G48" s="190"/>
      <c r="H48" s="190"/>
      <c r="I48" s="190"/>
      <c r="J48" s="190"/>
      <c r="K48" s="190"/>
    </row>
    <row r="49" spans="1:11" s="29" customFormat="1" ht="24" customHeight="1">
      <c r="A49" s="84"/>
      <c r="B49" s="85"/>
      <c r="C49" s="86" t="s">
        <v>175</v>
      </c>
      <c r="D49" s="89" t="s">
        <v>213</v>
      </c>
      <c r="E49" s="83">
        <v>55000</v>
      </c>
      <c r="F49" s="190"/>
      <c r="G49" s="190"/>
      <c r="H49" s="190"/>
      <c r="I49" s="190"/>
      <c r="J49" s="190"/>
      <c r="K49" s="190"/>
    </row>
    <row r="50" spans="1:11" s="29" customFormat="1" ht="22.5">
      <c r="A50" s="84"/>
      <c r="B50" s="85" t="s">
        <v>40</v>
      </c>
      <c r="C50" s="92"/>
      <c r="D50" s="89" t="s">
        <v>41</v>
      </c>
      <c r="E50" s="83">
        <f>SUM(E51:E54)</f>
        <v>727000</v>
      </c>
      <c r="F50" s="190"/>
      <c r="G50" s="190"/>
      <c r="H50" s="190"/>
      <c r="I50" s="190"/>
      <c r="J50" s="190"/>
      <c r="K50" s="190"/>
    </row>
    <row r="51" spans="1:11" s="29" customFormat="1" ht="21.75" customHeight="1">
      <c r="A51" s="84"/>
      <c r="B51" s="85"/>
      <c r="C51" s="86" t="s">
        <v>183</v>
      </c>
      <c r="D51" s="89" t="s">
        <v>42</v>
      </c>
      <c r="E51" s="83">
        <v>150000</v>
      </c>
      <c r="F51" s="190"/>
      <c r="G51" s="190"/>
      <c r="H51" s="190"/>
      <c r="I51" s="190"/>
      <c r="J51" s="190"/>
      <c r="K51" s="190"/>
    </row>
    <row r="52" spans="1:11" s="29" customFormat="1" ht="21.75" customHeight="1">
      <c r="A52" s="84"/>
      <c r="B52" s="85"/>
      <c r="C52" s="86" t="s">
        <v>181</v>
      </c>
      <c r="D52" s="89" t="s">
        <v>36</v>
      </c>
      <c r="E52" s="83">
        <v>20000</v>
      </c>
      <c r="F52" s="190"/>
      <c r="G52" s="190"/>
      <c r="H52" s="190"/>
      <c r="I52" s="190"/>
      <c r="J52" s="190"/>
      <c r="K52" s="190"/>
    </row>
    <row r="53" spans="1:11" s="29" customFormat="1" ht="24" customHeight="1">
      <c r="A53" s="84"/>
      <c r="B53" s="85"/>
      <c r="C53" s="86" t="s">
        <v>187</v>
      </c>
      <c r="D53" s="89" t="s">
        <v>240</v>
      </c>
      <c r="E53" s="83">
        <v>330000</v>
      </c>
      <c r="F53" s="190"/>
      <c r="G53" s="190"/>
      <c r="H53" s="190"/>
      <c r="I53" s="190"/>
      <c r="J53" s="190"/>
      <c r="K53" s="190"/>
    </row>
    <row r="54" spans="1:11" s="29" customFormat="1" ht="22.5">
      <c r="A54" s="84"/>
      <c r="B54" s="85"/>
      <c r="C54" s="86" t="s">
        <v>168</v>
      </c>
      <c r="D54" s="89" t="s">
        <v>7</v>
      </c>
      <c r="E54" s="83">
        <f>30000+17000+180000</f>
        <v>227000</v>
      </c>
      <c r="F54" s="190"/>
      <c r="G54" s="190"/>
      <c r="H54" s="190"/>
      <c r="I54" s="190"/>
      <c r="J54" s="190"/>
      <c r="K54" s="190"/>
    </row>
    <row r="55" spans="1:11" s="29" customFormat="1" ht="24" customHeight="1">
      <c r="A55" s="84"/>
      <c r="B55" s="85" t="s">
        <v>43</v>
      </c>
      <c r="C55" s="92"/>
      <c r="D55" s="89" t="s">
        <v>44</v>
      </c>
      <c r="E55" s="83">
        <f>SUM(E56:E57)</f>
        <v>10620286</v>
      </c>
      <c r="F55" s="190"/>
      <c r="G55" s="190"/>
      <c r="H55" s="190"/>
      <c r="I55" s="190"/>
      <c r="J55" s="190"/>
      <c r="K55" s="190"/>
    </row>
    <row r="56" spans="1:11" s="29" customFormat="1" ht="21.75" customHeight="1">
      <c r="A56" s="84"/>
      <c r="B56" s="85"/>
      <c r="C56" s="86" t="s">
        <v>184</v>
      </c>
      <c r="D56" s="89" t="s">
        <v>45</v>
      </c>
      <c r="E56" s="83">
        <v>9720286</v>
      </c>
      <c r="F56" s="190"/>
      <c r="G56" s="190"/>
      <c r="H56" s="190"/>
      <c r="I56" s="190"/>
      <c r="J56" s="190"/>
      <c r="K56" s="190"/>
    </row>
    <row r="57" spans="1:11" s="29" customFormat="1" ht="21.75" customHeight="1">
      <c r="A57" s="84"/>
      <c r="B57" s="85"/>
      <c r="C57" s="86" t="s">
        <v>185</v>
      </c>
      <c r="D57" s="89" t="s">
        <v>46</v>
      </c>
      <c r="E57" s="83">
        <v>900000</v>
      </c>
      <c r="F57" s="190"/>
      <c r="G57" s="190"/>
      <c r="H57" s="190"/>
      <c r="I57" s="190"/>
      <c r="J57" s="190"/>
      <c r="K57" s="190"/>
    </row>
    <row r="58" spans="1:11" s="8" customFormat="1" ht="24" customHeight="1">
      <c r="A58" s="36" t="s">
        <v>47</v>
      </c>
      <c r="B58" s="4"/>
      <c r="C58" s="5"/>
      <c r="D58" s="37" t="s">
        <v>48</v>
      </c>
      <c r="E58" s="70">
        <f>SUM(E59,E61,E63,E65)</f>
        <v>20284538</v>
      </c>
      <c r="F58" s="193"/>
      <c r="G58" s="193"/>
      <c r="H58" s="193"/>
      <c r="I58" s="193"/>
      <c r="J58" s="193"/>
      <c r="K58" s="193"/>
    </row>
    <row r="59" spans="1:11" s="29" customFormat="1" ht="24" customHeight="1">
      <c r="A59" s="84"/>
      <c r="B59" s="85" t="s">
        <v>49</v>
      </c>
      <c r="C59" s="92"/>
      <c r="D59" s="89" t="s">
        <v>50</v>
      </c>
      <c r="E59" s="83">
        <f>SUM(E60)</f>
        <v>14653848</v>
      </c>
      <c r="F59" s="190"/>
      <c r="G59" s="190"/>
      <c r="H59" s="190"/>
      <c r="I59" s="190"/>
      <c r="J59" s="190"/>
      <c r="K59" s="190"/>
    </row>
    <row r="60" spans="1:11" s="29" customFormat="1" ht="21.75" customHeight="1">
      <c r="A60" s="84"/>
      <c r="B60" s="85"/>
      <c r="C60" s="86">
        <v>2920</v>
      </c>
      <c r="D60" s="89" t="s">
        <v>51</v>
      </c>
      <c r="E60" s="83">
        <v>14653848</v>
      </c>
      <c r="F60" s="190"/>
      <c r="G60" s="190"/>
      <c r="H60" s="190"/>
      <c r="I60" s="190"/>
      <c r="J60" s="190"/>
      <c r="K60" s="190"/>
    </row>
    <row r="61" spans="1:11" s="29" customFormat="1" ht="21.75" customHeight="1">
      <c r="A61" s="84"/>
      <c r="B61" s="85" t="s">
        <v>194</v>
      </c>
      <c r="C61" s="92"/>
      <c r="D61" s="89" t="s">
        <v>193</v>
      </c>
      <c r="E61" s="83">
        <f>SUM(E62)</f>
        <v>5007478</v>
      </c>
      <c r="F61" s="190"/>
      <c r="G61" s="190"/>
      <c r="H61" s="190"/>
      <c r="I61" s="190"/>
      <c r="J61" s="190"/>
      <c r="K61" s="190"/>
    </row>
    <row r="62" spans="1:11" s="29" customFormat="1" ht="21.75" customHeight="1">
      <c r="A62" s="84"/>
      <c r="B62" s="85"/>
      <c r="C62" s="86">
        <v>2920</v>
      </c>
      <c r="D62" s="89" t="s">
        <v>51</v>
      </c>
      <c r="E62" s="83">
        <f>2651991+2355487</f>
        <v>5007478</v>
      </c>
      <c r="F62" s="190"/>
      <c r="G62" s="190"/>
      <c r="H62" s="190"/>
      <c r="I62" s="190"/>
      <c r="J62" s="190"/>
      <c r="K62" s="190"/>
    </row>
    <row r="63" spans="1:11" s="29" customFormat="1" ht="21" customHeight="1">
      <c r="A63" s="84"/>
      <c r="B63" s="85">
        <v>75814</v>
      </c>
      <c r="C63" s="92"/>
      <c r="D63" s="89" t="s">
        <v>52</v>
      </c>
      <c r="E63" s="83">
        <f>SUM(E64)</f>
        <v>10000</v>
      </c>
      <c r="F63" s="190"/>
      <c r="G63" s="190"/>
      <c r="H63" s="190"/>
      <c r="I63" s="190"/>
      <c r="J63" s="190"/>
      <c r="K63" s="190"/>
    </row>
    <row r="64" spans="1:11" s="29" customFormat="1" ht="21.75" customHeight="1">
      <c r="A64" s="84"/>
      <c r="B64" s="85"/>
      <c r="C64" s="86" t="s">
        <v>171</v>
      </c>
      <c r="D64" s="89" t="s">
        <v>11</v>
      </c>
      <c r="E64" s="83">
        <v>10000</v>
      </c>
      <c r="F64" s="190"/>
      <c r="G64" s="190"/>
      <c r="H64" s="190"/>
      <c r="I64" s="190"/>
      <c r="J64" s="190"/>
      <c r="K64" s="190"/>
    </row>
    <row r="65" spans="1:11" s="29" customFormat="1" ht="20.25" customHeight="1">
      <c r="A65" s="84"/>
      <c r="B65" s="85" t="s">
        <v>229</v>
      </c>
      <c r="C65" s="92"/>
      <c r="D65" s="89" t="s">
        <v>230</v>
      </c>
      <c r="E65" s="83">
        <f>SUM(E66)</f>
        <v>613212</v>
      </c>
      <c r="F65" s="190"/>
      <c r="G65" s="190"/>
      <c r="H65" s="190"/>
      <c r="I65" s="190"/>
      <c r="J65" s="190"/>
      <c r="K65" s="190"/>
    </row>
    <row r="66" spans="1:11" s="29" customFormat="1" ht="21.75" customHeight="1">
      <c r="A66" s="84"/>
      <c r="B66" s="85"/>
      <c r="C66" s="86">
        <v>2920</v>
      </c>
      <c r="D66" s="89" t="s">
        <v>51</v>
      </c>
      <c r="E66" s="83">
        <v>613212</v>
      </c>
      <c r="F66" s="190"/>
      <c r="G66" s="190"/>
      <c r="H66" s="190"/>
      <c r="I66" s="190"/>
      <c r="J66" s="190"/>
      <c r="K66" s="190"/>
    </row>
    <row r="67" spans="1:11" s="29" customFormat="1" ht="24" customHeight="1">
      <c r="A67" s="41" t="s">
        <v>112</v>
      </c>
      <c r="B67" s="42"/>
      <c r="C67" s="43"/>
      <c r="D67" s="44" t="s">
        <v>113</v>
      </c>
      <c r="E67" s="70">
        <f>SUM(E68,E74,E76,E81)</f>
        <v>189496</v>
      </c>
      <c r="F67" s="190"/>
      <c r="G67" s="190"/>
      <c r="H67" s="190"/>
      <c r="I67" s="190"/>
      <c r="J67" s="190"/>
      <c r="K67" s="190"/>
    </row>
    <row r="68" spans="1:11" s="29" customFormat="1" ht="24" customHeight="1">
      <c r="A68" s="79"/>
      <c r="B68" s="94" t="s">
        <v>114</v>
      </c>
      <c r="C68" s="98"/>
      <c r="D68" s="46" t="s">
        <v>53</v>
      </c>
      <c r="E68" s="83">
        <f>SUM(E69:E73)</f>
        <v>54673</v>
      </c>
      <c r="F68" s="190"/>
      <c r="G68" s="190"/>
      <c r="H68" s="190"/>
      <c r="I68" s="190"/>
      <c r="J68" s="190"/>
      <c r="K68" s="190"/>
    </row>
    <row r="69" spans="1:11" s="29" customFormat="1" ht="24" customHeight="1">
      <c r="A69" s="94"/>
      <c r="B69" s="94"/>
      <c r="C69" s="95" t="s">
        <v>192</v>
      </c>
      <c r="D69" s="46" t="s">
        <v>151</v>
      </c>
      <c r="E69" s="83">
        <v>700</v>
      </c>
      <c r="F69" s="190"/>
      <c r="G69" s="190"/>
      <c r="H69" s="190"/>
      <c r="I69" s="190"/>
      <c r="J69" s="190"/>
      <c r="K69" s="190"/>
    </row>
    <row r="70" spans="1:11" s="29" customFormat="1" ht="45">
      <c r="A70" s="94"/>
      <c r="B70" s="79"/>
      <c r="C70" s="95" t="s">
        <v>170</v>
      </c>
      <c r="D70" s="46" t="s">
        <v>57</v>
      </c>
      <c r="E70" s="83">
        <v>40800</v>
      </c>
      <c r="F70" s="190"/>
      <c r="G70" s="190"/>
      <c r="H70" s="190"/>
      <c r="I70" s="190"/>
      <c r="J70" s="190"/>
      <c r="K70" s="190"/>
    </row>
    <row r="71" spans="1:11" s="29" customFormat="1" ht="23.25" customHeight="1">
      <c r="A71" s="94"/>
      <c r="B71" s="79"/>
      <c r="C71" s="144" t="s">
        <v>171</v>
      </c>
      <c r="D71" s="78" t="s">
        <v>11</v>
      </c>
      <c r="E71" s="83">
        <v>1091</v>
      </c>
      <c r="F71" s="190"/>
      <c r="G71" s="190"/>
      <c r="H71" s="190"/>
      <c r="I71" s="190"/>
      <c r="J71" s="190"/>
      <c r="K71" s="190"/>
    </row>
    <row r="72" spans="1:11" s="29" customFormat="1" ht="22.5" customHeight="1">
      <c r="A72" s="94"/>
      <c r="B72" s="79"/>
      <c r="C72" s="144" t="s">
        <v>172</v>
      </c>
      <c r="D72" s="46" t="s">
        <v>12</v>
      </c>
      <c r="E72" s="83">
        <v>7300</v>
      </c>
      <c r="F72" s="190"/>
      <c r="G72" s="190"/>
      <c r="H72" s="190"/>
      <c r="I72" s="190"/>
      <c r="J72" s="190"/>
      <c r="K72" s="190"/>
    </row>
    <row r="73" spans="1:11" s="29" customFormat="1" ht="33.75">
      <c r="A73" s="94"/>
      <c r="B73" s="79"/>
      <c r="C73" s="144">
        <v>2310</v>
      </c>
      <c r="D73" s="46" t="s">
        <v>248</v>
      </c>
      <c r="E73" s="83">
        <v>4782</v>
      </c>
      <c r="F73" s="190"/>
      <c r="G73" s="190"/>
      <c r="H73" s="191"/>
      <c r="I73" s="190"/>
      <c r="J73" s="190"/>
      <c r="K73" s="190"/>
    </row>
    <row r="74" spans="1:11" s="29" customFormat="1" ht="24" customHeight="1">
      <c r="A74" s="84"/>
      <c r="B74" s="85">
        <v>80104</v>
      </c>
      <c r="C74" s="86"/>
      <c r="D74" s="46" t="s">
        <v>127</v>
      </c>
      <c r="E74" s="83">
        <f>SUM(E75)</f>
        <v>2000</v>
      </c>
      <c r="F74" s="190"/>
      <c r="G74" s="190"/>
      <c r="H74" s="190"/>
      <c r="I74" s="190"/>
      <c r="J74" s="190"/>
      <c r="K74" s="190"/>
    </row>
    <row r="75" spans="1:11" s="29" customFormat="1" ht="45">
      <c r="A75" s="84"/>
      <c r="B75" s="85"/>
      <c r="C75" s="86" t="s">
        <v>170</v>
      </c>
      <c r="D75" s="46" t="s">
        <v>57</v>
      </c>
      <c r="E75" s="83">
        <v>2000</v>
      </c>
      <c r="F75" s="190"/>
      <c r="G75" s="190"/>
      <c r="H75" s="190"/>
      <c r="I75" s="190"/>
      <c r="J75" s="190"/>
      <c r="K75" s="190"/>
    </row>
    <row r="76" spans="1:11" s="29" customFormat="1" ht="24" customHeight="1">
      <c r="A76" s="84"/>
      <c r="B76" s="85">
        <v>80110</v>
      </c>
      <c r="C76" s="86"/>
      <c r="D76" s="46" t="s">
        <v>54</v>
      </c>
      <c r="E76" s="83">
        <f>SUM(E77:E80)</f>
        <v>9121</v>
      </c>
      <c r="F76" s="190"/>
      <c r="G76" s="190"/>
      <c r="H76" s="190"/>
      <c r="I76" s="190"/>
      <c r="J76" s="190"/>
      <c r="K76" s="190"/>
    </row>
    <row r="77" spans="1:11" s="29" customFormat="1" ht="24" customHeight="1">
      <c r="A77" s="84"/>
      <c r="B77" s="85"/>
      <c r="C77" s="95" t="s">
        <v>192</v>
      </c>
      <c r="D77" s="46" t="s">
        <v>151</v>
      </c>
      <c r="E77" s="83">
        <v>100</v>
      </c>
      <c r="F77" s="190"/>
      <c r="G77" s="190"/>
      <c r="H77" s="190"/>
      <c r="I77" s="190"/>
      <c r="J77" s="190"/>
      <c r="K77" s="190"/>
    </row>
    <row r="78" spans="1:11" s="29" customFormat="1" ht="45">
      <c r="A78" s="84"/>
      <c r="B78" s="85"/>
      <c r="C78" s="86" t="s">
        <v>170</v>
      </c>
      <c r="D78" s="46" t="s">
        <v>57</v>
      </c>
      <c r="E78" s="83">
        <v>8000</v>
      </c>
      <c r="F78" s="190"/>
      <c r="G78" s="190"/>
      <c r="H78" s="190"/>
      <c r="I78" s="190"/>
      <c r="J78" s="190"/>
      <c r="K78" s="190"/>
    </row>
    <row r="79" spans="1:11" s="29" customFormat="1" ht="22.5" customHeight="1">
      <c r="A79" s="84"/>
      <c r="B79" s="85"/>
      <c r="C79" s="86" t="s">
        <v>171</v>
      </c>
      <c r="D79" s="78" t="s">
        <v>11</v>
      </c>
      <c r="E79" s="83">
        <v>21</v>
      </c>
      <c r="F79" s="190"/>
      <c r="G79" s="190"/>
      <c r="H79" s="190"/>
      <c r="I79" s="190"/>
      <c r="J79" s="190"/>
      <c r="K79" s="190"/>
    </row>
    <row r="80" spans="1:11" s="29" customFormat="1" ht="22.5" customHeight="1">
      <c r="A80" s="84"/>
      <c r="B80" s="85"/>
      <c r="C80" s="86" t="s">
        <v>172</v>
      </c>
      <c r="D80" s="46" t="s">
        <v>12</v>
      </c>
      <c r="E80" s="83">
        <v>1000</v>
      </c>
      <c r="F80" s="190"/>
      <c r="G80" s="190"/>
      <c r="H80" s="190"/>
      <c r="I80" s="190"/>
      <c r="J80" s="190"/>
      <c r="K80" s="190"/>
    </row>
    <row r="81" spans="1:11" s="29" customFormat="1" ht="22.5" customHeight="1">
      <c r="A81" s="84"/>
      <c r="B81" s="85">
        <v>80148</v>
      </c>
      <c r="C81" s="86"/>
      <c r="D81" s="78" t="s">
        <v>295</v>
      </c>
      <c r="E81" s="83">
        <f>SUM(E82:E83)</f>
        <v>123702</v>
      </c>
      <c r="F81" s="190"/>
      <c r="G81" s="190"/>
      <c r="H81" s="190"/>
      <c r="I81" s="190"/>
      <c r="J81" s="190"/>
      <c r="K81" s="190"/>
    </row>
    <row r="82" spans="1:11" s="29" customFormat="1" ht="22.5" customHeight="1">
      <c r="A82" s="84"/>
      <c r="B82" s="85"/>
      <c r="C82" s="86" t="s">
        <v>205</v>
      </c>
      <c r="D82" s="78" t="s">
        <v>206</v>
      </c>
      <c r="E82" s="83">
        <v>123700</v>
      </c>
      <c r="F82" s="190"/>
      <c r="G82" s="190"/>
      <c r="H82" s="190"/>
      <c r="I82" s="190"/>
      <c r="J82" s="190"/>
      <c r="K82" s="190"/>
    </row>
    <row r="83" spans="1:11" s="29" customFormat="1" ht="22.5" customHeight="1">
      <c r="A83" s="84"/>
      <c r="B83" s="85"/>
      <c r="C83" s="86" t="s">
        <v>171</v>
      </c>
      <c r="D83" s="78" t="s">
        <v>11</v>
      </c>
      <c r="E83" s="83">
        <v>2</v>
      </c>
      <c r="F83" s="190"/>
      <c r="G83" s="190"/>
      <c r="H83" s="190"/>
      <c r="I83" s="190"/>
      <c r="J83" s="190"/>
      <c r="K83" s="190"/>
    </row>
    <row r="84" spans="1:11" s="8" customFormat="1" ht="24.75" customHeight="1">
      <c r="A84" s="36" t="s">
        <v>163</v>
      </c>
      <c r="B84" s="4"/>
      <c r="C84" s="5"/>
      <c r="D84" s="37" t="s">
        <v>196</v>
      </c>
      <c r="E84" s="70">
        <f>SUM(E85,E87,E90,E95,E100,E93)</f>
        <v>8336341</v>
      </c>
      <c r="F84" s="193"/>
      <c r="G84" s="193"/>
      <c r="H84" s="193"/>
      <c r="I84" s="193"/>
      <c r="J84" s="193"/>
      <c r="K84" s="193"/>
    </row>
    <row r="85" spans="1:11" s="29" customFormat="1" ht="33.75">
      <c r="A85" s="84"/>
      <c r="B85" s="59">
        <v>85212</v>
      </c>
      <c r="C85" s="91"/>
      <c r="D85" s="89" t="s">
        <v>370</v>
      </c>
      <c r="E85" s="83">
        <f>SUM(E86:E86)</f>
        <v>6551300</v>
      </c>
      <c r="F85" s="190"/>
      <c r="G85" s="190"/>
      <c r="H85" s="190"/>
      <c r="I85" s="190"/>
      <c r="J85" s="190"/>
      <c r="K85" s="190"/>
    </row>
    <row r="86" spans="1:11" s="29" customFormat="1" ht="33.75">
      <c r="A86" s="84"/>
      <c r="B86" s="59"/>
      <c r="C86" s="91">
        <v>2010</v>
      </c>
      <c r="D86" s="89" t="s">
        <v>226</v>
      </c>
      <c r="E86" s="83">
        <v>6551300</v>
      </c>
      <c r="F86" s="190"/>
      <c r="G86" s="190"/>
      <c r="H86" s="190"/>
      <c r="I86" s="190"/>
      <c r="J86" s="190"/>
      <c r="K86" s="190"/>
    </row>
    <row r="87" spans="1:11" s="29" customFormat="1" ht="46.5" customHeight="1">
      <c r="A87" s="84"/>
      <c r="B87" s="59">
        <v>85213</v>
      </c>
      <c r="C87" s="92"/>
      <c r="D87" s="89" t="s">
        <v>355</v>
      </c>
      <c r="E87" s="83">
        <f>SUM(E88:E89)</f>
        <v>49134</v>
      </c>
      <c r="F87" s="190"/>
      <c r="G87" s="190"/>
      <c r="H87" s="190"/>
      <c r="I87" s="190"/>
      <c r="J87" s="190"/>
      <c r="K87" s="190"/>
    </row>
    <row r="88" spans="1:11" s="29" customFormat="1" ht="33.75">
      <c r="A88" s="84"/>
      <c r="B88" s="59"/>
      <c r="C88" s="92">
        <v>2010</v>
      </c>
      <c r="D88" s="89" t="s">
        <v>226</v>
      </c>
      <c r="E88" s="83">
        <v>12000</v>
      </c>
      <c r="F88" s="191"/>
      <c r="G88" s="190"/>
      <c r="H88" s="190"/>
      <c r="I88" s="190"/>
      <c r="J88" s="190"/>
      <c r="K88" s="190"/>
    </row>
    <row r="89" spans="1:11" s="29" customFormat="1" ht="22.5">
      <c r="A89" s="84"/>
      <c r="B89" s="59"/>
      <c r="C89" s="86">
        <v>2030</v>
      </c>
      <c r="D89" s="89" t="s">
        <v>227</v>
      </c>
      <c r="E89" s="83">
        <v>37134</v>
      </c>
      <c r="F89" s="191"/>
      <c r="G89" s="190"/>
      <c r="H89" s="190"/>
      <c r="I89" s="190"/>
      <c r="J89" s="190"/>
      <c r="K89" s="190"/>
    </row>
    <row r="90" spans="1:11" s="29" customFormat="1" ht="23.25" customHeight="1">
      <c r="A90" s="84"/>
      <c r="B90" s="85" t="s">
        <v>164</v>
      </c>
      <c r="C90" s="92"/>
      <c r="D90" s="89" t="s">
        <v>58</v>
      </c>
      <c r="E90" s="83">
        <f>SUM(E91:E92)</f>
        <v>551695</v>
      </c>
      <c r="F90" s="190"/>
      <c r="G90" s="190"/>
      <c r="H90" s="190"/>
      <c r="I90" s="190"/>
      <c r="J90" s="190"/>
      <c r="K90" s="190"/>
    </row>
    <row r="91" spans="1:11" s="29" customFormat="1" ht="20.25" customHeight="1">
      <c r="A91" s="84"/>
      <c r="B91" s="85"/>
      <c r="C91" s="91" t="s">
        <v>205</v>
      </c>
      <c r="D91" s="89" t="s">
        <v>206</v>
      </c>
      <c r="E91" s="83">
        <v>12000</v>
      </c>
      <c r="F91" s="190"/>
      <c r="G91" s="190"/>
      <c r="H91" s="190"/>
      <c r="I91" s="190"/>
      <c r="J91" s="190"/>
      <c r="K91" s="190"/>
    </row>
    <row r="92" spans="1:11" s="29" customFormat="1" ht="22.5">
      <c r="A92" s="84"/>
      <c r="B92" s="85"/>
      <c r="C92" s="86">
        <v>2030</v>
      </c>
      <c r="D92" s="89" t="s">
        <v>227</v>
      </c>
      <c r="E92" s="83">
        <v>539695</v>
      </c>
      <c r="F92" s="190"/>
      <c r="G92" s="191"/>
      <c r="H92" s="190"/>
      <c r="I92" s="190"/>
      <c r="J92" s="190"/>
      <c r="K92" s="190"/>
    </row>
    <row r="93" spans="1:11" s="29" customFormat="1" ht="21.75" customHeight="1">
      <c r="A93" s="84"/>
      <c r="B93" s="85">
        <v>85216</v>
      </c>
      <c r="C93" s="86"/>
      <c r="D93" s="89" t="s">
        <v>378</v>
      </c>
      <c r="E93" s="83">
        <f>SUM(E94)</f>
        <v>449868</v>
      </c>
      <c r="F93" s="190"/>
      <c r="G93" s="191"/>
      <c r="H93" s="190"/>
      <c r="I93" s="190"/>
      <c r="J93" s="190"/>
      <c r="K93" s="190"/>
    </row>
    <row r="94" spans="1:11" s="29" customFormat="1" ht="23.25" customHeight="1">
      <c r="A94" s="84"/>
      <c r="B94" s="85"/>
      <c r="C94" s="86">
        <v>2030</v>
      </c>
      <c r="D94" s="89" t="s">
        <v>227</v>
      </c>
      <c r="E94" s="83">
        <v>449868</v>
      </c>
      <c r="F94" s="190"/>
      <c r="G94" s="191"/>
      <c r="H94" s="190"/>
      <c r="I94" s="190"/>
      <c r="J94" s="190"/>
      <c r="K94" s="190"/>
    </row>
    <row r="95" spans="1:11" s="29" customFormat="1" ht="24" customHeight="1">
      <c r="A95" s="84"/>
      <c r="B95" s="85" t="s">
        <v>165</v>
      </c>
      <c r="C95" s="92"/>
      <c r="D95" s="89" t="s">
        <v>60</v>
      </c>
      <c r="E95" s="83">
        <f>SUM(E96:E99)</f>
        <v>377449</v>
      </c>
      <c r="F95" s="190"/>
      <c r="G95" s="190"/>
      <c r="H95" s="190"/>
      <c r="I95" s="190"/>
      <c r="J95" s="190"/>
      <c r="K95" s="190"/>
    </row>
    <row r="96" spans="1:11" s="29" customFormat="1" ht="45.75" customHeight="1">
      <c r="A96" s="84"/>
      <c r="B96" s="85"/>
      <c r="C96" s="91" t="s">
        <v>170</v>
      </c>
      <c r="D96" s="46" t="s">
        <v>353</v>
      </c>
      <c r="E96" s="83">
        <v>2800</v>
      </c>
      <c r="F96" s="190"/>
      <c r="G96" s="190"/>
      <c r="H96" s="190"/>
      <c r="I96" s="190"/>
      <c r="J96" s="190"/>
      <c r="K96" s="190"/>
    </row>
    <row r="97" spans="1:11" s="29" customFormat="1" ht="21.75" customHeight="1">
      <c r="A97" s="84"/>
      <c r="B97" s="85"/>
      <c r="C97" s="91" t="s">
        <v>171</v>
      </c>
      <c r="D97" s="89" t="s">
        <v>11</v>
      </c>
      <c r="E97" s="83">
        <v>200</v>
      </c>
      <c r="F97" s="190"/>
      <c r="G97" s="190"/>
      <c r="H97" s="190"/>
      <c r="I97" s="190"/>
      <c r="J97" s="190"/>
      <c r="K97" s="190"/>
    </row>
    <row r="98" spans="1:11" s="29" customFormat="1" ht="21.75" customHeight="1">
      <c r="A98" s="84"/>
      <c r="B98" s="85"/>
      <c r="C98" s="91" t="s">
        <v>172</v>
      </c>
      <c r="D98" s="46" t="s">
        <v>12</v>
      </c>
      <c r="E98" s="83">
        <v>150</v>
      </c>
      <c r="F98" s="190"/>
      <c r="G98" s="190"/>
      <c r="H98" s="190"/>
      <c r="I98" s="190"/>
      <c r="J98" s="190"/>
      <c r="K98" s="190"/>
    </row>
    <row r="99" spans="1:11" s="29" customFormat="1" ht="22.5">
      <c r="A99" s="84"/>
      <c r="B99" s="85"/>
      <c r="C99" s="86">
        <v>2030</v>
      </c>
      <c r="D99" s="89" t="s">
        <v>227</v>
      </c>
      <c r="E99" s="83">
        <v>374299</v>
      </c>
      <c r="F99" s="190"/>
      <c r="G99" s="191"/>
      <c r="H99" s="190"/>
      <c r="I99" s="190"/>
      <c r="J99" s="190"/>
      <c r="K99" s="190"/>
    </row>
    <row r="100" spans="1:11" s="29" customFormat="1" ht="24" customHeight="1">
      <c r="A100" s="84"/>
      <c r="B100" s="85">
        <v>85295</v>
      </c>
      <c r="C100" s="86"/>
      <c r="D100" s="89" t="s">
        <v>214</v>
      </c>
      <c r="E100" s="83">
        <f>SUM(E101:E101)</f>
        <v>356895</v>
      </c>
      <c r="F100" s="190"/>
      <c r="G100" s="190"/>
      <c r="H100" s="190"/>
      <c r="I100" s="190"/>
      <c r="J100" s="190"/>
      <c r="K100" s="190"/>
    </row>
    <row r="101" spans="1:11" s="29" customFormat="1" ht="24" customHeight="1">
      <c r="A101" s="84"/>
      <c r="B101" s="85"/>
      <c r="C101" s="91" t="s">
        <v>205</v>
      </c>
      <c r="D101" s="89" t="s">
        <v>206</v>
      </c>
      <c r="E101" s="83">
        <v>356895</v>
      </c>
      <c r="F101" s="190"/>
      <c r="G101" s="190"/>
      <c r="H101" s="190"/>
      <c r="I101" s="190"/>
      <c r="J101" s="190"/>
      <c r="K101" s="190"/>
    </row>
    <row r="102" spans="1:11" s="9" customFormat="1" ht="24" customHeight="1">
      <c r="A102" s="36">
        <v>900</v>
      </c>
      <c r="B102" s="39"/>
      <c r="C102" s="40"/>
      <c r="D102" s="37" t="s">
        <v>63</v>
      </c>
      <c r="E102" s="70">
        <f>SUM(E105,E103)</f>
        <v>16000</v>
      </c>
      <c r="F102" s="28"/>
      <c r="G102" s="28"/>
      <c r="H102" s="28"/>
      <c r="I102" s="28"/>
      <c r="J102" s="28"/>
      <c r="K102" s="28"/>
    </row>
    <row r="103" spans="1:11" s="199" customFormat="1" ht="24" customHeight="1">
      <c r="A103" s="201"/>
      <c r="B103" s="202">
        <v>90001</v>
      </c>
      <c r="C103" s="203"/>
      <c r="D103" s="46" t="s">
        <v>64</v>
      </c>
      <c r="E103" s="83">
        <f>SUM(E104)</f>
        <v>10000</v>
      </c>
      <c r="F103" s="204"/>
      <c r="G103" s="204"/>
      <c r="H103" s="204"/>
      <c r="I103" s="204"/>
      <c r="J103" s="204"/>
      <c r="K103" s="204"/>
    </row>
    <row r="104" spans="1:11" s="199" customFormat="1" ht="24" customHeight="1">
      <c r="A104" s="205"/>
      <c r="B104" s="206"/>
      <c r="C104" s="91" t="s">
        <v>172</v>
      </c>
      <c r="D104" s="89" t="s">
        <v>12</v>
      </c>
      <c r="E104" s="83">
        <v>10000</v>
      </c>
      <c r="F104" s="204"/>
      <c r="G104" s="204"/>
      <c r="H104" s="204"/>
      <c r="I104" s="204"/>
      <c r="J104" s="204"/>
      <c r="K104" s="204"/>
    </row>
    <row r="105" spans="1:11" s="29" customFormat="1" ht="24" customHeight="1">
      <c r="A105" s="84"/>
      <c r="B105" s="85">
        <v>90095</v>
      </c>
      <c r="C105" s="86"/>
      <c r="D105" s="89" t="s">
        <v>6</v>
      </c>
      <c r="E105" s="83">
        <f>SUM(E106)</f>
        <v>6000</v>
      </c>
      <c r="F105" s="190"/>
      <c r="G105" s="190"/>
      <c r="H105" s="190"/>
      <c r="I105" s="190"/>
      <c r="J105" s="190"/>
      <c r="K105" s="190"/>
    </row>
    <row r="106" spans="1:11" s="29" customFormat="1" ht="21.75" customHeight="1">
      <c r="A106" s="84"/>
      <c r="B106" s="85"/>
      <c r="C106" s="86" t="s">
        <v>186</v>
      </c>
      <c r="D106" s="89" t="s">
        <v>294</v>
      </c>
      <c r="E106" s="83">
        <v>6000</v>
      </c>
      <c r="F106" s="190"/>
      <c r="G106" s="190"/>
      <c r="H106" s="190"/>
      <c r="I106" s="190"/>
      <c r="J106" s="190"/>
      <c r="K106" s="190"/>
    </row>
    <row r="107" spans="1:11" s="9" customFormat="1" ht="24" customHeight="1">
      <c r="A107" s="36" t="s">
        <v>65</v>
      </c>
      <c r="B107" s="4"/>
      <c r="C107" s="5"/>
      <c r="D107" s="37" t="s">
        <v>71</v>
      </c>
      <c r="E107" s="70">
        <f>SUM(E108)</f>
        <v>60000</v>
      </c>
      <c r="F107" s="28"/>
      <c r="G107" s="28"/>
      <c r="H107" s="28"/>
      <c r="I107" s="28"/>
      <c r="J107" s="28"/>
      <c r="K107" s="28"/>
    </row>
    <row r="108" spans="1:11" s="29" customFormat="1" ht="24" customHeight="1">
      <c r="A108" s="84"/>
      <c r="B108" s="85" t="s">
        <v>66</v>
      </c>
      <c r="C108" s="92"/>
      <c r="D108" s="89" t="s">
        <v>67</v>
      </c>
      <c r="E108" s="83">
        <f>SUM(E109)</f>
        <v>60000</v>
      </c>
      <c r="F108" s="190"/>
      <c r="G108" s="190"/>
      <c r="H108" s="190"/>
      <c r="I108" s="190"/>
      <c r="J108" s="190"/>
      <c r="K108" s="190"/>
    </row>
    <row r="109" spans="1:11" s="29" customFormat="1" ht="33.75">
      <c r="A109" s="85"/>
      <c r="B109" s="85"/>
      <c r="C109" s="86">
        <v>2320</v>
      </c>
      <c r="D109" s="89" t="s">
        <v>228</v>
      </c>
      <c r="E109" s="83">
        <v>60000</v>
      </c>
      <c r="F109" s="190"/>
      <c r="G109" s="190"/>
      <c r="H109" s="191"/>
      <c r="I109" s="190"/>
      <c r="J109" s="190"/>
      <c r="K109" s="190"/>
    </row>
    <row r="110" spans="1:8" ht="26.25" customHeight="1">
      <c r="A110" s="17"/>
      <c r="B110" s="18"/>
      <c r="C110" s="19"/>
      <c r="D110" s="20" t="s">
        <v>70</v>
      </c>
      <c r="E110" s="70">
        <f>SUM(E7,E11,E18,E23,E26,E30,E58,E84,E102,E107,E67)</f>
        <v>57140821</v>
      </c>
      <c r="F110" s="189"/>
      <c r="G110" s="189"/>
      <c r="H110" s="189"/>
    </row>
    <row r="111" spans="6:8" ht="12.75">
      <c r="F111" s="150"/>
      <c r="G111" s="150"/>
      <c r="H111" s="189"/>
    </row>
    <row r="112" ht="12.75">
      <c r="D112" s="116"/>
    </row>
    <row r="113" ht="12.75">
      <c r="D113" s="116"/>
    </row>
    <row r="114" ht="12.75">
      <c r="D114" s="116"/>
    </row>
    <row r="115" ht="12.75">
      <c r="D115" s="116"/>
    </row>
    <row r="116" ht="12.75">
      <c r="D116" s="116"/>
    </row>
    <row r="117" ht="12.75">
      <c r="D117" s="116"/>
    </row>
    <row r="118" ht="12.75">
      <c r="D118" s="116"/>
    </row>
    <row r="119" ht="12.75">
      <c r="D119" s="116"/>
    </row>
    <row r="120" ht="12.75">
      <c r="D120" s="116"/>
    </row>
    <row r="121" ht="12.75">
      <c r="D121" s="116"/>
    </row>
    <row r="122" ht="12.75">
      <c r="D122" s="116"/>
    </row>
    <row r="123" ht="12.75">
      <c r="D123" s="116"/>
    </row>
    <row r="124" ht="12.75">
      <c r="D124" s="116"/>
    </row>
    <row r="125" ht="12.75">
      <c r="D125" s="116"/>
    </row>
    <row r="126" spans="4:5" ht="12.75">
      <c r="D126" s="116"/>
      <c r="E126" s="63"/>
    </row>
    <row r="127" ht="12.75">
      <c r="D127" s="116"/>
    </row>
    <row r="128" ht="12.75">
      <c r="D128" s="116"/>
    </row>
    <row r="129" ht="12.75">
      <c r="D129" s="116"/>
    </row>
    <row r="130" ht="12.75">
      <c r="D130" s="116"/>
    </row>
    <row r="131" ht="12.75">
      <c r="D131" s="116"/>
    </row>
    <row r="132" spans="4:5" ht="12.75">
      <c r="D132" s="116"/>
      <c r="E132" s="63"/>
    </row>
    <row r="133" ht="12.75">
      <c r="D133" s="116"/>
    </row>
    <row r="134" ht="12.75">
      <c r="D134" s="116"/>
    </row>
    <row r="135" ht="12.75">
      <c r="D135" s="116"/>
    </row>
    <row r="136" ht="12.75">
      <c r="D136" s="116"/>
    </row>
    <row r="137" ht="12.75">
      <c r="D137" s="116"/>
    </row>
    <row r="138" ht="12.75">
      <c r="D138" s="115"/>
    </row>
    <row r="151" ht="12.75">
      <c r="E151" s="63"/>
    </row>
    <row r="152" ht="12.75">
      <c r="E152" s="63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K16" sqref="K16"/>
    </sheetView>
  </sheetViews>
  <sheetFormatPr defaultColWidth="9.00390625" defaultRowHeight="12.75"/>
  <cols>
    <col min="1" max="1" width="7.25390625" style="9" customWidth="1"/>
    <col min="2" max="2" width="8.00390625" style="9" customWidth="1"/>
    <col min="3" max="3" width="6.375" style="9" customWidth="1"/>
    <col min="4" max="4" width="40.00390625" style="9" customWidth="1"/>
    <col min="5" max="5" width="22.25390625" style="9" customWidth="1"/>
    <col min="6" max="6" width="11.00390625" style="9" hidden="1" customWidth="1"/>
  </cols>
  <sheetData>
    <row r="1" spans="5:6" ht="12.75">
      <c r="E1" s="69" t="s">
        <v>236</v>
      </c>
      <c r="F1" s="69"/>
    </row>
    <row r="2" spans="5:6" ht="12.75">
      <c r="E2" s="69" t="s">
        <v>441</v>
      </c>
      <c r="F2" s="69"/>
    </row>
    <row r="3" spans="5:6" ht="12.75">
      <c r="E3" s="69" t="s">
        <v>154</v>
      </c>
      <c r="F3" s="69"/>
    </row>
    <row r="4" spans="5:6" ht="12.75">
      <c r="E4" s="69" t="s">
        <v>442</v>
      </c>
      <c r="F4" s="69"/>
    </row>
    <row r="5" spans="1:6" ht="30" customHeight="1">
      <c r="A5" s="355" t="s">
        <v>421</v>
      </c>
      <c r="B5" s="355"/>
      <c r="C5" s="355"/>
      <c r="D5" s="355"/>
      <c r="E5" s="355"/>
      <c r="F5"/>
    </row>
    <row r="6" spans="1:6" ht="21" customHeight="1">
      <c r="A6" s="354" t="s">
        <v>251</v>
      </c>
      <c r="B6" s="354"/>
      <c r="C6" s="354"/>
      <c r="D6" s="354"/>
      <c r="E6" s="354"/>
      <c r="F6"/>
    </row>
    <row r="7" spans="1:6" ht="21" customHeight="1">
      <c r="A7" s="14" t="s">
        <v>0</v>
      </c>
      <c r="B7" s="14" t="s">
        <v>1</v>
      </c>
      <c r="C7" s="14" t="s">
        <v>2</v>
      </c>
      <c r="D7" s="14" t="s">
        <v>3</v>
      </c>
      <c r="E7" s="154" t="s">
        <v>146</v>
      </c>
      <c r="F7" s="154" t="s">
        <v>208</v>
      </c>
    </row>
    <row r="8" spans="1:6" s="8" customFormat="1" ht="21" customHeight="1">
      <c r="A8" s="39" t="s">
        <v>130</v>
      </c>
      <c r="B8" s="7"/>
      <c r="C8" s="6"/>
      <c r="D8" s="23" t="s">
        <v>63</v>
      </c>
      <c r="E8" s="21">
        <f>SUM(E9)</f>
        <v>200000</v>
      </c>
      <c r="F8" s="21">
        <f>SUM(F9)</f>
        <v>0</v>
      </c>
    </row>
    <row r="9" spans="1:6" s="8" customFormat="1" ht="24">
      <c r="A9" s="3"/>
      <c r="B9" s="155">
        <v>90011</v>
      </c>
      <c r="C9" s="4"/>
      <c r="D9" s="156" t="s">
        <v>252</v>
      </c>
      <c r="E9" s="153">
        <f>SUM(E10:E10)</f>
        <v>200000</v>
      </c>
      <c r="F9" s="153">
        <f>SUM(F10:F10)</f>
        <v>0</v>
      </c>
    </row>
    <row r="10" spans="1:6" s="9" customFormat="1" ht="21" customHeight="1">
      <c r="A10" s="3"/>
      <c r="B10" s="155"/>
      <c r="C10" s="160" t="s">
        <v>192</v>
      </c>
      <c r="D10" s="156" t="s">
        <v>151</v>
      </c>
      <c r="E10" s="153">
        <v>200000</v>
      </c>
      <c r="F10" s="153"/>
    </row>
    <row r="11" spans="1:6" ht="21" customHeight="1">
      <c r="A11" s="161"/>
      <c r="B11" s="22"/>
      <c r="C11" s="22"/>
      <c r="D11" s="14" t="s">
        <v>70</v>
      </c>
      <c r="E11" s="21">
        <f>SUM(E8)</f>
        <v>200000</v>
      </c>
      <c r="F11" s="21">
        <f>SUM(F8)</f>
        <v>0</v>
      </c>
    </row>
    <row r="12" ht="21" customHeight="1"/>
    <row r="13" spans="1:6" ht="21" customHeight="1">
      <c r="A13" s="353" t="s">
        <v>253</v>
      </c>
      <c r="B13" s="353"/>
      <c r="C13" s="353"/>
      <c r="D13" s="353"/>
      <c r="E13" s="353"/>
      <c r="F13"/>
    </row>
    <row r="14" spans="1:6" ht="21" customHeight="1">
      <c r="A14" s="14" t="s">
        <v>0</v>
      </c>
      <c r="B14" s="14" t="s">
        <v>1</v>
      </c>
      <c r="C14" s="14" t="s">
        <v>2</v>
      </c>
      <c r="D14" s="14" t="s">
        <v>3</v>
      </c>
      <c r="E14" s="154" t="s">
        <v>146</v>
      </c>
      <c r="F14" s="154" t="s">
        <v>208</v>
      </c>
    </row>
    <row r="15" spans="1:6" s="8" customFormat="1" ht="21" customHeight="1">
      <c r="A15" s="39" t="s">
        <v>130</v>
      </c>
      <c r="B15" s="7"/>
      <c r="C15" s="6"/>
      <c r="D15" s="23" t="s">
        <v>63</v>
      </c>
      <c r="E15" s="21">
        <f>SUM(E16)</f>
        <v>200000</v>
      </c>
      <c r="F15" s="21">
        <f>SUM(F16)</f>
        <v>0</v>
      </c>
    </row>
    <row r="16" spans="1:6" s="8" customFormat="1" ht="24">
      <c r="A16" s="3"/>
      <c r="B16" s="155">
        <v>90011</v>
      </c>
      <c r="C16" s="4"/>
      <c r="D16" s="156" t="s">
        <v>252</v>
      </c>
      <c r="E16" s="153">
        <f>SUM(E17,E22)</f>
        <v>200000</v>
      </c>
      <c r="F16" s="153">
        <f>SUM(F17,F22,F21)</f>
        <v>0</v>
      </c>
    </row>
    <row r="17" spans="1:6" s="9" customFormat="1" ht="21" customHeight="1">
      <c r="A17" s="3"/>
      <c r="B17" s="155"/>
      <c r="C17" s="4">
        <v>4210</v>
      </c>
      <c r="D17" s="156" t="s">
        <v>75</v>
      </c>
      <c r="E17" s="153">
        <f>SUM(E18:E21)</f>
        <v>19000</v>
      </c>
      <c r="F17" s="153">
        <f>SUM(F18:F20)</f>
        <v>0</v>
      </c>
    </row>
    <row r="18" spans="1:6" ht="21" customHeight="1">
      <c r="A18" s="157"/>
      <c r="B18" s="158"/>
      <c r="C18" s="162"/>
      <c r="D18" s="57" t="s">
        <v>332</v>
      </c>
      <c r="E18" s="58">
        <v>3000</v>
      </c>
      <c r="F18" s="58"/>
    </row>
    <row r="19" spans="1:6" ht="21" customHeight="1">
      <c r="A19" s="157"/>
      <c r="B19" s="158"/>
      <c r="C19" s="162"/>
      <c r="D19" s="57" t="s">
        <v>333</v>
      </c>
      <c r="E19" s="58">
        <v>10000</v>
      </c>
      <c r="F19" s="58"/>
    </row>
    <row r="20" spans="1:6" ht="21" customHeight="1">
      <c r="A20" s="157"/>
      <c r="B20" s="158"/>
      <c r="C20" s="162"/>
      <c r="D20" s="57" t="s">
        <v>334</v>
      </c>
      <c r="E20" s="58">
        <v>3000</v>
      </c>
      <c r="F20" s="58"/>
    </row>
    <row r="21" spans="1:6" ht="21" customHeight="1">
      <c r="A21" s="157"/>
      <c r="B21" s="158"/>
      <c r="C21" s="162"/>
      <c r="D21" s="57" t="s">
        <v>407</v>
      </c>
      <c r="E21" s="58">
        <v>3000</v>
      </c>
      <c r="F21" s="58"/>
    </row>
    <row r="22" spans="1:6" s="9" customFormat="1" ht="21" customHeight="1">
      <c r="A22" s="3"/>
      <c r="B22" s="155"/>
      <c r="C22" s="160">
        <v>4300</v>
      </c>
      <c r="D22" s="156" t="s">
        <v>82</v>
      </c>
      <c r="E22" s="153">
        <f>SUM(E23:E29)</f>
        <v>181000</v>
      </c>
      <c r="F22" s="153">
        <f>SUM(F23:F25)</f>
        <v>0</v>
      </c>
    </row>
    <row r="23" spans="1:6" ht="21" customHeight="1">
      <c r="A23" s="157"/>
      <c r="B23" s="158"/>
      <c r="C23" s="162"/>
      <c r="D23" s="57" t="s">
        <v>335</v>
      </c>
      <c r="E23" s="58">
        <f>163600-50000</f>
        <v>113600</v>
      </c>
      <c r="F23" s="58"/>
    </row>
    <row r="24" spans="1:6" ht="21" customHeight="1">
      <c r="A24" s="157"/>
      <c r="B24" s="158"/>
      <c r="C24" s="162"/>
      <c r="D24" s="57" t="s">
        <v>336</v>
      </c>
      <c r="E24" s="58">
        <v>10000</v>
      </c>
      <c r="F24" s="58"/>
    </row>
    <row r="25" spans="1:6" ht="21" customHeight="1">
      <c r="A25" s="157"/>
      <c r="B25" s="159"/>
      <c r="C25" s="159"/>
      <c r="D25" s="57" t="s">
        <v>337</v>
      </c>
      <c r="E25" s="58">
        <v>15000</v>
      </c>
      <c r="F25" s="58"/>
    </row>
    <row r="26" spans="1:6" ht="21" customHeight="1">
      <c r="A26" s="157"/>
      <c r="B26" s="159"/>
      <c r="C26" s="159"/>
      <c r="D26" s="57" t="s">
        <v>338</v>
      </c>
      <c r="E26" s="58">
        <v>12000</v>
      </c>
      <c r="F26" s="58"/>
    </row>
    <row r="27" spans="1:6" ht="21" customHeight="1">
      <c r="A27" s="157"/>
      <c r="B27" s="159"/>
      <c r="C27" s="159"/>
      <c r="D27" s="57" t="s">
        <v>339</v>
      </c>
      <c r="E27" s="58">
        <v>10000</v>
      </c>
      <c r="F27" s="58"/>
    </row>
    <row r="28" spans="1:6" ht="21" customHeight="1">
      <c r="A28" s="157"/>
      <c r="B28" s="159"/>
      <c r="C28" s="159"/>
      <c r="D28" s="57" t="s">
        <v>340</v>
      </c>
      <c r="E28" s="58">
        <v>20000</v>
      </c>
      <c r="F28" s="58"/>
    </row>
    <row r="29" spans="1:6" ht="21" customHeight="1">
      <c r="A29" s="157"/>
      <c r="B29" s="159"/>
      <c r="C29" s="159"/>
      <c r="D29" s="57" t="s">
        <v>341</v>
      </c>
      <c r="E29" s="58">
        <v>400</v>
      </c>
      <c r="F29" s="58"/>
    </row>
    <row r="30" spans="1:6" ht="21" customHeight="1">
      <c r="A30" s="3"/>
      <c r="B30" s="4"/>
      <c r="C30" s="4"/>
      <c r="D30" s="14" t="s">
        <v>70</v>
      </c>
      <c r="E30" s="21">
        <f>SUM(E16)</f>
        <v>200000</v>
      </c>
      <c r="F30" s="21">
        <f>SUM(F16)</f>
        <v>0</v>
      </c>
    </row>
    <row r="31" spans="1:6" ht="0.75" customHeight="1" hidden="1">
      <c r="A31" s="163"/>
      <c r="B31" s="164"/>
      <c r="C31" s="159"/>
      <c r="D31" s="165" t="s">
        <v>254</v>
      </c>
      <c r="E31" s="21">
        <f>SUM(E11-E30)</f>
        <v>0</v>
      </c>
      <c r="F31" s="21"/>
    </row>
  </sheetData>
  <sheetProtection/>
  <mergeCells count="3">
    <mergeCell ref="A13:E13"/>
    <mergeCell ref="A6:E6"/>
    <mergeCell ref="A5:E5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41.00390625" style="0" customWidth="1"/>
    <col min="4" max="4" width="12.75390625" style="0" customWidth="1"/>
    <col min="5" max="5" width="11.375" style="0" bestFit="1" customWidth="1"/>
    <col min="6" max="6" width="12.75390625" style="0" customWidth="1"/>
    <col min="7" max="7" width="11.375" style="0" bestFit="1" customWidth="1"/>
    <col min="8" max="8" width="11.125" style="0" customWidth="1"/>
    <col min="9" max="9" width="12.00390625" style="0" customWidth="1"/>
  </cols>
  <sheetData>
    <row r="1" ht="12.75">
      <c r="H1" s="199" t="s">
        <v>429</v>
      </c>
    </row>
    <row r="2" ht="12.75">
      <c r="H2" s="199" t="s">
        <v>441</v>
      </c>
    </row>
    <row r="3" ht="12.75">
      <c r="H3" s="199" t="s">
        <v>154</v>
      </c>
    </row>
    <row r="4" ht="12.75">
      <c r="H4" s="199" t="s">
        <v>442</v>
      </c>
    </row>
    <row r="7" spans="1:2" ht="15">
      <c r="A7" s="168" t="s">
        <v>430</v>
      </c>
      <c r="B7" s="168"/>
    </row>
    <row r="9" spans="1:9" s="170" customFormat="1" ht="22.5" customHeight="1">
      <c r="A9" s="362" t="s">
        <v>265</v>
      </c>
      <c r="B9" s="366" t="s">
        <v>299</v>
      </c>
      <c r="C9" s="362" t="s">
        <v>266</v>
      </c>
      <c r="D9" s="362" t="s">
        <v>267</v>
      </c>
      <c r="E9" s="362"/>
      <c r="F9" s="363" t="s">
        <v>261</v>
      </c>
      <c r="G9" s="364"/>
      <c r="H9" s="364"/>
      <c r="I9" s="365"/>
    </row>
    <row r="10" spans="1:9" s="170" customFormat="1" ht="36">
      <c r="A10" s="362"/>
      <c r="B10" s="367"/>
      <c r="C10" s="362"/>
      <c r="D10" s="169" t="s">
        <v>268</v>
      </c>
      <c r="E10" s="117" t="s">
        <v>269</v>
      </c>
      <c r="F10" s="169" t="s">
        <v>268</v>
      </c>
      <c r="G10" s="117" t="s">
        <v>270</v>
      </c>
      <c r="H10" s="117" t="s">
        <v>271</v>
      </c>
      <c r="I10" s="117" t="s">
        <v>272</v>
      </c>
    </row>
    <row r="11" spans="1:9" s="172" customFormat="1" ht="14.25" customHeight="1">
      <c r="A11" s="171">
        <v>1</v>
      </c>
      <c r="B11" s="171"/>
      <c r="C11" s="171">
        <v>2</v>
      </c>
      <c r="D11" s="171">
        <v>3</v>
      </c>
      <c r="E11" s="171">
        <v>4</v>
      </c>
      <c r="F11" s="171">
        <v>5</v>
      </c>
      <c r="G11" s="171">
        <v>6</v>
      </c>
      <c r="H11" s="171">
        <v>7</v>
      </c>
      <c r="I11" s="171">
        <v>8</v>
      </c>
    </row>
    <row r="12" spans="1:11" s="13" customFormat="1" ht="24.75" customHeight="1">
      <c r="A12" s="318"/>
      <c r="B12" s="318"/>
      <c r="C12" s="319" t="s">
        <v>289</v>
      </c>
      <c r="D12" s="320">
        <f aca="true" t="shared" si="0" ref="D12:I12">SUM(D13:D14)</f>
        <v>4630494</v>
      </c>
      <c r="E12" s="320">
        <f t="shared" si="0"/>
        <v>3648559</v>
      </c>
      <c r="F12" s="320">
        <f t="shared" si="0"/>
        <v>4630494</v>
      </c>
      <c r="G12" s="320">
        <f t="shared" si="0"/>
        <v>3357866</v>
      </c>
      <c r="H12" s="320">
        <f t="shared" si="0"/>
        <v>1256628</v>
      </c>
      <c r="I12" s="320">
        <f t="shared" si="0"/>
        <v>16000</v>
      </c>
      <c r="J12" s="173"/>
      <c r="K12" s="186"/>
    </row>
    <row r="13" spans="1:11" s="8" customFormat="1" ht="24.75" customHeight="1">
      <c r="A13" s="177"/>
      <c r="B13" s="177">
        <v>80104</v>
      </c>
      <c r="C13" s="178" t="s">
        <v>300</v>
      </c>
      <c r="D13" s="278">
        <v>4614852</v>
      </c>
      <c r="E13" s="278">
        <v>3632917</v>
      </c>
      <c r="F13" s="279">
        <f>SUM(G13:I13)</f>
        <v>4614852</v>
      </c>
      <c r="G13" s="278">
        <v>3357866</v>
      </c>
      <c r="H13" s="278">
        <v>1240986</v>
      </c>
      <c r="I13" s="278">
        <v>16000</v>
      </c>
      <c r="J13" s="179"/>
      <c r="K13" s="200"/>
    </row>
    <row r="14" spans="1:11" s="8" customFormat="1" ht="24.75" customHeight="1">
      <c r="A14" s="180"/>
      <c r="B14" s="180">
        <v>80146</v>
      </c>
      <c r="C14" s="181" t="s">
        <v>156</v>
      </c>
      <c r="D14" s="279">
        <v>15642</v>
      </c>
      <c r="E14" s="279">
        <v>15642</v>
      </c>
      <c r="F14" s="279">
        <f>SUM(G14:I14)</f>
        <v>15642</v>
      </c>
      <c r="G14" s="279">
        <v>0</v>
      </c>
      <c r="H14" s="279">
        <v>15642</v>
      </c>
      <c r="I14" s="279">
        <v>0</v>
      </c>
      <c r="J14" s="179"/>
      <c r="K14" s="200">
        <f>F13-D13</f>
        <v>0</v>
      </c>
    </row>
    <row r="15" spans="1:10" s="26" customFormat="1" ht="12.75">
      <c r="A15" s="182"/>
      <c r="B15" s="182"/>
      <c r="C15" s="183"/>
      <c r="D15" s="184"/>
      <c r="E15" s="185"/>
      <c r="F15" s="184"/>
      <c r="G15" s="185"/>
      <c r="H15" s="185"/>
      <c r="I15" s="185"/>
      <c r="J15" s="184"/>
    </row>
    <row r="16" spans="1:10" s="26" customFormat="1" ht="12.75">
      <c r="A16" s="182"/>
      <c r="B16" s="182"/>
      <c r="C16" s="183"/>
      <c r="D16" s="184"/>
      <c r="E16" s="185"/>
      <c r="F16" s="184"/>
      <c r="G16" s="185"/>
      <c r="H16" s="185"/>
      <c r="I16" s="185"/>
      <c r="J16" s="184"/>
    </row>
    <row r="17" spans="1:10" s="26" customFormat="1" ht="12.75">
      <c r="A17" s="182"/>
      <c r="B17" s="182"/>
      <c r="C17" s="183"/>
      <c r="D17" s="184"/>
      <c r="E17" s="185"/>
      <c r="F17" s="184"/>
      <c r="G17" s="185"/>
      <c r="H17" s="185"/>
      <c r="I17" s="185"/>
      <c r="J17" s="184"/>
    </row>
    <row r="18" spans="1:10" s="26" customFormat="1" ht="12.75">
      <c r="A18" s="182"/>
      <c r="B18" s="182"/>
      <c r="C18" s="183"/>
      <c r="D18" s="184"/>
      <c r="E18" s="185"/>
      <c r="F18" s="184"/>
      <c r="G18" s="185"/>
      <c r="H18" s="185"/>
      <c r="I18" s="185"/>
      <c r="J18" s="184"/>
    </row>
    <row r="19" spans="4:10" s="26" customFormat="1" ht="12.75">
      <c r="D19" s="184"/>
      <c r="E19" s="184"/>
      <c r="F19" s="184"/>
      <c r="G19" s="184"/>
      <c r="H19" s="184"/>
      <c r="I19" s="184"/>
      <c r="J19" s="184"/>
    </row>
  </sheetData>
  <sheetProtection/>
  <mergeCells count="5">
    <mergeCell ref="A9:A10"/>
    <mergeCell ref="C9:C10"/>
    <mergeCell ref="D9:E9"/>
    <mergeCell ref="F9:I9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5.125" style="29" customWidth="1"/>
    <col min="2" max="2" width="34.625" style="29" customWidth="1"/>
    <col min="3" max="3" width="19.625" style="29" customWidth="1"/>
    <col min="4" max="4" width="21.00390625" style="29" customWidth="1"/>
    <col min="5" max="5" width="19.625" style="29" hidden="1" customWidth="1"/>
    <col min="6" max="6" width="18.625" style="29" hidden="1" customWidth="1"/>
    <col min="7" max="7" width="19.625" style="29" hidden="1" customWidth="1"/>
    <col min="8" max="8" width="18.625" style="29" hidden="1" customWidth="1"/>
  </cols>
  <sheetData>
    <row r="1" spans="3:8" ht="12.75">
      <c r="C1" s="69"/>
      <c r="D1" s="69" t="s">
        <v>305</v>
      </c>
      <c r="E1" s="69"/>
      <c r="F1" s="69"/>
      <c r="G1" s="69"/>
      <c r="H1" s="69" t="s">
        <v>305</v>
      </c>
    </row>
    <row r="2" spans="3:8" ht="12.75">
      <c r="C2" s="69"/>
      <c r="D2" s="69" t="s">
        <v>441</v>
      </c>
      <c r="E2" s="69"/>
      <c r="F2" s="69"/>
      <c r="G2" s="69"/>
      <c r="H2" s="69" t="s">
        <v>441</v>
      </c>
    </row>
    <row r="3" spans="3:8" ht="12.75">
      <c r="C3" s="69"/>
      <c r="D3" s="69" t="s">
        <v>154</v>
      </c>
      <c r="E3" s="69"/>
      <c r="F3" s="69"/>
      <c r="G3" s="69"/>
      <c r="H3" s="69" t="s">
        <v>154</v>
      </c>
    </row>
    <row r="4" spans="3:8" ht="12.75">
      <c r="C4" s="69"/>
      <c r="D4" s="69" t="s">
        <v>442</v>
      </c>
      <c r="E4" s="69"/>
      <c r="F4" s="69"/>
      <c r="G4" s="69"/>
      <c r="H4" s="69" t="s">
        <v>442</v>
      </c>
    </row>
    <row r="5" spans="3:7" ht="12.75">
      <c r="C5" s="69"/>
      <c r="E5" s="69"/>
      <c r="G5" s="69"/>
    </row>
    <row r="6" spans="1:3" s="35" customFormat="1" ht="21.75" customHeight="1">
      <c r="A6" s="360" t="s">
        <v>420</v>
      </c>
      <c r="B6" s="360"/>
      <c r="C6" s="360"/>
    </row>
    <row r="7" spans="1:7" s="35" customFormat="1" ht="12" customHeight="1">
      <c r="A7" s="120"/>
      <c r="B7" s="120"/>
      <c r="C7" s="120"/>
      <c r="E7" s="120"/>
      <c r="G7" s="120"/>
    </row>
    <row r="8" spans="1:8" s="9" customFormat="1" ht="24" customHeight="1">
      <c r="A8" s="361" t="s">
        <v>2</v>
      </c>
      <c r="B8" s="361" t="s">
        <v>3</v>
      </c>
      <c r="C8" s="358" t="s">
        <v>147</v>
      </c>
      <c r="D8" s="358"/>
      <c r="E8" s="358" t="s">
        <v>433</v>
      </c>
      <c r="F8" s="358"/>
      <c r="G8" s="358" t="s">
        <v>147</v>
      </c>
      <c r="H8" s="358"/>
    </row>
    <row r="9" spans="1:8" s="9" customFormat="1" ht="24" customHeight="1">
      <c r="A9" s="361"/>
      <c r="B9" s="361"/>
      <c r="C9" s="121" t="s">
        <v>148</v>
      </c>
      <c r="D9" s="121" t="s">
        <v>149</v>
      </c>
      <c r="E9" s="121" t="s">
        <v>148</v>
      </c>
      <c r="F9" s="121" t="s">
        <v>149</v>
      </c>
      <c r="G9" s="121" t="s">
        <v>148</v>
      </c>
      <c r="H9" s="121" t="s">
        <v>149</v>
      </c>
    </row>
    <row r="10" spans="1:8" s="9" customFormat="1" ht="49.5" customHeight="1" hidden="1">
      <c r="A10" s="2">
        <v>903</v>
      </c>
      <c r="B10" s="52" t="s">
        <v>219</v>
      </c>
      <c r="C10" s="121"/>
      <c r="D10" s="121"/>
      <c r="E10" s="121"/>
      <c r="F10" s="121"/>
      <c r="G10" s="121"/>
      <c r="H10" s="121"/>
    </row>
    <row r="11" spans="1:8" s="9" customFormat="1" ht="42" customHeight="1">
      <c r="A11" s="2">
        <v>952</v>
      </c>
      <c r="B11" s="52" t="s">
        <v>155</v>
      </c>
      <c r="C11" s="11">
        <v>11482486</v>
      </c>
      <c r="D11" s="11"/>
      <c r="E11" s="11"/>
      <c r="F11" s="11"/>
      <c r="G11" s="11">
        <v>11482486</v>
      </c>
      <c r="H11" s="11"/>
    </row>
    <row r="12" spans="1:8" s="9" customFormat="1" ht="42" customHeight="1">
      <c r="A12" s="2">
        <v>992</v>
      </c>
      <c r="B12" s="52" t="s">
        <v>150</v>
      </c>
      <c r="C12" s="11"/>
      <c r="D12" s="11">
        <v>4553527</v>
      </c>
      <c r="E12" s="11"/>
      <c r="F12" s="11"/>
      <c r="G12" s="11"/>
      <c r="H12" s="11">
        <v>4553527</v>
      </c>
    </row>
    <row r="13" spans="1:8" s="9" customFormat="1" ht="42" customHeight="1">
      <c r="A13" s="131"/>
      <c r="B13" s="117" t="s">
        <v>70</v>
      </c>
      <c r="C13" s="11">
        <f aca="true" t="shared" si="0" ref="C13:H13">SUM(C11:C12)</f>
        <v>11482486</v>
      </c>
      <c r="D13" s="11">
        <f t="shared" si="0"/>
        <v>4553527</v>
      </c>
      <c r="E13" s="11">
        <f t="shared" si="0"/>
        <v>0</v>
      </c>
      <c r="F13" s="11">
        <f t="shared" si="0"/>
        <v>0</v>
      </c>
      <c r="G13" s="11">
        <f t="shared" si="0"/>
        <v>11482486</v>
      </c>
      <c r="H13" s="11">
        <f t="shared" si="0"/>
        <v>4553527</v>
      </c>
    </row>
    <row r="14" spans="2:8" s="9" customFormat="1" ht="42" customHeight="1">
      <c r="B14" s="2" t="s">
        <v>367</v>
      </c>
      <c r="C14" s="359">
        <f>SUM(C13-D13)</f>
        <v>6928959</v>
      </c>
      <c r="D14" s="359"/>
      <c r="E14" s="359">
        <f>SUM(E13-F13)</f>
        <v>0</v>
      </c>
      <c r="F14" s="359"/>
      <c r="G14" s="359">
        <f>SUM(G13-H13)</f>
        <v>6928959</v>
      </c>
      <c r="H14" s="359"/>
    </row>
  </sheetData>
  <sheetProtection/>
  <mergeCells count="9">
    <mergeCell ref="G8:H8"/>
    <mergeCell ref="G14:H14"/>
    <mergeCell ref="A6:C6"/>
    <mergeCell ref="A8:A9"/>
    <mergeCell ref="B8:B9"/>
    <mergeCell ref="C8:D8"/>
    <mergeCell ref="C14:D14"/>
    <mergeCell ref="E8:F8"/>
    <mergeCell ref="E14:F14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22.375" style="0" customWidth="1"/>
    <col min="4" max="4" width="15.125" style="0" customWidth="1"/>
    <col min="5" max="5" width="14.125" style="0" customWidth="1"/>
    <col min="6" max="6" width="14.25390625" style="0" customWidth="1"/>
    <col min="7" max="7" width="13.125" style="166" customWidth="1"/>
    <col min="8" max="9" width="12.125" style="166" customWidth="1"/>
  </cols>
  <sheetData>
    <row r="1" spans="1:9" ht="12.75">
      <c r="A1" s="225"/>
      <c r="B1" s="225"/>
      <c r="C1" s="225"/>
      <c r="D1" s="225"/>
      <c r="E1" s="225"/>
      <c r="F1" s="226"/>
      <c r="G1" s="227"/>
      <c r="H1" s="227" t="s">
        <v>364</v>
      </c>
      <c r="I1" s="228"/>
    </row>
    <row r="2" spans="1:9" ht="12.75">
      <c r="A2" s="225"/>
      <c r="B2" s="225"/>
      <c r="C2" s="225"/>
      <c r="D2" s="225"/>
      <c r="E2" s="225"/>
      <c r="F2" s="226"/>
      <c r="G2" s="227"/>
      <c r="H2" s="227" t="s">
        <v>441</v>
      </c>
      <c r="I2" s="228"/>
    </row>
    <row r="3" spans="1:9" ht="12.75">
      <c r="A3" s="225"/>
      <c r="B3" s="225"/>
      <c r="C3" s="225"/>
      <c r="D3" s="225"/>
      <c r="E3" s="225"/>
      <c r="F3" s="226"/>
      <c r="G3" s="227"/>
      <c r="H3" s="227" t="s">
        <v>154</v>
      </c>
      <c r="I3" s="228"/>
    </row>
    <row r="4" spans="1:9" ht="12.75">
      <c r="A4" s="225"/>
      <c r="B4" s="225"/>
      <c r="C4" s="225"/>
      <c r="D4" s="225"/>
      <c r="E4" s="225"/>
      <c r="F4" s="226"/>
      <c r="G4" s="227"/>
      <c r="H4" s="227" t="s">
        <v>442</v>
      </c>
      <c r="I4" s="228"/>
    </row>
    <row r="5" spans="1:9" ht="24" customHeight="1">
      <c r="A5" s="229" t="s">
        <v>426</v>
      </c>
      <c r="B5" s="225"/>
      <c r="C5" s="229"/>
      <c r="D5" s="229"/>
      <c r="E5" s="229"/>
      <c r="F5" s="229"/>
      <c r="G5" s="228"/>
      <c r="H5" s="228"/>
      <c r="I5" s="228"/>
    </row>
    <row r="6" spans="1:9" s="167" customFormat="1" ht="21" customHeight="1">
      <c r="A6" s="369" t="s">
        <v>255</v>
      </c>
      <c r="B6" s="372" t="s">
        <v>256</v>
      </c>
      <c r="C6" s="372" t="s">
        <v>257</v>
      </c>
      <c r="D6" s="372" t="s">
        <v>258</v>
      </c>
      <c r="E6" s="372" t="s">
        <v>259</v>
      </c>
      <c r="F6" s="372" t="s">
        <v>260</v>
      </c>
      <c r="G6" s="368" t="s">
        <v>360</v>
      </c>
      <c r="H6" s="368"/>
      <c r="I6" s="368"/>
    </row>
    <row r="7" spans="1:9" s="167" customFormat="1" ht="29.25" customHeight="1">
      <c r="A7" s="370"/>
      <c r="B7" s="373"/>
      <c r="C7" s="373"/>
      <c r="D7" s="373"/>
      <c r="E7" s="373"/>
      <c r="F7" s="373"/>
      <c r="G7" s="368">
        <v>2010</v>
      </c>
      <c r="H7" s="368">
        <v>2011</v>
      </c>
      <c r="I7" s="368">
        <v>2012</v>
      </c>
    </row>
    <row r="8" spans="1:9" s="167" customFormat="1" ht="21" customHeight="1">
      <c r="A8" s="370"/>
      <c r="B8" s="374"/>
      <c r="C8" s="374"/>
      <c r="D8" s="374"/>
      <c r="E8" s="374"/>
      <c r="F8" s="374"/>
      <c r="G8" s="368"/>
      <c r="H8" s="368"/>
      <c r="I8" s="368"/>
    </row>
    <row r="9" spans="1:9" s="29" customFormat="1" ht="18" customHeight="1">
      <c r="A9" s="371"/>
      <c r="B9" s="230">
        <v>1</v>
      </c>
      <c r="C9" s="230">
        <v>2</v>
      </c>
      <c r="D9" s="231">
        <v>3</v>
      </c>
      <c r="E9" s="232">
        <v>4</v>
      </c>
      <c r="F9" s="233">
        <v>5</v>
      </c>
      <c r="G9" s="232">
        <v>6</v>
      </c>
      <c r="H9" s="232">
        <v>7</v>
      </c>
      <c r="I9" s="232">
        <v>8</v>
      </c>
    </row>
    <row r="10" spans="1:9" s="29" customFormat="1" ht="43.5" customHeight="1">
      <c r="A10" s="232" t="s">
        <v>262</v>
      </c>
      <c r="B10" s="211" t="s">
        <v>357</v>
      </c>
      <c r="C10" s="211" t="s">
        <v>368</v>
      </c>
      <c r="D10" s="234" t="s">
        <v>263</v>
      </c>
      <c r="E10" s="235" t="s">
        <v>431</v>
      </c>
      <c r="F10" s="340">
        <f>SUM(G10:I10)</f>
        <v>1300000</v>
      </c>
      <c r="G10" s="321">
        <f>500000-200000</f>
        <v>300000</v>
      </c>
      <c r="H10" s="321">
        <v>500000</v>
      </c>
      <c r="I10" s="321">
        <v>500000</v>
      </c>
    </row>
    <row r="11" spans="1:9" s="133" customFormat="1" ht="43.5" customHeight="1">
      <c r="A11" s="232" t="s">
        <v>356</v>
      </c>
      <c r="B11" s="211" t="s">
        <v>361</v>
      </c>
      <c r="C11" s="211" t="s">
        <v>362</v>
      </c>
      <c r="D11" s="234" t="s">
        <v>263</v>
      </c>
      <c r="E11" s="235" t="s">
        <v>358</v>
      </c>
      <c r="F11" s="341">
        <f>5050000-138184</f>
        <v>4911816</v>
      </c>
      <c r="G11" s="321">
        <f>4350000-138184</f>
        <v>4211816</v>
      </c>
      <c r="H11" s="321">
        <v>0</v>
      </c>
      <c r="I11" s="321">
        <v>0</v>
      </c>
    </row>
    <row r="12" spans="1:9" s="29" customFormat="1" ht="56.25">
      <c r="A12" s="232" t="s">
        <v>264</v>
      </c>
      <c r="B12" s="211" t="s">
        <v>432</v>
      </c>
      <c r="C12" s="211" t="s">
        <v>363</v>
      </c>
      <c r="D12" s="234" t="s">
        <v>263</v>
      </c>
      <c r="E12" s="235" t="s">
        <v>359</v>
      </c>
      <c r="F12" s="341">
        <f>4762700-110000-213000</f>
        <v>4439700</v>
      </c>
      <c r="G12" s="321">
        <f>1628000-213000-110000</f>
        <v>1305000</v>
      </c>
      <c r="H12" s="321">
        <v>1672000</v>
      </c>
      <c r="I12" s="321">
        <v>0</v>
      </c>
    </row>
    <row r="13" spans="1:9" ht="22.5">
      <c r="A13" s="339" t="s">
        <v>456</v>
      </c>
      <c r="B13" s="211" t="s">
        <v>457</v>
      </c>
      <c r="C13" s="211" t="s">
        <v>362</v>
      </c>
      <c r="D13" s="234" t="s">
        <v>263</v>
      </c>
      <c r="E13" s="235" t="s">
        <v>431</v>
      </c>
      <c r="F13" s="321">
        <f>SUM(G13:I13)</f>
        <v>4415000</v>
      </c>
      <c r="G13" s="321">
        <v>100000</v>
      </c>
      <c r="H13" s="321">
        <f>2032500+250000</f>
        <v>2282500</v>
      </c>
      <c r="I13" s="321">
        <v>2032500</v>
      </c>
    </row>
  </sheetData>
  <sheetProtection/>
  <mergeCells count="10">
    <mergeCell ref="G7:G8"/>
    <mergeCell ref="H7:H8"/>
    <mergeCell ref="I7:I8"/>
    <mergeCell ref="A6:A9"/>
    <mergeCell ref="F6:F8"/>
    <mergeCell ref="E6:E8"/>
    <mergeCell ref="D6:D8"/>
    <mergeCell ref="C6:C8"/>
    <mergeCell ref="B6:B8"/>
    <mergeCell ref="G6:I6"/>
  </mergeCells>
  <printOptions horizontalCentered="1"/>
  <pageMargins left="0.32" right="0.35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4.75390625" style="9" bestFit="1" customWidth="1"/>
    <col min="2" max="2" width="8.625" style="9" customWidth="1"/>
    <col min="3" max="3" width="5.75390625" style="9" customWidth="1"/>
    <col min="4" max="4" width="44.625" style="9" customWidth="1"/>
    <col min="5" max="5" width="12.25390625" style="34" hidden="1" customWidth="1"/>
    <col min="6" max="6" width="11.25390625" style="34" hidden="1" customWidth="1"/>
    <col min="7" max="7" width="21.00390625" style="34" customWidth="1"/>
    <col min="8" max="8" width="13.125" style="0" customWidth="1"/>
    <col min="9" max="9" width="14.625" style="0" customWidth="1"/>
    <col min="10" max="10" width="10.25390625" style="0" customWidth="1"/>
    <col min="11" max="11" width="8.875" style="0" customWidth="1"/>
    <col min="12" max="12" width="16.875" style="0" customWidth="1"/>
    <col min="13" max="13" width="3.125" style="0" customWidth="1"/>
    <col min="14" max="14" width="7.25390625" style="0" customWidth="1"/>
    <col min="15" max="15" width="6.375" style="0" customWidth="1"/>
    <col min="16" max="16" width="5.875" style="0" customWidth="1"/>
    <col min="17" max="17" width="10.375" style="0" customWidth="1"/>
    <col min="19" max="19" width="10.00390625" style="0" bestFit="1" customWidth="1"/>
  </cols>
  <sheetData>
    <row r="1" spans="1:7" ht="12.75">
      <c r="A1" s="123"/>
      <c r="B1" s="123"/>
      <c r="C1" s="123"/>
      <c r="D1" s="123"/>
      <c r="E1" s="69"/>
      <c r="F1" s="69"/>
      <c r="G1" s="69" t="s">
        <v>198</v>
      </c>
    </row>
    <row r="2" spans="1:7" ht="12.75">
      <c r="A2" s="123"/>
      <c r="B2" s="123"/>
      <c r="C2" s="123"/>
      <c r="D2" s="123"/>
      <c r="E2" s="69"/>
      <c r="F2" s="69"/>
      <c r="G2" s="69" t="s">
        <v>441</v>
      </c>
    </row>
    <row r="3" spans="1:7" ht="12.75">
      <c r="A3" s="123"/>
      <c r="B3" s="123"/>
      <c r="C3" s="123"/>
      <c r="D3" s="123"/>
      <c r="E3" s="69"/>
      <c r="F3" s="69"/>
      <c r="G3" s="69" t="s">
        <v>154</v>
      </c>
    </row>
    <row r="4" spans="1:7" ht="12.75">
      <c r="A4" s="123"/>
      <c r="B4" s="123"/>
      <c r="C4" s="123"/>
      <c r="D4" s="123"/>
      <c r="E4" s="69"/>
      <c r="F4" s="69"/>
      <c r="G4" s="69" t="s">
        <v>442</v>
      </c>
    </row>
    <row r="5" spans="1:7" ht="21" customHeight="1">
      <c r="A5" s="343" t="s">
        <v>414</v>
      </c>
      <c r="B5" s="343"/>
      <c r="C5" s="343"/>
      <c r="D5" s="343"/>
      <c r="E5" s="343"/>
      <c r="F5" s="322"/>
      <c r="G5" s="322"/>
    </row>
    <row r="6" spans="1:7" s="9" customFormat="1" ht="24.75" customHeight="1">
      <c r="A6" s="43" t="s">
        <v>0</v>
      </c>
      <c r="B6" s="43" t="s">
        <v>1</v>
      </c>
      <c r="C6" s="43" t="s">
        <v>2</v>
      </c>
      <c r="D6" s="43" t="s">
        <v>3</v>
      </c>
      <c r="E6" s="71" t="s">
        <v>146</v>
      </c>
      <c r="F6" s="71" t="s">
        <v>433</v>
      </c>
      <c r="G6" s="71" t="s">
        <v>146</v>
      </c>
    </row>
    <row r="7" spans="1:7" s="13" customFormat="1" ht="21" customHeight="1">
      <c r="A7" s="41" t="s">
        <v>4</v>
      </c>
      <c r="B7" s="72"/>
      <c r="C7" s="73"/>
      <c r="D7" s="44" t="s">
        <v>5</v>
      </c>
      <c r="E7" s="45">
        <f>SUM(E8,E10,E12)</f>
        <v>302600</v>
      </c>
      <c r="F7" s="45">
        <f>SUM(F8,F10,F12)</f>
        <v>25000</v>
      </c>
      <c r="G7" s="45">
        <f>SUM(G8,G10,G12)</f>
        <v>327600</v>
      </c>
    </row>
    <row r="8" spans="1:7" s="199" customFormat="1" ht="21" customHeight="1">
      <c r="A8" s="249"/>
      <c r="B8" s="250" t="s">
        <v>379</v>
      </c>
      <c r="C8" s="251"/>
      <c r="D8" s="252" t="s">
        <v>380</v>
      </c>
      <c r="E8" s="93">
        <f>SUM(E9)</f>
        <v>45000</v>
      </c>
      <c r="F8" s="93">
        <f>SUM(F9)</f>
        <v>0</v>
      </c>
      <c r="G8" s="93">
        <f>SUM(G9)</f>
        <v>45000</v>
      </c>
    </row>
    <row r="9" spans="1:19" s="199" customFormat="1" ht="36">
      <c r="A9" s="249"/>
      <c r="B9" s="253"/>
      <c r="C9" s="251">
        <v>2830</v>
      </c>
      <c r="D9" s="252" t="s">
        <v>427</v>
      </c>
      <c r="E9" s="93">
        <v>45000</v>
      </c>
      <c r="F9" s="93"/>
      <c r="G9" s="93">
        <f>SUM(E9:F9)</f>
        <v>45000</v>
      </c>
      <c r="Q9" s="338"/>
      <c r="R9" s="338"/>
      <c r="S9" s="338"/>
    </row>
    <row r="10" spans="1:7" s="29" customFormat="1" ht="21" customHeight="1">
      <c r="A10" s="79"/>
      <c r="B10" s="94" t="s">
        <v>72</v>
      </c>
      <c r="C10" s="82"/>
      <c r="D10" s="46" t="s">
        <v>73</v>
      </c>
      <c r="E10" s="93">
        <f>SUM(E11)</f>
        <v>7600</v>
      </c>
      <c r="F10" s="93">
        <f>SUM(F11)</f>
        <v>0</v>
      </c>
      <c r="G10" s="93">
        <f>SUM(G11)</f>
        <v>7600</v>
      </c>
    </row>
    <row r="11" spans="1:7" s="29" customFormat="1" ht="24">
      <c r="A11" s="95"/>
      <c r="B11" s="96"/>
      <c r="C11" s="82">
        <v>2850</v>
      </c>
      <c r="D11" s="46" t="s">
        <v>74</v>
      </c>
      <c r="E11" s="93">
        <v>7600</v>
      </c>
      <c r="F11" s="93"/>
      <c r="G11" s="93">
        <f>SUM(E11:F11)</f>
        <v>7600</v>
      </c>
    </row>
    <row r="12" spans="1:7" s="29" customFormat="1" ht="24" customHeight="1">
      <c r="A12" s="95"/>
      <c r="B12" s="96" t="s">
        <v>391</v>
      </c>
      <c r="C12" s="82"/>
      <c r="D12" s="46" t="s">
        <v>409</v>
      </c>
      <c r="E12" s="93">
        <f>SUM(E13)</f>
        <v>250000</v>
      </c>
      <c r="F12" s="93">
        <f>SUM(F13)</f>
        <v>25000</v>
      </c>
      <c r="G12" s="93">
        <f>SUM(G13)</f>
        <v>275000</v>
      </c>
    </row>
    <row r="13" spans="1:7" s="29" customFormat="1" ht="24" customHeight="1">
      <c r="A13" s="95"/>
      <c r="B13" s="96"/>
      <c r="C13" s="82">
        <v>4300</v>
      </c>
      <c r="D13" s="46" t="s">
        <v>82</v>
      </c>
      <c r="E13" s="93">
        <v>250000</v>
      </c>
      <c r="F13" s="93">
        <v>25000</v>
      </c>
      <c r="G13" s="93">
        <f>SUM(E13:F13)</f>
        <v>275000</v>
      </c>
    </row>
    <row r="14" spans="1:7" s="8" customFormat="1" ht="21" customHeight="1">
      <c r="A14" s="41" t="s">
        <v>77</v>
      </c>
      <c r="B14" s="42"/>
      <c r="C14" s="43"/>
      <c r="D14" s="44" t="s">
        <v>78</v>
      </c>
      <c r="E14" s="45">
        <f>E15</f>
        <v>1046197</v>
      </c>
      <c r="F14" s="45">
        <f>F15</f>
        <v>1460000</v>
      </c>
      <c r="G14" s="45">
        <f>G15</f>
        <v>2506197</v>
      </c>
    </row>
    <row r="15" spans="1:7" s="29" customFormat="1" ht="21" customHeight="1">
      <c r="A15" s="79"/>
      <c r="B15" s="94" t="s">
        <v>79</v>
      </c>
      <c r="C15" s="98"/>
      <c r="D15" s="46" t="s">
        <v>80</v>
      </c>
      <c r="E15" s="93">
        <f>SUM(E16:E19)</f>
        <v>1046197</v>
      </c>
      <c r="F15" s="93">
        <f>SUM(F16:F19)</f>
        <v>1460000</v>
      </c>
      <c r="G15" s="93">
        <f>SUM(G16:G19)</f>
        <v>2506197</v>
      </c>
    </row>
    <row r="16" spans="1:7" s="29" customFormat="1" ht="21" customHeight="1">
      <c r="A16" s="79"/>
      <c r="B16" s="99"/>
      <c r="C16" s="79">
        <v>4210</v>
      </c>
      <c r="D16" s="46" t="s">
        <v>75</v>
      </c>
      <c r="E16" s="93">
        <f>19527+28019</f>
        <v>47546</v>
      </c>
      <c r="F16" s="93"/>
      <c r="G16" s="93">
        <f>SUM(E16:F16)</f>
        <v>47546</v>
      </c>
    </row>
    <row r="17" spans="1:7" s="29" customFormat="1" ht="21" customHeight="1">
      <c r="A17" s="79"/>
      <c r="B17" s="99"/>
      <c r="C17" s="79">
        <v>4270</v>
      </c>
      <c r="D17" s="46" t="s">
        <v>81</v>
      </c>
      <c r="E17" s="93">
        <f>250000+13800</f>
        <v>263800</v>
      </c>
      <c r="F17" s="93"/>
      <c r="G17" s="93">
        <f>SUM(E17:F17)</f>
        <v>263800</v>
      </c>
    </row>
    <row r="18" spans="1:7" s="29" customFormat="1" ht="21" customHeight="1">
      <c r="A18" s="79"/>
      <c r="B18" s="99"/>
      <c r="C18" s="79">
        <v>4300</v>
      </c>
      <c r="D18" s="46" t="s">
        <v>82</v>
      </c>
      <c r="E18" s="93">
        <f>245000+1200+19351</f>
        <v>265551</v>
      </c>
      <c r="F18" s="93">
        <v>20000</v>
      </c>
      <c r="G18" s="93">
        <f>SUM(E18:F18)</f>
        <v>285551</v>
      </c>
    </row>
    <row r="19" spans="1:16" s="29" customFormat="1" ht="21" customHeight="1">
      <c r="A19" s="79"/>
      <c r="B19" s="99"/>
      <c r="C19" s="79">
        <v>6050</v>
      </c>
      <c r="D19" s="46" t="s">
        <v>76</v>
      </c>
      <c r="E19" s="93">
        <f>6300+13000+450000</f>
        <v>469300</v>
      </c>
      <c r="F19" s="93">
        <f>-100000+500000+30000+500000+500000+10000</f>
        <v>1440000</v>
      </c>
      <c r="G19" s="93">
        <f>SUM(E19:F19)</f>
        <v>1909300</v>
      </c>
      <c r="N19" s="138"/>
      <c r="O19" s="138"/>
      <c r="P19" s="138"/>
    </row>
    <row r="20" spans="1:7" s="8" customFormat="1" ht="21" customHeight="1">
      <c r="A20" s="41" t="s">
        <v>8</v>
      </c>
      <c r="B20" s="42"/>
      <c r="C20" s="43"/>
      <c r="D20" s="44" t="s">
        <v>9</v>
      </c>
      <c r="E20" s="45">
        <f>SUM(E21,E23,E34)</f>
        <v>2992517</v>
      </c>
      <c r="F20" s="45">
        <f>SUM(F21,F23,F34)</f>
        <v>-700000</v>
      </c>
      <c r="G20" s="45">
        <f>SUM(G21,G23,G34)</f>
        <v>2292517</v>
      </c>
    </row>
    <row r="21" spans="1:7" s="29" customFormat="1" ht="21" customHeight="1">
      <c r="A21" s="79"/>
      <c r="B21" s="99">
        <v>70004</v>
      </c>
      <c r="C21" s="98"/>
      <c r="D21" s="46" t="s">
        <v>212</v>
      </c>
      <c r="E21" s="93">
        <f>SUM(E22)</f>
        <v>30000</v>
      </c>
      <c r="F21" s="93">
        <f>SUM(F22)</f>
        <v>0</v>
      </c>
      <c r="G21" s="93">
        <f>SUM(G22)</f>
        <v>30000</v>
      </c>
    </row>
    <row r="22" spans="1:7" s="29" customFormat="1" ht="21" customHeight="1">
      <c r="A22" s="79"/>
      <c r="B22" s="99"/>
      <c r="C22" s="98">
        <v>4300</v>
      </c>
      <c r="D22" s="46" t="s">
        <v>82</v>
      </c>
      <c r="E22" s="93">
        <v>30000</v>
      </c>
      <c r="F22" s="93"/>
      <c r="G22" s="93">
        <f>SUM(E22:F22)</f>
        <v>30000</v>
      </c>
    </row>
    <row r="23" spans="1:7" s="29" customFormat="1" ht="21" customHeight="1">
      <c r="A23" s="79"/>
      <c r="B23" s="94" t="s">
        <v>10</v>
      </c>
      <c r="C23" s="98"/>
      <c r="D23" s="46" t="s">
        <v>157</v>
      </c>
      <c r="E23" s="93">
        <f>SUM(E24:E33)</f>
        <v>2461932</v>
      </c>
      <c r="F23" s="93">
        <f>SUM(F24:F33)</f>
        <v>-500000</v>
      </c>
      <c r="G23" s="93">
        <f>SUM(G24:G33)</f>
        <v>1961932</v>
      </c>
    </row>
    <row r="24" spans="1:11" s="29" customFormat="1" ht="21" customHeight="1">
      <c r="A24" s="79"/>
      <c r="B24" s="94"/>
      <c r="C24" s="98">
        <v>4170</v>
      </c>
      <c r="D24" s="46" t="s">
        <v>204</v>
      </c>
      <c r="E24" s="93">
        <v>5000</v>
      </c>
      <c r="F24" s="93"/>
      <c r="G24" s="93">
        <f>SUM(E24:F24)</f>
        <v>5000</v>
      </c>
      <c r="I24" s="138"/>
      <c r="J24" s="138"/>
      <c r="K24" s="138"/>
    </row>
    <row r="25" spans="1:7" s="29" customFormat="1" ht="21" customHeight="1">
      <c r="A25" s="79"/>
      <c r="B25" s="94"/>
      <c r="C25" s="98">
        <v>4210</v>
      </c>
      <c r="D25" s="46" t="s">
        <v>75</v>
      </c>
      <c r="E25" s="93">
        <v>74000</v>
      </c>
      <c r="F25" s="93"/>
      <c r="G25" s="93">
        <f aca="true" t="shared" si="0" ref="G25:G33">SUM(E25:F25)</f>
        <v>74000</v>
      </c>
    </row>
    <row r="26" spans="1:7" s="29" customFormat="1" ht="21" customHeight="1">
      <c r="A26" s="79"/>
      <c r="B26" s="94"/>
      <c r="C26" s="98">
        <v>4260</v>
      </c>
      <c r="D26" s="46" t="s">
        <v>98</v>
      </c>
      <c r="E26" s="93">
        <v>73800</v>
      </c>
      <c r="F26" s="93"/>
      <c r="G26" s="93">
        <f t="shared" si="0"/>
        <v>73800</v>
      </c>
    </row>
    <row r="27" spans="1:7" s="29" customFormat="1" ht="21" customHeight="1">
      <c r="A27" s="79"/>
      <c r="B27" s="94"/>
      <c r="C27" s="98">
        <v>4270</v>
      </c>
      <c r="D27" s="46" t="s">
        <v>81</v>
      </c>
      <c r="E27" s="93">
        <v>1200000</v>
      </c>
      <c r="F27" s="93">
        <v>-500000</v>
      </c>
      <c r="G27" s="93">
        <f t="shared" si="0"/>
        <v>700000</v>
      </c>
    </row>
    <row r="28" spans="1:7" s="29" customFormat="1" ht="21" customHeight="1">
      <c r="A28" s="79"/>
      <c r="B28" s="99"/>
      <c r="C28" s="79">
        <v>4300</v>
      </c>
      <c r="D28" s="46" t="s">
        <v>82</v>
      </c>
      <c r="E28" s="93">
        <f>600+201200+90000-5000</f>
        <v>286800</v>
      </c>
      <c r="F28" s="93"/>
      <c r="G28" s="93">
        <f t="shared" si="0"/>
        <v>286800</v>
      </c>
    </row>
    <row r="29" spans="1:7" s="29" customFormat="1" ht="26.25" customHeight="1">
      <c r="A29" s="79"/>
      <c r="B29" s="99"/>
      <c r="C29" s="79">
        <v>4400</v>
      </c>
      <c r="D29" s="46" t="s">
        <v>290</v>
      </c>
      <c r="E29" s="93">
        <v>786500</v>
      </c>
      <c r="F29" s="93"/>
      <c r="G29" s="93">
        <f t="shared" si="0"/>
        <v>786500</v>
      </c>
    </row>
    <row r="30" spans="1:7" s="29" customFormat="1" ht="21.75" customHeight="1">
      <c r="A30" s="79"/>
      <c r="B30" s="99"/>
      <c r="C30" s="79">
        <v>4430</v>
      </c>
      <c r="D30" s="46" t="s">
        <v>97</v>
      </c>
      <c r="E30" s="93">
        <v>5000</v>
      </c>
      <c r="F30" s="93"/>
      <c r="G30" s="93">
        <f t="shared" si="0"/>
        <v>5000</v>
      </c>
    </row>
    <row r="31" spans="1:7" s="29" customFormat="1" ht="21" customHeight="1">
      <c r="A31" s="79"/>
      <c r="B31" s="99"/>
      <c r="C31" s="79">
        <v>4480</v>
      </c>
      <c r="D31" s="46" t="s">
        <v>32</v>
      </c>
      <c r="E31" s="93">
        <v>132</v>
      </c>
      <c r="F31" s="93"/>
      <c r="G31" s="93">
        <f t="shared" si="0"/>
        <v>132</v>
      </c>
    </row>
    <row r="32" spans="1:7" s="29" customFormat="1" ht="21" customHeight="1">
      <c r="A32" s="79"/>
      <c r="B32" s="99"/>
      <c r="C32" s="98">
        <v>4510</v>
      </c>
      <c r="D32" s="46" t="s">
        <v>153</v>
      </c>
      <c r="E32" s="93">
        <v>700</v>
      </c>
      <c r="F32" s="93"/>
      <c r="G32" s="93">
        <f t="shared" si="0"/>
        <v>700</v>
      </c>
    </row>
    <row r="33" spans="1:7" s="29" customFormat="1" ht="21" customHeight="1">
      <c r="A33" s="79"/>
      <c r="B33" s="99"/>
      <c r="C33" s="98">
        <v>4610</v>
      </c>
      <c r="D33" s="46" t="s">
        <v>191</v>
      </c>
      <c r="E33" s="93">
        <v>30000</v>
      </c>
      <c r="F33" s="93"/>
      <c r="G33" s="93">
        <f t="shared" si="0"/>
        <v>30000</v>
      </c>
    </row>
    <row r="34" spans="1:7" s="29" customFormat="1" ht="21" customHeight="1">
      <c r="A34" s="79"/>
      <c r="B34" s="94">
        <v>70095</v>
      </c>
      <c r="C34" s="98"/>
      <c r="D34" s="46" t="s">
        <v>6</v>
      </c>
      <c r="E34" s="93">
        <f>SUM(E35:E37)</f>
        <v>500585</v>
      </c>
      <c r="F34" s="93">
        <f>SUM(F35:F37)</f>
        <v>-200000</v>
      </c>
      <c r="G34" s="93">
        <f>SUM(G35:G37)</f>
        <v>300585</v>
      </c>
    </row>
    <row r="35" spans="1:7" s="29" customFormat="1" ht="21" customHeight="1">
      <c r="A35" s="79"/>
      <c r="B35" s="94"/>
      <c r="C35" s="98">
        <v>4260</v>
      </c>
      <c r="D35" s="46" t="s">
        <v>98</v>
      </c>
      <c r="E35" s="93">
        <v>500</v>
      </c>
      <c r="F35" s="93"/>
      <c r="G35" s="93">
        <f>SUM(E35:F35)</f>
        <v>500</v>
      </c>
    </row>
    <row r="36" spans="1:7" s="29" customFormat="1" ht="21" customHeight="1">
      <c r="A36" s="79"/>
      <c r="B36" s="94"/>
      <c r="C36" s="98">
        <v>4300</v>
      </c>
      <c r="D36" s="46" t="s">
        <v>82</v>
      </c>
      <c r="E36" s="93">
        <v>85</v>
      </c>
      <c r="F36" s="93"/>
      <c r="G36" s="93">
        <f>SUM(E36:F36)</f>
        <v>85</v>
      </c>
    </row>
    <row r="37" spans="1:16" s="29" customFormat="1" ht="21" customHeight="1">
      <c r="A37" s="79"/>
      <c r="B37" s="94"/>
      <c r="C37" s="79">
        <v>6050</v>
      </c>
      <c r="D37" s="46" t="s">
        <v>76</v>
      </c>
      <c r="E37" s="93">
        <v>500000</v>
      </c>
      <c r="F37" s="93">
        <v>-200000</v>
      </c>
      <c r="G37" s="93">
        <f>SUM(E37:F37)</f>
        <v>300000</v>
      </c>
      <c r="N37" s="138"/>
      <c r="O37" s="138"/>
      <c r="P37" s="138"/>
    </row>
    <row r="38" spans="1:7" s="8" customFormat="1" ht="21" customHeight="1">
      <c r="A38" s="41" t="s">
        <v>13</v>
      </c>
      <c r="B38" s="42"/>
      <c r="C38" s="43"/>
      <c r="D38" s="44" t="s">
        <v>83</v>
      </c>
      <c r="E38" s="45">
        <f>SUM(E39,E42)</f>
        <v>270200</v>
      </c>
      <c r="F38" s="45">
        <f>SUM(F39,F42)</f>
        <v>20000</v>
      </c>
      <c r="G38" s="45">
        <f>SUM(G39,G42)</f>
        <v>290200</v>
      </c>
    </row>
    <row r="39" spans="1:7" s="29" customFormat="1" ht="21" customHeight="1">
      <c r="A39" s="79"/>
      <c r="B39" s="94" t="s">
        <v>84</v>
      </c>
      <c r="C39" s="98"/>
      <c r="D39" s="46" t="s">
        <v>85</v>
      </c>
      <c r="E39" s="93">
        <f>SUM(E40:E41)</f>
        <v>150000</v>
      </c>
      <c r="F39" s="93">
        <f>SUM(F40:F41)</f>
        <v>0</v>
      </c>
      <c r="G39" s="93">
        <f>SUM(G40:G41)</f>
        <v>150000</v>
      </c>
    </row>
    <row r="40" spans="1:11" s="29" customFormat="1" ht="21" customHeight="1">
      <c r="A40" s="79"/>
      <c r="B40" s="94"/>
      <c r="C40" s="98">
        <v>4170</v>
      </c>
      <c r="D40" s="46" t="s">
        <v>204</v>
      </c>
      <c r="E40" s="93">
        <v>20000</v>
      </c>
      <c r="F40" s="93"/>
      <c r="G40" s="93">
        <f>SUM(E40:F40)</f>
        <v>20000</v>
      </c>
      <c r="I40" s="138"/>
      <c r="J40" s="138"/>
      <c r="K40" s="138"/>
    </row>
    <row r="41" spans="1:7" s="29" customFormat="1" ht="21" customHeight="1">
      <c r="A41" s="79"/>
      <c r="B41" s="94"/>
      <c r="C41" s="79">
        <v>4300</v>
      </c>
      <c r="D41" s="46" t="s">
        <v>82</v>
      </c>
      <c r="E41" s="93">
        <v>130000</v>
      </c>
      <c r="F41" s="93"/>
      <c r="G41" s="93">
        <f>SUM(E41:F41)</f>
        <v>130000</v>
      </c>
    </row>
    <row r="42" spans="1:7" s="29" customFormat="1" ht="21" customHeight="1">
      <c r="A42" s="79"/>
      <c r="B42" s="94">
        <v>71035</v>
      </c>
      <c r="C42" s="79"/>
      <c r="D42" s="46" t="s">
        <v>14</v>
      </c>
      <c r="E42" s="93">
        <f>SUM(E43:E46)</f>
        <v>120200</v>
      </c>
      <c r="F42" s="93">
        <f>SUM(F43:F46)</f>
        <v>20000</v>
      </c>
      <c r="G42" s="93">
        <f>SUM(G43:G46)</f>
        <v>140200</v>
      </c>
    </row>
    <row r="43" spans="1:7" s="29" customFormat="1" ht="21" customHeight="1">
      <c r="A43" s="79"/>
      <c r="B43" s="94"/>
      <c r="C43" s="79">
        <v>4260</v>
      </c>
      <c r="D43" s="46" t="s">
        <v>98</v>
      </c>
      <c r="E43" s="93">
        <f>1000+200</f>
        <v>1200</v>
      </c>
      <c r="F43" s="93"/>
      <c r="G43" s="93">
        <f>SUM(E43:F43)</f>
        <v>1200</v>
      </c>
    </row>
    <row r="44" spans="1:7" s="29" customFormat="1" ht="21" customHeight="1">
      <c r="A44" s="79"/>
      <c r="B44" s="94"/>
      <c r="C44" s="79">
        <v>4270</v>
      </c>
      <c r="D44" s="46" t="s">
        <v>81</v>
      </c>
      <c r="E44" s="93">
        <v>100000</v>
      </c>
      <c r="F44" s="93"/>
      <c r="G44" s="93">
        <f>SUM(E44:F44)</f>
        <v>100000</v>
      </c>
    </row>
    <row r="45" spans="1:7" s="29" customFormat="1" ht="21" customHeight="1">
      <c r="A45" s="79"/>
      <c r="B45" s="94"/>
      <c r="C45" s="79">
        <v>4300</v>
      </c>
      <c r="D45" s="46" t="s">
        <v>82</v>
      </c>
      <c r="E45" s="93">
        <v>19000</v>
      </c>
      <c r="F45" s="93"/>
      <c r="G45" s="93">
        <f>SUM(E45:F45)</f>
        <v>19000</v>
      </c>
    </row>
    <row r="46" spans="1:16" s="29" customFormat="1" ht="21" customHeight="1">
      <c r="A46" s="79"/>
      <c r="B46" s="94"/>
      <c r="C46" s="79">
        <v>6050</v>
      </c>
      <c r="D46" s="46" t="s">
        <v>76</v>
      </c>
      <c r="E46" s="93">
        <v>0</v>
      </c>
      <c r="F46" s="93">
        <v>20000</v>
      </c>
      <c r="G46" s="93">
        <f>SUM(E46:F46)</f>
        <v>20000</v>
      </c>
      <c r="N46" s="138"/>
      <c r="O46" s="138"/>
      <c r="P46" s="138"/>
    </row>
    <row r="47" spans="1:7" s="8" customFormat="1" ht="21" customHeight="1">
      <c r="A47" s="41" t="s">
        <v>15</v>
      </c>
      <c r="B47" s="42"/>
      <c r="C47" s="43"/>
      <c r="D47" s="44" t="s">
        <v>86</v>
      </c>
      <c r="E47" s="45">
        <f>SUM(E48,E63,E74,E96,E108,)</f>
        <v>6136665</v>
      </c>
      <c r="F47" s="45">
        <f>SUM(F48,F63,F74,F96,F108,)</f>
        <v>-414000</v>
      </c>
      <c r="G47" s="45">
        <f>SUM(G48,G63,G74,G96,G108,)</f>
        <v>5722665</v>
      </c>
    </row>
    <row r="48" spans="1:7" s="29" customFormat="1" ht="21" customHeight="1">
      <c r="A48" s="79"/>
      <c r="B48" s="94">
        <v>75011</v>
      </c>
      <c r="C48" s="98"/>
      <c r="D48" s="46" t="s">
        <v>17</v>
      </c>
      <c r="E48" s="93">
        <f>SUM(E49:E62)</f>
        <v>411600</v>
      </c>
      <c r="F48" s="93">
        <f>SUM(F49:F62)</f>
        <v>0</v>
      </c>
      <c r="G48" s="93">
        <f>SUM(G49:G62)</f>
        <v>411600</v>
      </c>
    </row>
    <row r="49" spans="1:8" s="29" customFormat="1" ht="21" customHeight="1">
      <c r="A49" s="79"/>
      <c r="B49" s="94"/>
      <c r="C49" s="98">
        <v>3020</v>
      </c>
      <c r="D49" s="46" t="s">
        <v>201</v>
      </c>
      <c r="E49" s="93">
        <v>2000</v>
      </c>
      <c r="F49" s="93"/>
      <c r="G49" s="93">
        <f>SUM(E49:F49)</f>
        <v>2000</v>
      </c>
      <c r="H49" s="138"/>
    </row>
    <row r="50" spans="1:11" s="29" customFormat="1" ht="21" customHeight="1">
      <c r="A50" s="79"/>
      <c r="B50" s="99"/>
      <c r="C50" s="79">
        <v>4010</v>
      </c>
      <c r="D50" s="46" t="s">
        <v>87</v>
      </c>
      <c r="E50" s="93">
        <v>294200</v>
      </c>
      <c r="F50" s="93"/>
      <c r="G50" s="93">
        <f aca="true" t="shared" si="1" ref="G50:G62">SUM(E50:F50)</f>
        <v>294200</v>
      </c>
      <c r="I50" s="138"/>
      <c r="J50" s="138"/>
      <c r="K50" s="138"/>
    </row>
    <row r="51" spans="1:11" s="29" customFormat="1" ht="21" customHeight="1">
      <c r="A51" s="79"/>
      <c r="B51" s="99"/>
      <c r="C51" s="79">
        <v>4040</v>
      </c>
      <c r="D51" s="46" t="s">
        <v>88</v>
      </c>
      <c r="E51" s="93">
        <v>22400</v>
      </c>
      <c r="F51" s="93"/>
      <c r="G51" s="93">
        <f t="shared" si="1"/>
        <v>22400</v>
      </c>
      <c r="I51" s="138"/>
      <c r="J51" s="138"/>
      <c r="K51" s="138"/>
    </row>
    <row r="52" spans="1:11" s="29" customFormat="1" ht="21" customHeight="1">
      <c r="A52" s="79"/>
      <c r="B52" s="99"/>
      <c r="C52" s="79">
        <v>4110</v>
      </c>
      <c r="D52" s="46" t="s">
        <v>89</v>
      </c>
      <c r="E52" s="93">
        <v>48100</v>
      </c>
      <c r="F52" s="93"/>
      <c r="G52" s="93">
        <f t="shared" si="1"/>
        <v>48100</v>
      </c>
      <c r="I52" s="138"/>
      <c r="J52" s="138"/>
      <c r="K52" s="138"/>
    </row>
    <row r="53" spans="1:11" s="29" customFormat="1" ht="21" customHeight="1">
      <c r="A53" s="79"/>
      <c r="B53" s="99"/>
      <c r="C53" s="79">
        <v>4120</v>
      </c>
      <c r="D53" s="46" t="s">
        <v>90</v>
      </c>
      <c r="E53" s="93">
        <v>7800</v>
      </c>
      <c r="F53" s="93"/>
      <c r="G53" s="93">
        <f t="shared" si="1"/>
        <v>7800</v>
      </c>
      <c r="I53" s="138"/>
      <c r="J53" s="138"/>
      <c r="K53" s="138"/>
    </row>
    <row r="54" spans="1:7" s="29" customFormat="1" ht="21" customHeight="1">
      <c r="A54" s="79"/>
      <c r="B54" s="99"/>
      <c r="C54" s="79">
        <v>4210</v>
      </c>
      <c r="D54" s="46" t="s">
        <v>95</v>
      </c>
      <c r="E54" s="93">
        <v>11000</v>
      </c>
      <c r="F54" s="93"/>
      <c r="G54" s="93">
        <f t="shared" si="1"/>
        <v>11000</v>
      </c>
    </row>
    <row r="55" spans="1:7" s="29" customFormat="1" ht="21" customHeight="1">
      <c r="A55" s="79"/>
      <c r="B55" s="99"/>
      <c r="C55" s="79">
        <v>4280</v>
      </c>
      <c r="D55" s="46" t="s">
        <v>232</v>
      </c>
      <c r="E55" s="93">
        <v>1000</v>
      </c>
      <c r="F55" s="93"/>
      <c r="G55" s="93">
        <f t="shared" si="1"/>
        <v>1000</v>
      </c>
    </row>
    <row r="56" spans="1:7" s="29" customFormat="1" ht="21" customHeight="1">
      <c r="A56" s="79"/>
      <c r="B56" s="99"/>
      <c r="C56" s="79">
        <v>4300</v>
      </c>
      <c r="D56" s="46" t="s">
        <v>82</v>
      </c>
      <c r="E56" s="93">
        <v>6800</v>
      </c>
      <c r="F56" s="93"/>
      <c r="G56" s="93">
        <f t="shared" si="1"/>
        <v>6800</v>
      </c>
    </row>
    <row r="57" spans="1:7" s="29" customFormat="1" ht="21" customHeight="1">
      <c r="A57" s="79"/>
      <c r="B57" s="99"/>
      <c r="C57" s="79">
        <v>4410</v>
      </c>
      <c r="D57" s="46" t="s">
        <v>93</v>
      </c>
      <c r="E57" s="93">
        <v>1000</v>
      </c>
      <c r="F57" s="93"/>
      <c r="G57" s="93">
        <f t="shared" si="1"/>
        <v>1000</v>
      </c>
    </row>
    <row r="58" spans="1:7" s="29" customFormat="1" ht="21" customHeight="1">
      <c r="A58" s="79"/>
      <c r="B58" s="99"/>
      <c r="C58" s="79">
        <v>4430</v>
      </c>
      <c r="D58" s="46" t="s">
        <v>97</v>
      </c>
      <c r="E58" s="93">
        <v>3000</v>
      </c>
      <c r="F58" s="93"/>
      <c r="G58" s="93">
        <f t="shared" si="1"/>
        <v>3000</v>
      </c>
    </row>
    <row r="59" spans="1:7" s="29" customFormat="1" ht="21" customHeight="1">
      <c r="A59" s="79"/>
      <c r="B59" s="99"/>
      <c r="C59" s="82">
        <v>4440</v>
      </c>
      <c r="D59" s="46" t="s">
        <v>91</v>
      </c>
      <c r="E59" s="93">
        <v>9300</v>
      </c>
      <c r="F59" s="93"/>
      <c r="G59" s="93">
        <f t="shared" si="1"/>
        <v>9300</v>
      </c>
    </row>
    <row r="60" spans="1:7" s="29" customFormat="1" ht="27.75" customHeight="1">
      <c r="A60" s="79"/>
      <c r="B60" s="99"/>
      <c r="C60" s="82">
        <v>4700</v>
      </c>
      <c r="D60" s="46" t="s">
        <v>298</v>
      </c>
      <c r="E60" s="93">
        <v>2000</v>
      </c>
      <c r="F60" s="93"/>
      <c r="G60" s="93">
        <f t="shared" si="1"/>
        <v>2000</v>
      </c>
    </row>
    <row r="61" spans="1:7" s="29" customFormat="1" ht="27.75" customHeight="1">
      <c r="A61" s="79"/>
      <c r="B61" s="99"/>
      <c r="C61" s="82">
        <v>4740</v>
      </c>
      <c r="D61" s="46" t="s">
        <v>354</v>
      </c>
      <c r="E61" s="93">
        <v>1000</v>
      </c>
      <c r="F61" s="93"/>
      <c r="G61" s="93">
        <f t="shared" si="1"/>
        <v>1000</v>
      </c>
    </row>
    <row r="62" spans="1:7" s="29" customFormat="1" ht="27" customHeight="1">
      <c r="A62" s="79"/>
      <c r="B62" s="99"/>
      <c r="C62" s="82">
        <v>4750</v>
      </c>
      <c r="D62" s="46" t="s">
        <v>244</v>
      </c>
      <c r="E62" s="93">
        <v>2000</v>
      </c>
      <c r="F62" s="93"/>
      <c r="G62" s="93">
        <f t="shared" si="1"/>
        <v>2000</v>
      </c>
    </row>
    <row r="63" spans="1:7" s="29" customFormat="1" ht="21" customHeight="1">
      <c r="A63" s="98"/>
      <c r="B63" s="94" t="s">
        <v>94</v>
      </c>
      <c r="C63" s="98"/>
      <c r="D63" s="46" t="s">
        <v>158</v>
      </c>
      <c r="E63" s="93">
        <f>SUM(E64:E73)</f>
        <v>300000</v>
      </c>
      <c r="F63" s="93">
        <f>SUM(F64:F73)</f>
        <v>14000</v>
      </c>
      <c r="G63" s="93">
        <f>SUM(G64:G73)</f>
        <v>314000</v>
      </c>
    </row>
    <row r="64" spans="1:8" s="29" customFormat="1" ht="21" customHeight="1">
      <c r="A64" s="98"/>
      <c r="B64" s="94"/>
      <c r="C64" s="79">
        <v>3030</v>
      </c>
      <c r="D64" s="46" t="s">
        <v>92</v>
      </c>
      <c r="E64" s="93">
        <v>257000</v>
      </c>
      <c r="F64" s="93"/>
      <c r="G64" s="93">
        <f>SUM(E64:F64)</f>
        <v>257000</v>
      </c>
      <c r="H64" s="138"/>
    </row>
    <row r="65" spans="1:11" s="29" customFormat="1" ht="21" customHeight="1">
      <c r="A65" s="98"/>
      <c r="B65" s="94"/>
      <c r="C65" s="79">
        <v>4170</v>
      </c>
      <c r="D65" s="46" t="s">
        <v>204</v>
      </c>
      <c r="E65" s="93">
        <v>2000</v>
      </c>
      <c r="F65" s="93"/>
      <c r="G65" s="93">
        <f aca="true" t="shared" si="2" ref="G65:G73">SUM(E65:F65)</f>
        <v>2000</v>
      </c>
      <c r="I65" s="138"/>
      <c r="J65" s="138"/>
      <c r="K65" s="138"/>
    </row>
    <row r="66" spans="1:7" s="29" customFormat="1" ht="21" customHeight="1">
      <c r="A66" s="98"/>
      <c r="B66" s="94"/>
      <c r="C66" s="79">
        <v>4210</v>
      </c>
      <c r="D66" s="46" t="s">
        <v>95</v>
      </c>
      <c r="E66" s="93">
        <v>15500</v>
      </c>
      <c r="F66" s="93">
        <v>5000</v>
      </c>
      <c r="G66" s="93">
        <f t="shared" si="2"/>
        <v>20500</v>
      </c>
    </row>
    <row r="67" spans="1:7" s="29" customFormat="1" ht="21" customHeight="1">
      <c r="A67" s="98"/>
      <c r="B67" s="94"/>
      <c r="C67" s="79">
        <v>4300</v>
      </c>
      <c r="D67" s="46" t="s">
        <v>82</v>
      </c>
      <c r="E67" s="93">
        <v>17900</v>
      </c>
      <c r="F67" s="93">
        <v>3000</v>
      </c>
      <c r="G67" s="93">
        <f t="shared" si="2"/>
        <v>20900</v>
      </c>
    </row>
    <row r="68" spans="1:7" s="29" customFormat="1" ht="21" customHeight="1">
      <c r="A68" s="98"/>
      <c r="B68" s="94"/>
      <c r="C68" s="79">
        <v>4370</v>
      </c>
      <c r="D68" s="46" t="s">
        <v>242</v>
      </c>
      <c r="E68" s="93">
        <v>100</v>
      </c>
      <c r="F68" s="93"/>
      <c r="G68" s="93">
        <f t="shared" si="2"/>
        <v>100</v>
      </c>
    </row>
    <row r="69" spans="1:7" s="29" customFormat="1" ht="21" customHeight="1">
      <c r="A69" s="98"/>
      <c r="B69" s="94"/>
      <c r="C69" s="79">
        <v>4410</v>
      </c>
      <c r="D69" s="46" t="s">
        <v>93</v>
      </c>
      <c r="E69" s="93">
        <v>2000</v>
      </c>
      <c r="F69" s="93">
        <v>6000</v>
      </c>
      <c r="G69" s="93">
        <f t="shared" si="2"/>
        <v>8000</v>
      </c>
    </row>
    <row r="70" spans="1:7" s="29" customFormat="1" ht="21" customHeight="1">
      <c r="A70" s="98"/>
      <c r="B70" s="94"/>
      <c r="C70" s="79">
        <v>4420</v>
      </c>
      <c r="D70" s="46" t="s">
        <v>96</v>
      </c>
      <c r="E70" s="93">
        <v>2000</v>
      </c>
      <c r="F70" s="93"/>
      <c r="G70" s="93">
        <f t="shared" si="2"/>
        <v>2000</v>
      </c>
    </row>
    <row r="71" spans="1:7" s="29" customFormat="1" ht="21" customHeight="1">
      <c r="A71" s="98"/>
      <c r="B71" s="94"/>
      <c r="C71" s="82">
        <v>4430</v>
      </c>
      <c r="D71" s="46" t="s">
        <v>97</v>
      </c>
      <c r="E71" s="93">
        <v>500</v>
      </c>
      <c r="F71" s="93"/>
      <c r="G71" s="93">
        <f t="shared" si="2"/>
        <v>500</v>
      </c>
    </row>
    <row r="72" spans="1:7" s="29" customFormat="1" ht="28.5" customHeight="1">
      <c r="A72" s="98"/>
      <c r="B72" s="94"/>
      <c r="C72" s="82">
        <v>4740</v>
      </c>
      <c r="D72" s="46" t="s">
        <v>354</v>
      </c>
      <c r="E72" s="93">
        <v>2000</v>
      </c>
      <c r="F72" s="93"/>
      <c r="G72" s="93">
        <f t="shared" si="2"/>
        <v>2000</v>
      </c>
    </row>
    <row r="73" spans="1:7" s="29" customFormat="1" ht="24.75" customHeight="1">
      <c r="A73" s="98"/>
      <c r="B73" s="94"/>
      <c r="C73" s="82">
        <v>4750</v>
      </c>
      <c r="D73" s="46" t="s">
        <v>244</v>
      </c>
      <c r="E73" s="93">
        <v>1000</v>
      </c>
      <c r="F73" s="93"/>
      <c r="G73" s="93">
        <f t="shared" si="2"/>
        <v>1000</v>
      </c>
    </row>
    <row r="74" spans="1:7" s="29" customFormat="1" ht="21" customHeight="1">
      <c r="A74" s="98"/>
      <c r="B74" s="94" t="s">
        <v>18</v>
      </c>
      <c r="C74" s="98"/>
      <c r="D74" s="46" t="s">
        <v>19</v>
      </c>
      <c r="E74" s="93">
        <f>SUM(E75:E95)</f>
        <v>5072300</v>
      </c>
      <c r="F74" s="93">
        <f>SUM(F75:F95)</f>
        <v>-380000</v>
      </c>
      <c r="G74" s="93">
        <f>SUM(G75:G95)</f>
        <v>4692300</v>
      </c>
    </row>
    <row r="75" spans="1:8" s="29" customFormat="1" ht="21" customHeight="1">
      <c r="A75" s="98"/>
      <c r="B75" s="94"/>
      <c r="C75" s="79">
        <v>3020</v>
      </c>
      <c r="D75" s="46" t="s">
        <v>201</v>
      </c>
      <c r="E75" s="93">
        <v>27600</v>
      </c>
      <c r="F75" s="93"/>
      <c r="G75" s="93">
        <f>SUM(E75:F75)</f>
        <v>27600</v>
      </c>
      <c r="H75" s="138"/>
    </row>
    <row r="76" spans="1:11" s="29" customFormat="1" ht="21" customHeight="1">
      <c r="A76" s="98"/>
      <c r="B76" s="94"/>
      <c r="C76" s="79">
        <v>4010</v>
      </c>
      <c r="D76" s="46" t="s">
        <v>87</v>
      </c>
      <c r="E76" s="93">
        <v>3160586</v>
      </c>
      <c r="F76" s="93">
        <v>-200000</v>
      </c>
      <c r="G76" s="93">
        <f aca="true" t="shared" si="3" ref="G76:G95">SUM(E76:F76)</f>
        <v>2960586</v>
      </c>
      <c r="I76" s="138"/>
      <c r="J76" s="138"/>
      <c r="K76" s="138"/>
    </row>
    <row r="77" spans="1:11" s="29" customFormat="1" ht="21" customHeight="1">
      <c r="A77" s="98"/>
      <c r="B77" s="94"/>
      <c r="C77" s="79">
        <v>4040</v>
      </c>
      <c r="D77" s="46" t="s">
        <v>88</v>
      </c>
      <c r="E77" s="93">
        <v>203749</v>
      </c>
      <c r="F77" s="93"/>
      <c r="G77" s="93">
        <f t="shared" si="3"/>
        <v>203749</v>
      </c>
      <c r="I77" s="138"/>
      <c r="J77" s="138"/>
      <c r="K77" s="138"/>
    </row>
    <row r="78" spans="1:11" s="29" customFormat="1" ht="21" customHeight="1">
      <c r="A78" s="98"/>
      <c r="B78" s="94"/>
      <c r="C78" s="79">
        <v>4110</v>
      </c>
      <c r="D78" s="46" t="s">
        <v>89</v>
      </c>
      <c r="E78" s="93">
        <v>496390</v>
      </c>
      <c r="F78" s="93"/>
      <c r="G78" s="93">
        <f t="shared" si="3"/>
        <v>496390</v>
      </c>
      <c r="I78" s="138"/>
      <c r="J78" s="138"/>
      <c r="K78" s="138"/>
    </row>
    <row r="79" spans="1:11" s="29" customFormat="1" ht="21" customHeight="1">
      <c r="A79" s="98"/>
      <c r="B79" s="94"/>
      <c r="C79" s="79">
        <v>4120</v>
      </c>
      <c r="D79" s="46" t="s">
        <v>90</v>
      </c>
      <c r="E79" s="93">
        <v>92714</v>
      </c>
      <c r="F79" s="93"/>
      <c r="G79" s="93">
        <f t="shared" si="3"/>
        <v>92714</v>
      </c>
      <c r="I79" s="138"/>
      <c r="J79" s="138"/>
      <c r="K79" s="138"/>
    </row>
    <row r="80" spans="1:11" s="29" customFormat="1" ht="21" customHeight="1">
      <c r="A80" s="98"/>
      <c r="B80" s="94"/>
      <c r="C80" s="79">
        <v>4170</v>
      </c>
      <c r="D80" s="46" t="s">
        <v>204</v>
      </c>
      <c r="E80" s="93">
        <v>23200</v>
      </c>
      <c r="F80" s="93"/>
      <c r="G80" s="93">
        <f t="shared" si="3"/>
        <v>23200</v>
      </c>
      <c r="I80" s="138"/>
      <c r="J80" s="138"/>
      <c r="K80" s="138"/>
    </row>
    <row r="81" spans="1:7" s="29" customFormat="1" ht="21" customHeight="1">
      <c r="A81" s="98"/>
      <c r="B81" s="94"/>
      <c r="C81" s="79">
        <v>4210</v>
      </c>
      <c r="D81" s="46" t="s">
        <v>95</v>
      </c>
      <c r="E81" s="93">
        <v>107373</v>
      </c>
      <c r="F81" s="93"/>
      <c r="G81" s="93">
        <f t="shared" si="3"/>
        <v>107373</v>
      </c>
    </row>
    <row r="82" spans="1:7" s="29" customFormat="1" ht="21" customHeight="1">
      <c r="A82" s="98"/>
      <c r="B82" s="94"/>
      <c r="C82" s="79">
        <v>4260</v>
      </c>
      <c r="D82" s="46" t="s">
        <v>98</v>
      </c>
      <c r="E82" s="93">
        <v>102000</v>
      </c>
      <c r="F82" s="93"/>
      <c r="G82" s="93">
        <f t="shared" si="3"/>
        <v>102000</v>
      </c>
    </row>
    <row r="83" spans="1:7" s="29" customFormat="1" ht="21" customHeight="1">
      <c r="A83" s="98"/>
      <c r="B83" s="94"/>
      <c r="C83" s="79">
        <v>4270</v>
      </c>
      <c r="D83" s="46" t="s">
        <v>81</v>
      </c>
      <c r="E83" s="93">
        <v>109000</v>
      </c>
      <c r="F83" s="93">
        <v>-50000</v>
      </c>
      <c r="G83" s="93">
        <f t="shared" si="3"/>
        <v>59000</v>
      </c>
    </row>
    <row r="84" spans="1:7" s="29" customFormat="1" ht="21" customHeight="1">
      <c r="A84" s="98"/>
      <c r="B84" s="94"/>
      <c r="C84" s="79">
        <v>4280</v>
      </c>
      <c r="D84" s="46" t="s">
        <v>232</v>
      </c>
      <c r="E84" s="93">
        <v>10200</v>
      </c>
      <c r="F84" s="93"/>
      <c r="G84" s="93">
        <f t="shared" si="3"/>
        <v>10200</v>
      </c>
    </row>
    <row r="85" spans="1:7" s="29" customFormat="1" ht="21" customHeight="1">
      <c r="A85" s="98"/>
      <c r="B85" s="94"/>
      <c r="C85" s="79">
        <v>4300</v>
      </c>
      <c r="D85" s="46" t="s">
        <v>82</v>
      </c>
      <c r="E85" s="93">
        <v>168000</v>
      </c>
      <c r="F85" s="93"/>
      <c r="G85" s="93">
        <f t="shared" si="3"/>
        <v>168000</v>
      </c>
    </row>
    <row r="86" spans="1:7" s="29" customFormat="1" ht="21" customHeight="1">
      <c r="A86" s="98"/>
      <c r="B86" s="94"/>
      <c r="C86" s="79">
        <v>4350</v>
      </c>
      <c r="D86" s="46" t="s">
        <v>220</v>
      </c>
      <c r="E86" s="93">
        <v>14500</v>
      </c>
      <c r="F86" s="93"/>
      <c r="G86" s="93">
        <f t="shared" si="3"/>
        <v>14500</v>
      </c>
    </row>
    <row r="87" spans="1:7" s="29" customFormat="1" ht="27.75" customHeight="1">
      <c r="A87" s="98"/>
      <c r="B87" s="94"/>
      <c r="C87" s="79">
        <v>4360</v>
      </c>
      <c r="D87" s="46" t="s">
        <v>245</v>
      </c>
      <c r="E87" s="93">
        <v>26000</v>
      </c>
      <c r="F87" s="93"/>
      <c r="G87" s="93">
        <f t="shared" si="3"/>
        <v>26000</v>
      </c>
    </row>
    <row r="88" spans="1:7" s="29" customFormat="1" ht="27" customHeight="1">
      <c r="A88" s="98"/>
      <c r="B88" s="94"/>
      <c r="C88" s="79">
        <v>4370</v>
      </c>
      <c r="D88" s="46" t="s">
        <v>242</v>
      </c>
      <c r="E88" s="93">
        <v>28500</v>
      </c>
      <c r="F88" s="93"/>
      <c r="G88" s="93">
        <f t="shared" si="3"/>
        <v>28500</v>
      </c>
    </row>
    <row r="89" spans="1:7" s="29" customFormat="1" ht="21" customHeight="1">
      <c r="A89" s="98"/>
      <c r="B89" s="94"/>
      <c r="C89" s="79">
        <v>4410</v>
      </c>
      <c r="D89" s="46" t="s">
        <v>93</v>
      </c>
      <c r="E89" s="93">
        <v>55000</v>
      </c>
      <c r="F89" s="93">
        <v>-20000</v>
      </c>
      <c r="G89" s="93">
        <f t="shared" si="3"/>
        <v>35000</v>
      </c>
    </row>
    <row r="90" spans="1:7" s="29" customFormat="1" ht="21" customHeight="1">
      <c r="A90" s="98"/>
      <c r="B90" s="94"/>
      <c r="C90" s="82">
        <v>4430</v>
      </c>
      <c r="D90" s="46" t="s">
        <v>97</v>
      </c>
      <c r="E90" s="93">
        <v>8300</v>
      </c>
      <c r="F90" s="93"/>
      <c r="G90" s="93">
        <f t="shared" si="3"/>
        <v>8300</v>
      </c>
    </row>
    <row r="91" spans="1:7" s="29" customFormat="1" ht="21" customHeight="1">
      <c r="A91" s="98"/>
      <c r="B91" s="94"/>
      <c r="C91" s="82">
        <v>4440</v>
      </c>
      <c r="D91" s="46" t="s">
        <v>91</v>
      </c>
      <c r="E91" s="93">
        <v>108869</v>
      </c>
      <c r="F91" s="93"/>
      <c r="G91" s="93">
        <f t="shared" si="3"/>
        <v>108869</v>
      </c>
    </row>
    <row r="92" spans="1:7" s="29" customFormat="1" ht="28.5" customHeight="1">
      <c r="A92" s="98"/>
      <c r="B92" s="94"/>
      <c r="C92" s="82">
        <v>4700</v>
      </c>
      <c r="D92" s="46" t="s">
        <v>298</v>
      </c>
      <c r="E92" s="93">
        <v>40800</v>
      </c>
      <c r="F92" s="93">
        <v>-10000</v>
      </c>
      <c r="G92" s="93">
        <f t="shared" si="3"/>
        <v>30800</v>
      </c>
    </row>
    <row r="93" spans="1:7" s="29" customFormat="1" ht="28.5" customHeight="1">
      <c r="A93" s="98"/>
      <c r="B93" s="94"/>
      <c r="C93" s="82">
        <v>4740</v>
      </c>
      <c r="D93" s="46" t="s">
        <v>354</v>
      </c>
      <c r="E93" s="93">
        <v>20000</v>
      </c>
      <c r="F93" s="93"/>
      <c r="G93" s="93">
        <f t="shared" si="3"/>
        <v>20000</v>
      </c>
    </row>
    <row r="94" spans="1:7" s="29" customFormat="1" ht="27.75" customHeight="1">
      <c r="A94" s="98"/>
      <c r="B94" s="94"/>
      <c r="C94" s="82">
        <v>4750</v>
      </c>
      <c r="D94" s="46" t="s">
        <v>244</v>
      </c>
      <c r="E94" s="93">
        <v>119519</v>
      </c>
      <c r="F94" s="93"/>
      <c r="G94" s="93">
        <f>SUM(E94:F94)</f>
        <v>119519</v>
      </c>
    </row>
    <row r="95" spans="1:16" s="29" customFormat="1" ht="21" customHeight="1">
      <c r="A95" s="98"/>
      <c r="B95" s="94"/>
      <c r="C95" s="82">
        <v>6050</v>
      </c>
      <c r="D95" s="46" t="s">
        <v>76</v>
      </c>
      <c r="E95" s="93">
        <v>150000</v>
      </c>
      <c r="F95" s="93">
        <v>-100000</v>
      </c>
      <c r="G95" s="93">
        <f t="shared" si="3"/>
        <v>50000</v>
      </c>
      <c r="N95" s="138"/>
      <c r="O95" s="138"/>
      <c r="P95" s="138"/>
    </row>
    <row r="96" spans="1:7" s="29" customFormat="1" ht="21" customHeight="1">
      <c r="A96" s="98"/>
      <c r="B96" s="94">
        <v>75075</v>
      </c>
      <c r="C96" s="98"/>
      <c r="D96" s="46" t="s">
        <v>216</v>
      </c>
      <c r="E96" s="93">
        <f>SUM(E97:E107)</f>
        <v>238000</v>
      </c>
      <c r="F96" s="93">
        <f>SUM(F97:F107)</f>
        <v>-48000</v>
      </c>
      <c r="G96" s="93">
        <f>SUM(G97:G107)</f>
        <v>190000</v>
      </c>
    </row>
    <row r="97" spans="1:8" s="29" customFormat="1" ht="21" customHeight="1">
      <c r="A97" s="98"/>
      <c r="B97" s="94"/>
      <c r="C97" s="98">
        <v>3020</v>
      </c>
      <c r="D97" s="46" t="s">
        <v>201</v>
      </c>
      <c r="E97" s="93">
        <v>10000</v>
      </c>
      <c r="F97" s="93"/>
      <c r="G97" s="93">
        <f>SUM(E97:F97)</f>
        <v>10000</v>
      </c>
      <c r="H97" s="138"/>
    </row>
    <row r="98" spans="1:11" s="29" customFormat="1" ht="21" customHeight="1">
      <c r="A98" s="98"/>
      <c r="B98" s="94"/>
      <c r="C98" s="98">
        <v>4110</v>
      </c>
      <c r="D98" s="46" t="s">
        <v>89</v>
      </c>
      <c r="E98" s="93">
        <v>1300</v>
      </c>
      <c r="F98" s="93"/>
      <c r="G98" s="93">
        <f aca="true" t="shared" si="4" ref="G98:G107">SUM(E98:F98)</f>
        <v>1300</v>
      </c>
      <c r="I98" s="138"/>
      <c r="J98" s="138"/>
      <c r="K98" s="138"/>
    </row>
    <row r="99" spans="1:11" s="29" customFormat="1" ht="21" customHeight="1">
      <c r="A99" s="98"/>
      <c r="B99" s="94"/>
      <c r="C99" s="98">
        <v>4120</v>
      </c>
      <c r="D99" s="46" t="s">
        <v>90</v>
      </c>
      <c r="E99" s="93">
        <v>200</v>
      </c>
      <c r="F99" s="93"/>
      <c r="G99" s="93">
        <f t="shared" si="4"/>
        <v>200</v>
      </c>
      <c r="I99" s="138"/>
      <c r="J99" s="138"/>
      <c r="K99" s="138"/>
    </row>
    <row r="100" spans="1:11" s="29" customFormat="1" ht="21" customHeight="1">
      <c r="A100" s="98"/>
      <c r="B100" s="94"/>
      <c r="C100" s="98">
        <v>4170</v>
      </c>
      <c r="D100" s="46" t="s">
        <v>204</v>
      </c>
      <c r="E100" s="93">
        <v>15000</v>
      </c>
      <c r="F100" s="93"/>
      <c r="G100" s="93">
        <f t="shared" si="4"/>
        <v>15000</v>
      </c>
      <c r="I100" s="138"/>
      <c r="J100" s="138"/>
      <c r="K100" s="138"/>
    </row>
    <row r="101" spans="1:7" s="29" customFormat="1" ht="21" customHeight="1">
      <c r="A101" s="98"/>
      <c r="B101" s="94"/>
      <c r="C101" s="98">
        <v>4210</v>
      </c>
      <c r="D101" s="46" t="s">
        <v>95</v>
      </c>
      <c r="E101" s="93">
        <v>64500</v>
      </c>
      <c r="F101" s="93">
        <v>-20000</v>
      </c>
      <c r="G101" s="93">
        <f t="shared" si="4"/>
        <v>44500</v>
      </c>
    </row>
    <row r="102" spans="1:7" s="29" customFormat="1" ht="21" customHeight="1">
      <c r="A102" s="98"/>
      <c r="B102" s="94"/>
      <c r="C102" s="79">
        <v>4300</v>
      </c>
      <c r="D102" s="46" t="s">
        <v>82</v>
      </c>
      <c r="E102" s="93">
        <v>130200</v>
      </c>
      <c r="F102" s="93">
        <f>-23000-5000</f>
        <v>-28000</v>
      </c>
      <c r="G102" s="93">
        <f t="shared" si="4"/>
        <v>102200</v>
      </c>
    </row>
    <row r="103" spans="1:7" s="29" customFormat="1" ht="21" customHeight="1">
      <c r="A103" s="98"/>
      <c r="B103" s="94"/>
      <c r="C103" s="79">
        <v>4410</v>
      </c>
      <c r="D103" s="46" t="s">
        <v>93</v>
      </c>
      <c r="E103" s="93">
        <v>4000</v>
      </c>
      <c r="F103" s="93"/>
      <c r="G103" s="93">
        <f t="shared" si="4"/>
        <v>4000</v>
      </c>
    </row>
    <row r="104" spans="1:7" s="29" customFormat="1" ht="21" customHeight="1">
      <c r="A104" s="98"/>
      <c r="B104" s="94"/>
      <c r="C104" s="98">
        <v>4420</v>
      </c>
      <c r="D104" s="46" t="s">
        <v>96</v>
      </c>
      <c r="E104" s="93">
        <v>10000</v>
      </c>
      <c r="F104" s="93"/>
      <c r="G104" s="93">
        <f t="shared" si="4"/>
        <v>10000</v>
      </c>
    </row>
    <row r="105" spans="1:7" s="29" customFormat="1" ht="21" customHeight="1">
      <c r="A105" s="98"/>
      <c r="B105" s="94"/>
      <c r="C105" s="79">
        <v>4430</v>
      </c>
      <c r="D105" s="46" t="s">
        <v>97</v>
      </c>
      <c r="E105" s="93">
        <v>2000</v>
      </c>
      <c r="F105" s="93"/>
      <c r="G105" s="93">
        <f t="shared" si="4"/>
        <v>2000</v>
      </c>
    </row>
    <row r="106" spans="1:7" s="29" customFormat="1" ht="28.5" customHeight="1">
      <c r="A106" s="98"/>
      <c r="B106" s="94"/>
      <c r="C106" s="79">
        <v>4740</v>
      </c>
      <c r="D106" s="46" t="s">
        <v>354</v>
      </c>
      <c r="E106" s="93">
        <v>300</v>
      </c>
      <c r="F106" s="93"/>
      <c r="G106" s="93">
        <f t="shared" si="4"/>
        <v>300</v>
      </c>
    </row>
    <row r="107" spans="1:7" s="29" customFormat="1" ht="27" customHeight="1">
      <c r="A107" s="98"/>
      <c r="B107" s="94"/>
      <c r="C107" s="79">
        <v>4750</v>
      </c>
      <c r="D107" s="46" t="s">
        <v>304</v>
      </c>
      <c r="E107" s="93">
        <v>500</v>
      </c>
      <c r="F107" s="93"/>
      <c r="G107" s="93">
        <f t="shared" si="4"/>
        <v>500</v>
      </c>
    </row>
    <row r="108" spans="1:7" s="29" customFormat="1" ht="21" customHeight="1">
      <c r="A108" s="98"/>
      <c r="B108" s="94">
        <v>75095</v>
      </c>
      <c r="C108" s="79"/>
      <c r="D108" s="46" t="s">
        <v>6</v>
      </c>
      <c r="E108" s="93">
        <f>SUM(E109:E112)</f>
        <v>114765</v>
      </c>
      <c r="F108" s="93">
        <f>SUM(F109:F112)</f>
        <v>0</v>
      </c>
      <c r="G108" s="93">
        <f>SUM(G109:G112)</f>
        <v>114765</v>
      </c>
    </row>
    <row r="109" spans="1:8" s="29" customFormat="1" ht="21" customHeight="1">
      <c r="A109" s="98"/>
      <c r="B109" s="94"/>
      <c r="C109" s="79">
        <v>3030</v>
      </c>
      <c r="D109" s="46" t="s">
        <v>92</v>
      </c>
      <c r="E109" s="93">
        <v>60000</v>
      </c>
      <c r="F109" s="93"/>
      <c r="G109" s="93">
        <f>SUM(E109:F109)</f>
        <v>60000</v>
      </c>
      <c r="H109" s="138"/>
    </row>
    <row r="110" spans="1:7" s="29" customFormat="1" ht="21" customHeight="1">
      <c r="A110" s="98"/>
      <c r="B110" s="94"/>
      <c r="C110" s="79">
        <v>4210</v>
      </c>
      <c r="D110" s="46" t="s">
        <v>95</v>
      </c>
      <c r="E110" s="93">
        <f>6000+1665</f>
        <v>7665</v>
      </c>
      <c r="F110" s="93"/>
      <c r="G110" s="93">
        <f>SUM(E110:F110)</f>
        <v>7665</v>
      </c>
    </row>
    <row r="111" spans="1:7" s="29" customFormat="1" ht="21" customHeight="1">
      <c r="A111" s="98"/>
      <c r="B111" s="94"/>
      <c r="C111" s="79">
        <v>4410</v>
      </c>
      <c r="D111" s="46" t="s">
        <v>93</v>
      </c>
      <c r="E111" s="93">
        <v>6000</v>
      </c>
      <c r="F111" s="93"/>
      <c r="G111" s="93">
        <f>SUM(E111:F111)</f>
        <v>6000</v>
      </c>
    </row>
    <row r="112" spans="1:7" s="29" customFormat="1" ht="21" customHeight="1">
      <c r="A112" s="98"/>
      <c r="B112" s="94"/>
      <c r="C112" s="79">
        <v>4430</v>
      </c>
      <c r="D112" s="46" t="s">
        <v>97</v>
      </c>
      <c r="E112" s="93">
        <v>41100</v>
      </c>
      <c r="F112" s="93"/>
      <c r="G112" s="93">
        <f>SUM(E112:F112)</f>
        <v>41100</v>
      </c>
    </row>
    <row r="113" spans="1:7" s="8" customFormat="1" ht="29.25" customHeight="1">
      <c r="A113" s="41">
        <v>751</v>
      </c>
      <c r="B113" s="42"/>
      <c r="C113" s="43"/>
      <c r="D113" s="44" t="s">
        <v>101</v>
      </c>
      <c r="E113" s="45">
        <f>SUM(E114)</f>
        <v>3952</v>
      </c>
      <c r="F113" s="45">
        <f>SUM(F114)</f>
        <v>0</v>
      </c>
      <c r="G113" s="45">
        <f>SUM(G114)</f>
        <v>3952</v>
      </c>
    </row>
    <row r="114" spans="1:7" s="29" customFormat="1" ht="28.5" customHeight="1">
      <c r="A114" s="98"/>
      <c r="B114" s="94">
        <v>75101</v>
      </c>
      <c r="C114" s="98"/>
      <c r="D114" s="46" t="s">
        <v>21</v>
      </c>
      <c r="E114" s="93">
        <f>SUM(E115:E117)</f>
        <v>3952</v>
      </c>
      <c r="F114" s="93">
        <f>SUM(F115:F117)</f>
        <v>0</v>
      </c>
      <c r="G114" s="93">
        <f>SUM(G115:G117)</f>
        <v>3952</v>
      </c>
    </row>
    <row r="115" spans="1:11" s="29" customFormat="1" ht="21.75" customHeight="1">
      <c r="A115" s="98"/>
      <c r="B115" s="94"/>
      <c r="C115" s="98">
        <v>4010</v>
      </c>
      <c r="D115" s="46" t="s">
        <v>87</v>
      </c>
      <c r="E115" s="93">
        <v>3360</v>
      </c>
      <c r="F115" s="93"/>
      <c r="G115" s="93">
        <f>SUM(E115:F115)</f>
        <v>3360</v>
      </c>
      <c r="I115" s="138"/>
      <c r="J115" s="138"/>
      <c r="K115" s="138"/>
    </row>
    <row r="116" spans="1:11" s="29" customFormat="1" ht="18.75" customHeight="1">
      <c r="A116" s="98"/>
      <c r="B116" s="94"/>
      <c r="C116" s="98">
        <v>4110</v>
      </c>
      <c r="D116" s="46" t="s">
        <v>89</v>
      </c>
      <c r="E116" s="93">
        <v>510</v>
      </c>
      <c r="F116" s="93"/>
      <c r="G116" s="93">
        <f>SUM(E116:F116)</f>
        <v>510</v>
      </c>
      <c r="I116" s="138"/>
      <c r="J116" s="138"/>
      <c r="K116" s="138"/>
    </row>
    <row r="117" spans="1:11" s="29" customFormat="1" ht="19.5" customHeight="1">
      <c r="A117" s="98"/>
      <c r="B117" s="94"/>
      <c r="C117" s="98">
        <v>4120</v>
      </c>
      <c r="D117" s="46" t="s">
        <v>90</v>
      </c>
      <c r="E117" s="93">
        <v>82</v>
      </c>
      <c r="F117" s="93"/>
      <c r="G117" s="93">
        <f>SUM(E117:F117)</f>
        <v>82</v>
      </c>
      <c r="I117" s="138"/>
      <c r="J117" s="138"/>
      <c r="K117" s="138"/>
    </row>
    <row r="118" spans="1:7" s="8" customFormat="1" ht="24.75" customHeight="1">
      <c r="A118" s="41" t="s">
        <v>22</v>
      </c>
      <c r="B118" s="42"/>
      <c r="C118" s="43"/>
      <c r="D118" s="44" t="s">
        <v>23</v>
      </c>
      <c r="E118" s="45">
        <f>SUM(E119,E134,E151,)</f>
        <v>481515</v>
      </c>
      <c r="F118" s="45">
        <f>SUM(F119,F134,F151,)</f>
        <v>290000</v>
      </c>
      <c r="G118" s="45">
        <f>SUM(G119,G134,G151,)</f>
        <v>771515</v>
      </c>
    </row>
    <row r="119" spans="1:7" s="29" customFormat="1" ht="21.75" customHeight="1">
      <c r="A119" s="98"/>
      <c r="B119" s="94" t="s">
        <v>102</v>
      </c>
      <c r="C119" s="98"/>
      <c r="D119" s="46" t="s">
        <v>103</v>
      </c>
      <c r="E119" s="93">
        <f>SUM(E120:E133)</f>
        <v>197515</v>
      </c>
      <c r="F119" s="93">
        <f>SUM(F120:F133)</f>
        <v>220000</v>
      </c>
      <c r="G119" s="93">
        <f>SUM(G120:G133)</f>
        <v>417515</v>
      </c>
    </row>
    <row r="120" spans="1:8" s="29" customFormat="1" ht="21" customHeight="1">
      <c r="A120" s="98"/>
      <c r="B120" s="94"/>
      <c r="C120" s="98">
        <v>3020</v>
      </c>
      <c r="D120" s="46" t="s">
        <v>201</v>
      </c>
      <c r="E120" s="93">
        <f>1200+1000+13600</f>
        <v>15800</v>
      </c>
      <c r="F120" s="93"/>
      <c r="G120" s="93">
        <f>SUM(E120:F120)</f>
        <v>15800</v>
      </c>
      <c r="H120" s="138"/>
    </row>
    <row r="121" spans="1:8" s="29" customFormat="1" ht="21" customHeight="1">
      <c r="A121" s="98"/>
      <c r="B121" s="94"/>
      <c r="C121" s="98">
        <v>3030</v>
      </c>
      <c r="D121" s="46" t="s">
        <v>92</v>
      </c>
      <c r="E121" s="93">
        <v>14180</v>
      </c>
      <c r="F121" s="93"/>
      <c r="G121" s="93">
        <f aca="true" t="shared" si="5" ref="G121:G133">SUM(E121:F121)</f>
        <v>14180</v>
      </c>
      <c r="H121" s="138"/>
    </row>
    <row r="122" spans="1:11" s="29" customFormat="1" ht="21" customHeight="1">
      <c r="A122" s="98"/>
      <c r="B122" s="94"/>
      <c r="C122" s="98">
        <v>4110</v>
      </c>
      <c r="D122" s="46" t="s">
        <v>89</v>
      </c>
      <c r="E122" s="93">
        <v>5500</v>
      </c>
      <c r="F122" s="93"/>
      <c r="G122" s="93">
        <f t="shared" si="5"/>
        <v>5500</v>
      </c>
      <c r="I122" s="138"/>
      <c r="J122" s="138"/>
      <c r="K122" s="138"/>
    </row>
    <row r="123" spans="1:11" s="29" customFormat="1" ht="21" customHeight="1">
      <c r="A123" s="98"/>
      <c r="B123" s="94"/>
      <c r="C123" s="98">
        <v>4120</v>
      </c>
      <c r="D123" s="46" t="s">
        <v>233</v>
      </c>
      <c r="E123" s="93">
        <v>880</v>
      </c>
      <c r="F123" s="93"/>
      <c r="G123" s="93">
        <f t="shared" si="5"/>
        <v>880</v>
      </c>
      <c r="I123" s="138"/>
      <c r="J123" s="138"/>
      <c r="K123" s="138"/>
    </row>
    <row r="124" spans="1:11" s="29" customFormat="1" ht="21" customHeight="1">
      <c r="A124" s="98"/>
      <c r="B124" s="94"/>
      <c r="C124" s="79">
        <v>4170</v>
      </c>
      <c r="D124" s="46" t="s">
        <v>204</v>
      </c>
      <c r="E124" s="93">
        <v>35640</v>
      </c>
      <c r="F124" s="93"/>
      <c r="G124" s="93">
        <f t="shared" si="5"/>
        <v>35640</v>
      </c>
      <c r="I124" s="138"/>
      <c r="J124" s="138"/>
      <c r="K124" s="138"/>
    </row>
    <row r="125" spans="1:7" s="29" customFormat="1" ht="21" customHeight="1">
      <c r="A125" s="98"/>
      <c r="B125" s="94"/>
      <c r="C125" s="79">
        <v>4210</v>
      </c>
      <c r="D125" s="46" t="s">
        <v>95</v>
      </c>
      <c r="E125" s="93">
        <f>32800+3400+1915</f>
        <v>38115</v>
      </c>
      <c r="F125" s="93"/>
      <c r="G125" s="93">
        <f t="shared" si="5"/>
        <v>38115</v>
      </c>
    </row>
    <row r="126" spans="1:7" s="29" customFormat="1" ht="21" customHeight="1">
      <c r="A126" s="98"/>
      <c r="B126" s="94"/>
      <c r="C126" s="79">
        <v>4260</v>
      </c>
      <c r="D126" s="46" t="s">
        <v>98</v>
      </c>
      <c r="E126" s="93">
        <v>15300</v>
      </c>
      <c r="F126" s="93"/>
      <c r="G126" s="93">
        <f t="shared" si="5"/>
        <v>15300</v>
      </c>
    </row>
    <row r="127" spans="1:7" s="29" customFormat="1" ht="21" customHeight="1">
      <c r="A127" s="98"/>
      <c r="B127" s="94"/>
      <c r="C127" s="79">
        <v>4270</v>
      </c>
      <c r="D127" s="46" t="s">
        <v>81</v>
      </c>
      <c r="E127" s="93">
        <v>13500</v>
      </c>
      <c r="F127" s="93"/>
      <c r="G127" s="93">
        <f t="shared" si="5"/>
        <v>13500</v>
      </c>
    </row>
    <row r="128" spans="1:7" s="29" customFormat="1" ht="21" customHeight="1">
      <c r="A128" s="98"/>
      <c r="B128" s="94"/>
      <c r="C128" s="79">
        <v>4280</v>
      </c>
      <c r="D128" s="46" t="s">
        <v>232</v>
      </c>
      <c r="E128" s="93">
        <v>6000</v>
      </c>
      <c r="F128" s="93"/>
      <c r="G128" s="93">
        <f t="shared" si="5"/>
        <v>6000</v>
      </c>
    </row>
    <row r="129" spans="1:7" s="29" customFormat="1" ht="21" customHeight="1">
      <c r="A129" s="98"/>
      <c r="B129" s="94"/>
      <c r="C129" s="79">
        <v>4300</v>
      </c>
      <c r="D129" s="46" t="s">
        <v>82</v>
      </c>
      <c r="E129" s="93">
        <v>10594</v>
      </c>
      <c r="F129" s="93"/>
      <c r="G129" s="93">
        <f t="shared" si="5"/>
        <v>10594</v>
      </c>
    </row>
    <row r="130" spans="1:7" s="29" customFormat="1" ht="21" customHeight="1">
      <c r="A130" s="98"/>
      <c r="B130" s="94"/>
      <c r="C130" s="79">
        <v>4410</v>
      </c>
      <c r="D130" s="46" t="s">
        <v>93</v>
      </c>
      <c r="E130" s="93">
        <v>4000</v>
      </c>
      <c r="F130" s="93"/>
      <c r="G130" s="93">
        <f t="shared" si="5"/>
        <v>4000</v>
      </c>
    </row>
    <row r="131" spans="1:7" s="29" customFormat="1" ht="21" customHeight="1">
      <c r="A131" s="98"/>
      <c r="B131" s="94"/>
      <c r="C131" s="79">
        <v>4430</v>
      </c>
      <c r="D131" s="46" t="s">
        <v>97</v>
      </c>
      <c r="E131" s="93">
        <v>13006</v>
      </c>
      <c r="F131" s="93"/>
      <c r="G131" s="93">
        <f t="shared" si="5"/>
        <v>13006</v>
      </c>
    </row>
    <row r="132" spans="1:16" s="29" customFormat="1" ht="21" customHeight="1">
      <c r="A132" s="98"/>
      <c r="B132" s="94"/>
      <c r="C132" s="79">
        <v>6050</v>
      </c>
      <c r="D132" s="16" t="s">
        <v>76</v>
      </c>
      <c r="E132" s="93">
        <v>0</v>
      </c>
      <c r="F132" s="93">
        <f>200000+20000</f>
        <v>220000</v>
      </c>
      <c r="G132" s="93">
        <f t="shared" si="5"/>
        <v>220000</v>
      </c>
      <c r="N132" s="138"/>
      <c r="O132" s="138"/>
      <c r="P132" s="138"/>
    </row>
    <row r="133" spans="1:16" s="29" customFormat="1" ht="21" customHeight="1">
      <c r="A133" s="98"/>
      <c r="B133" s="94"/>
      <c r="C133" s="79">
        <v>6060</v>
      </c>
      <c r="D133" s="46" t="s">
        <v>99</v>
      </c>
      <c r="E133" s="93">
        <v>25000</v>
      </c>
      <c r="F133" s="93"/>
      <c r="G133" s="93">
        <f t="shared" si="5"/>
        <v>25000</v>
      </c>
      <c r="N133" s="138"/>
      <c r="O133" s="138"/>
      <c r="P133" s="138"/>
    </row>
    <row r="134" spans="1:7" s="29" customFormat="1" ht="21" customHeight="1">
      <c r="A134" s="98"/>
      <c r="B134" s="94">
        <v>75416</v>
      </c>
      <c r="C134" s="98"/>
      <c r="D134" s="46" t="s">
        <v>25</v>
      </c>
      <c r="E134" s="93">
        <f>SUM(E135:E150)</f>
        <v>275000</v>
      </c>
      <c r="F134" s="93">
        <f>SUM(F135:F150)</f>
        <v>0</v>
      </c>
      <c r="G134" s="93">
        <f>SUM(G135:G150)</f>
        <v>275000</v>
      </c>
    </row>
    <row r="135" spans="1:8" s="29" customFormat="1" ht="21" customHeight="1">
      <c r="A135" s="98"/>
      <c r="B135" s="94"/>
      <c r="C135" s="79">
        <v>3020</v>
      </c>
      <c r="D135" s="46" t="s">
        <v>201</v>
      </c>
      <c r="E135" s="93">
        <v>7100</v>
      </c>
      <c r="F135" s="93"/>
      <c r="G135" s="93">
        <f>SUM(E135:F135)</f>
        <v>7100</v>
      </c>
      <c r="H135" s="138"/>
    </row>
    <row r="136" spans="1:11" s="29" customFormat="1" ht="21" customHeight="1">
      <c r="A136" s="98"/>
      <c r="B136" s="94"/>
      <c r="C136" s="79">
        <v>4010</v>
      </c>
      <c r="D136" s="46" t="s">
        <v>87</v>
      </c>
      <c r="E136" s="93">
        <v>186240</v>
      </c>
      <c r="F136" s="93"/>
      <c r="G136" s="93">
        <f aca="true" t="shared" si="6" ref="G136:G150">SUM(E136:F136)</f>
        <v>186240</v>
      </c>
      <c r="I136" s="138"/>
      <c r="J136" s="138"/>
      <c r="K136" s="138"/>
    </row>
    <row r="137" spans="1:11" s="29" customFormat="1" ht="21" customHeight="1">
      <c r="A137" s="98"/>
      <c r="B137" s="94"/>
      <c r="C137" s="79">
        <v>4040</v>
      </c>
      <c r="D137" s="46" t="s">
        <v>88</v>
      </c>
      <c r="E137" s="93">
        <v>13500</v>
      </c>
      <c r="F137" s="93"/>
      <c r="G137" s="93">
        <f t="shared" si="6"/>
        <v>13500</v>
      </c>
      <c r="I137" s="138"/>
      <c r="J137" s="138"/>
      <c r="K137" s="138"/>
    </row>
    <row r="138" spans="1:11" s="29" customFormat="1" ht="21" customHeight="1">
      <c r="A138" s="98"/>
      <c r="B138" s="94"/>
      <c r="C138" s="79">
        <v>4110</v>
      </c>
      <c r="D138" s="46" t="s">
        <v>89</v>
      </c>
      <c r="E138" s="93">
        <v>29000</v>
      </c>
      <c r="F138" s="93"/>
      <c r="G138" s="93">
        <f t="shared" si="6"/>
        <v>29000</v>
      </c>
      <c r="I138" s="138"/>
      <c r="J138" s="138"/>
      <c r="K138" s="138"/>
    </row>
    <row r="139" spans="1:11" s="29" customFormat="1" ht="21" customHeight="1">
      <c r="A139" s="98"/>
      <c r="B139" s="94"/>
      <c r="C139" s="79">
        <v>4120</v>
      </c>
      <c r="D139" s="46" t="s">
        <v>90</v>
      </c>
      <c r="E139" s="93">
        <v>4800</v>
      </c>
      <c r="F139" s="93"/>
      <c r="G139" s="93">
        <f t="shared" si="6"/>
        <v>4800</v>
      </c>
      <c r="I139" s="138"/>
      <c r="J139" s="138"/>
      <c r="K139" s="138"/>
    </row>
    <row r="140" spans="1:7" s="29" customFormat="1" ht="21" customHeight="1">
      <c r="A140" s="98"/>
      <c r="B140" s="94"/>
      <c r="C140" s="79">
        <v>4210</v>
      </c>
      <c r="D140" s="46" t="s">
        <v>95</v>
      </c>
      <c r="E140" s="93">
        <v>10850</v>
      </c>
      <c r="F140" s="93"/>
      <c r="G140" s="93">
        <f t="shared" si="6"/>
        <v>10850</v>
      </c>
    </row>
    <row r="141" spans="1:7" s="29" customFormat="1" ht="21" customHeight="1">
      <c r="A141" s="98"/>
      <c r="B141" s="94"/>
      <c r="C141" s="79">
        <v>4270</v>
      </c>
      <c r="D141" s="46" t="s">
        <v>81</v>
      </c>
      <c r="E141" s="93">
        <v>1000</v>
      </c>
      <c r="F141" s="93"/>
      <c r="G141" s="93">
        <f t="shared" si="6"/>
        <v>1000</v>
      </c>
    </row>
    <row r="142" spans="1:7" s="29" customFormat="1" ht="21" customHeight="1">
      <c r="A142" s="98"/>
      <c r="B142" s="94"/>
      <c r="C142" s="79">
        <v>4280</v>
      </c>
      <c r="D142" s="46" t="s">
        <v>232</v>
      </c>
      <c r="E142" s="93">
        <v>500</v>
      </c>
      <c r="F142" s="93"/>
      <c r="G142" s="93">
        <f t="shared" si="6"/>
        <v>500</v>
      </c>
    </row>
    <row r="143" spans="1:7" s="29" customFormat="1" ht="21" customHeight="1">
      <c r="A143" s="98"/>
      <c r="B143" s="94"/>
      <c r="C143" s="79">
        <v>4300</v>
      </c>
      <c r="D143" s="46" t="s">
        <v>82</v>
      </c>
      <c r="E143" s="93">
        <v>4700</v>
      </c>
      <c r="F143" s="93"/>
      <c r="G143" s="93">
        <f t="shared" si="6"/>
        <v>4700</v>
      </c>
    </row>
    <row r="144" spans="1:7" s="29" customFormat="1" ht="27.75" customHeight="1">
      <c r="A144" s="98"/>
      <c r="B144" s="94"/>
      <c r="C144" s="79">
        <v>4360</v>
      </c>
      <c r="D144" s="46" t="s">
        <v>245</v>
      </c>
      <c r="E144" s="93">
        <v>2200</v>
      </c>
      <c r="F144" s="93"/>
      <c r="G144" s="93">
        <f t="shared" si="6"/>
        <v>2200</v>
      </c>
    </row>
    <row r="145" spans="1:7" s="29" customFormat="1" ht="27.75" customHeight="1">
      <c r="A145" s="98"/>
      <c r="B145" s="94"/>
      <c r="C145" s="79">
        <v>4400</v>
      </c>
      <c r="D145" s="46" t="s">
        <v>290</v>
      </c>
      <c r="E145" s="93">
        <v>560</v>
      </c>
      <c r="F145" s="93"/>
      <c r="G145" s="93">
        <f t="shared" si="6"/>
        <v>560</v>
      </c>
    </row>
    <row r="146" spans="1:7" s="29" customFormat="1" ht="21" customHeight="1">
      <c r="A146" s="98"/>
      <c r="B146" s="94"/>
      <c r="C146" s="79">
        <v>4410</v>
      </c>
      <c r="D146" s="46" t="s">
        <v>93</v>
      </c>
      <c r="E146" s="93">
        <v>1000</v>
      </c>
      <c r="F146" s="93"/>
      <c r="G146" s="93">
        <f t="shared" si="6"/>
        <v>1000</v>
      </c>
    </row>
    <row r="147" spans="1:7" s="29" customFormat="1" ht="21" customHeight="1">
      <c r="A147" s="98"/>
      <c r="B147" s="94"/>
      <c r="C147" s="82">
        <v>4430</v>
      </c>
      <c r="D147" s="46" t="s">
        <v>97</v>
      </c>
      <c r="E147" s="93">
        <v>2500</v>
      </c>
      <c r="F147" s="93"/>
      <c r="G147" s="93">
        <f t="shared" si="6"/>
        <v>2500</v>
      </c>
    </row>
    <row r="148" spans="1:7" s="29" customFormat="1" ht="21" customHeight="1">
      <c r="A148" s="98"/>
      <c r="B148" s="94"/>
      <c r="C148" s="82">
        <v>4440</v>
      </c>
      <c r="D148" s="46" t="s">
        <v>91</v>
      </c>
      <c r="E148" s="93">
        <v>5850</v>
      </c>
      <c r="F148" s="93"/>
      <c r="G148" s="93">
        <f t="shared" si="6"/>
        <v>5850</v>
      </c>
    </row>
    <row r="149" spans="1:7" s="29" customFormat="1" ht="21" customHeight="1">
      <c r="A149" s="98"/>
      <c r="B149" s="94"/>
      <c r="C149" s="82">
        <v>4510</v>
      </c>
      <c r="D149" s="46" t="s">
        <v>153</v>
      </c>
      <c r="E149" s="93">
        <v>100</v>
      </c>
      <c r="F149" s="93"/>
      <c r="G149" s="93">
        <f t="shared" si="6"/>
        <v>100</v>
      </c>
    </row>
    <row r="150" spans="1:7" s="29" customFormat="1" ht="28.5" customHeight="1">
      <c r="A150" s="98"/>
      <c r="B150" s="94"/>
      <c r="C150" s="82">
        <v>4700</v>
      </c>
      <c r="D150" s="46" t="s">
        <v>298</v>
      </c>
      <c r="E150" s="93">
        <v>5100</v>
      </c>
      <c r="F150" s="93"/>
      <c r="G150" s="93">
        <f t="shared" si="6"/>
        <v>5100</v>
      </c>
    </row>
    <row r="151" spans="1:7" s="29" customFormat="1" ht="21" customHeight="1">
      <c r="A151" s="98"/>
      <c r="B151" s="94" t="s">
        <v>104</v>
      </c>
      <c r="C151" s="98"/>
      <c r="D151" s="46" t="s">
        <v>6</v>
      </c>
      <c r="E151" s="93">
        <f>SUM(E152:E155)</f>
        <v>9000</v>
      </c>
      <c r="F151" s="93">
        <f>SUM(F152:F155)</f>
        <v>70000</v>
      </c>
      <c r="G151" s="93">
        <f>SUM(G152:G155)</f>
        <v>79000</v>
      </c>
    </row>
    <row r="152" spans="1:7" s="29" customFormat="1" ht="21" customHeight="1">
      <c r="A152" s="98"/>
      <c r="B152" s="94"/>
      <c r="C152" s="98">
        <v>4210</v>
      </c>
      <c r="D152" s="46" t="s">
        <v>95</v>
      </c>
      <c r="E152" s="93">
        <v>3900</v>
      </c>
      <c r="F152" s="93"/>
      <c r="G152" s="93">
        <f>SUM(E152:F152)</f>
        <v>3900</v>
      </c>
    </row>
    <row r="153" spans="1:7" s="29" customFormat="1" ht="21" customHeight="1">
      <c r="A153" s="98"/>
      <c r="B153" s="94"/>
      <c r="C153" s="82">
        <v>4430</v>
      </c>
      <c r="D153" s="46" t="s">
        <v>97</v>
      </c>
      <c r="E153" s="93">
        <v>5000</v>
      </c>
      <c r="F153" s="93"/>
      <c r="G153" s="93">
        <f>SUM(E153:F153)</f>
        <v>5000</v>
      </c>
    </row>
    <row r="154" spans="1:7" s="29" customFormat="1" ht="27" customHeight="1">
      <c r="A154" s="98"/>
      <c r="B154" s="94"/>
      <c r="C154" s="82">
        <v>4740</v>
      </c>
      <c r="D154" s="46" t="s">
        <v>243</v>
      </c>
      <c r="E154" s="93">
        <v>100</v>
      </c>
      <c r="F154" s="93"/>
      <c r="G154" s="93">
        <f>SUM(E154:F154)</f>
        <v>100</v>
      </c>
    </row>
    <row r="155" spans="1:16" s="29" customFormat="1" ht="22.5" customHeight="1">
      <c r="A155" s="98"/>
      <c r="B155" s="94"/>
      <c r="C155" s="82">
        <v>6050</v>
      </c>
      <c r="D155" s="16" t="s">
        <v>76</v>
      </c>
      <c r="E155" s="93">
        <v>0</v>
      </c>
      <c r="F155" s="93">
        <f>70000</f>
        <v>70000</v>
      </c>
      <c r="G155" s="93">
        <f>SUM(E155:F155)</f>
        <v>70000</v>
      </c>
      <c r="N155" s="138"/>
      <c r="O155" s="138"/>
      <c r="P155" s="138"/>
    </row>
    <row r="156" spans="1:7" s="49" customFormat="1" ht="58.5" customHeight="1">
      <c r="A156" s="43">
        <v>756</v>
      </c>
      <c r="B156" s="74"/>
      <c r="C156" s="73"/>
      <c r="D156" s="44" t="s">
        <v>162</v>
      </c>
      <c r="E156" s="45">
        <f>SUM(E157)</f>
        <v>102000</v>
      </c>
      <c r="F156" s="45">
        <f>SUM(F157)</f>
        <v>0</v>
      </c>
      <c r="G156" s="45">
        <f>SUM(G157)</f>
        <v>102000</v>
      </c>
    </row>
    <row r="157" spans="1:7" s="29" customFormat="1" ht="31.5" customHeight="1">
      <c r="A157" s="98"/>
      <c r="B157" s="94">
        <v>75647</v>
      </c>
      <c r="C157" s="82"/>
      <c r="D157" s="46" t="s">
        <v>190</v>
      </c>
      <c r="E157" s="93">
        <f>SUM(E158:E165)</f>
        <v>102000</v>
      </c>
      <c r="F157" s="93">
        <f>SUM(F158:F165)</f>
        <v>0</v>
      </c>
      <c r="G157" s="93">
        <f>SUM(G158:G165)</f>
        <v>102000</v>
      </c>
    </row>
    <row r="158" spans="1:11" s="29" customFormat="1" ht="21" customHeight="1">
      <c r="A158" s="98"/>
      <c r="B158" s="94"/>
      <c r="C158" s="82">
        <v>4100</v>
      </c>
      <c r="D158" s="46" t="s">
        <v>100</v>
      </c>
      <c r="E158" s="93">
        <v>40000</v>
      </c>
      <c r="F158" s="93"/>
      <c r="G158" s="93">
        <f>SUM(E158:F158)</f>
        <v>40000</v>
      </c>
      <c r="I158" s="138"/>
      <c r="J158" s="138"/>
      <c r="K158" s="138"/>
    </row>
    <row r="159" spans="1:11" s="29" customFormat="1" ht="21" customHeight="1">
      <c r="A159" s="98"/>
      <c r="B159" s="94"/>
      <c r="C159" s="82">
        <v>4170</v>
      </c>
      <c r="D159" s="46" t="s">
        <v>204</v>
      </c>
      <c r="E159" s="93">
        <v>5000</v>
      </c>
      <c r="F159" s="93"/>
      <c r="G159" s="93">
        <f aca="true" t="shared" si="7" ref="G159:G165">SUM(E159:F159)</f>
        <v>5000</v>
      </c>
      <c r="I159" s="138"/>
      <c r="J159" s="138"/>
      <c r="K159" s="138"/>
    </row>
    <row r="160" spans="1:7" s="29" customFormat="1" ht="21" customHeight="1">
      <c r="A160" s="98"/>
      <c r="B160" s="94"/>
      <c r="C160" s="82">
        <v>4210</v>
      </c>
      <c r="D160" s="46" t="s">
        <v>75</v>
      </c>
      <c r="E160" s="93">
        <v>2000</v>
      </c>
      <c r="F160" s="93"/>
      <c r="G160" s="93">
        <f t="shared" si="7"/>
        <v>2000</v>
      </c>
    </row>
    <row r="161" spans="1:7" s="29" customFormat="1" ht="21" customHeight="1">
      <c r="A161" s="98"/>
      <c r="B161" s="94"/>
      <c r="C161" s="82">
        <v>4300</v>
      </c>
      <c r="D161" s="46" t="s">
        <v>82</v>
      </c>
      <c r="E161" s="93">
        <v>20000</v>
      </c>
      <c r="F161" s="93"/>
      <c r="G161" s="93">
        <f t="shared" si="7"/>
        <v>20000</v>
      </c>
    </row>
    <row r="162" spans="1:7" s="29" customFormat="1" ht="21" customHeight="1">
      <c r="A162" s="98"/>
      <c r="B162" s="94"/>
      <c r="C162" s="82">
        <v>4430</v>
      </c>
      <c r="D162" s="46" t="s">
        <v>97</v>
      </c>
      <c r="E162" s="93">
        <v>2000</v>
      </c>
      <c r="F162" s="93"/>
      <c r="G162" s="93">
        <f t="shared" si="7"/>
        <v>2000</v>
      </c>
    </row>
    <row r="163" spans="1:7" s="29" customFormat="1" ht="27" customHeight="1">
      <c r="A163" s="98"/>
      <c r="B163" s="94"/>
      <c r="C163" s="82">
        <v>4610</v>
      </c>
      <c r="D163" s="46" t="s">
        <v>191</v>
      </c>
      <c r="E163" s="93">
        <v>29000</v>
      </c>
      <c r="F163" s="93"/>
      <c r="G163" s="93">
        <f t="shared" si="7"/>
        <v>29000</v>
      </c>
    </row>
    <row r="164" spans="1:7" s="29" customFormat="1" ht="28.5" customHeight="1">
      <c r="A164" s="98"/>
      <c r="B164" s="94"/>
      <c r="C164" s="82">
        <v>4740</v>
      </c>
      <c r="D164" s="46" t="s">
        <v>354</v>
      </c>
      <c r="E164" s="93">
        <v>2000</v>
      </c>
      <c r="F164" s="93"/>
      <c r="G164" s="93">
        <f t="shared" si="7"/>
        <v>2000</v>
      </c>
    </row>
    <row r="165" spans="1:7" s="29" customFormat="1" ht="24.75" customHeight="1">
      <c r="A165" s="98"/>
      <c r="B165" s="94"/>
      <c r="C165" s="82">
        <v>4750</v>
      </c>
      <c r="D165" s="46" t="s">
        <v>244</v>
      </c>
      <c r="E165" s="93">
        <v>2000</v>
      </c>
      <c r="F165" s="93"/>
      <c r="G165" s="93">
        <f t="shared" si="7"/>
        <v>2000</v>
      </c>
    </row>
    <row r="166" spans="1:7" s="8" customFormat="1" ht="21.75" customHeight="1">
      <c r="A166" s="41" t="s">
        <v>105</v>
      </c>
      <c r="B166" s="42"/>
      <c r="C166" s="43"/>
      <c r="D166" s="44" t="s">
        <v>106</v>
      </c>
      <c r="E166" s="45">
        <f>SUM(E167)</f>
        <v>900004</v>
      </c>
      <c r="F166" s="45">
        <f>SUM(F167)</f>
        <v>0</v>
      </c>
      <c r="G166" s="45">
        <f>SUM(G167)</f>
        <v>900004</v>
      </c>
    </row>
    <row r="167" spans="1:7" s="29" customFormat="1" ht="24">
      <c r="A167" s="79"/>
      <c r="B167" s="94" t="s">
        <v>107</v>
      </c>
      <c r="C167" s="98"/>
      <c r="D167" s="46" t="s">
        <v>108</v>
      </c>
      <c r="E167" s="93">
        <f>SUM(E168:E168)</f>
        <v>900004</v>
      </c>
      <c r="F167" s="93">
        <f>SUM(F168:F168)</f>
        <v>0</v>
      </c>
      <c r="G167" s="93">
        <f>SUM(G168:G168)</f>
        <v>900004</v>
      </c>
    </row>
    <row r="168" spans="1:7" s="325" customFormat="1" ht="38.25" customHeight="1">
      <c r="A168" s="323"/>
      <c r="B168" s="324"/>
      <c r="C168" s="98">
        <v>8110</v>
      </c>
      <c r="D168" s="46" t="s">
        <v>436</v>
      </c>
      <c r="E168" s="93">
        <v>900004</v>
      </c>
      <c r="F168" s="93"/>
      <c r="G168" s="93">
        <f>SUM(E168:F168)</f>
        <v>900004</v>
      </c>
    </row>
    <row r="169" spans="1:7" s="8" customFormat="1" ht="21" customHeight="1">
      <c r="A169" s="41" t="s">
        <v>47</v>
      </c>
      <c r="B169" s="42"/>
      <c r="C169" s="43"/>
      <c r="D169" s="44" t="s">
        <v>48</v>
      </c>
      <c r="E169" s="45">
        <f>SUM(E170)</f>
        <v>1295930</v>
      </c>
      <c r="F169" s="45">
        <f>SUM(F170)</f>
        <v>318684</v>
      </c>
      <c r="G169" s="45">
        <f>SUM(G170)</f>
        <v>1614614</v>
      </c>
    </row>
    <row r="170" spans="1:7" s="29" customFormat="1" ht="21" customHeight="1">
      <c r="A170" s="79"/>
      <c r="B170" s="94" t="s">
        <v>109</v>
      </c>
      <c r="C170" s="98"/>
      <c r="D170" s="46" t="s">
        <v>110</v>
      </c>
      <c r="E170" s="93">
        <f>SUM(E171:E172)</f>
        <v>1295930</v>
      </c>
      <c r="F170" s="93">
        <f>SUM(F171:F172)</f>
        <v>318684</v>
      </c>
      <c r="G170" s="93">
        <f>SUM(G171:G172)</f>
        <v>1614614</v>
      </c>
    </row>
    <row r="171" spans="1:7" s="29" customFormat="1" ht="21" customHeight="1">
      <c r="A171" s="79"/>
      <c r="B171" s="99"/>
      <c r="C171" s="98">
        <v>4810</v>
      </c>
      <c r="D171" s="46" t="s">
        <v>111</v>
      </c>
      <c r="E171" s="93">
        <f>154270+150000+40560+76000+40000+55000+13500+450000+20000+80600</f>
        <v>1079930</v>
      </c>
      <c r="F171" s="93">
        <f>25000+40000+248684+5000</f>
        <v>318684</v>
      </c>
      <c r="G171" s="93">
        <f>SUM(E171:F171)</f>
        <v>1398614</v>
      </c>
    </row>
    <row r="172" spans="1:16" s="29" customFormat="1" ht="21" customHeight="1">
      <c r="A172" s="79"/>
      <c r="B172" s="99"/>
      <c r="C172" s="98">
        <v>6800</v>
      </c>
      <c r="D172" s="46" t="s">
        <v>306</v>
      </c>
      <c r="E172" s="93">
        <f>25000+75000+100000+16000</f>
        <v>216000</v>
      </c>
      <c r="F172" s="93"/>
      <c r="G172" s="93">
        <f>SUM(E172:F172)</f>
        <v>216000</v>
      </c>
      <c r="N172" s="138"/>
      <c r="O172" s="138"/>
      <c r="P172" s="138"/>
    </row>
    <row r="173" spans="1:7" s="9" customFormat="1" ht="20.25" customHeight="1">
      <c r="A173" s="41" t="s">
        <v>112</v>
      </c>
      <c r="B173" s="42"/>
      <c r="C173" s="43"/>
      <c r="D173" s="44" t="s">
        <v>113</v>
      </c>
      <c r="E173" s="45">
        <f>SUM(E174,E201,E219,E222,E247,E254,E258,E273)</f>
        <v>30107018</v>
      </c>
      <c r="F173" s="45">
        <f>SUM(F174,F201,F219,F222,F247,F254,F258,F273)</f>
        <v>-861184</v>
      </c>
      <c r="G173" s="45">
        <f>SUM(G174,G201,G219,G222,G247,G254,G258,G273)</f>
        <v>29245834</v>
      </c>
    </row>
    <row r="174" spans="1:7" s="29" customFormat="1" ht="22.5" customHeight="1">
      <c r="A174" s="79"/>
      <c r="B174" s="94" t="s">
        <v>114</v>
      </c>
      <c r="C174" s="98"/>
      <c r="D174" s="46" t="s">
        <v>53</v>
      </c>
      <c r="E174" s="93">
        <f>SUM(E175:E200)</f>
        <v>12980229</v>
      </c>
      <c r="F174" s="93">
        <f>SUM(F175:F200)</f>
        <v>-110000</v>
      </c>
      <c r="G174" s="93">
        <f>SUM(G175:G200)</f>
        <v>12870229</v>
      </c>
    </row>
    <row r="175" spans="1:19" s="29" customFormat="1" ht="50.25" customHeight="1">
      <c r="A175" s="79"/>
      <c r="B175" s="94"/>
      <c r="C175" s="98">
        <v>2590</v>
      </c>
      <c r="D175" s="46" t="s">
        <v>434</v>
      </c>
      <c r="E175" s="93">
        <v>746055</v>
      </c>
      <c r="F175" s="93"/>
      <c r="G175" s="93">
        <f>SUM(E175:F175)</f>
        <v>746055</v>
      </c>
      <c r="Q175" s="138"/>
      <c r="R175" s="138"/>
      <c r="S175" s="138"/>
    </row>
    <row r="176" spans="1:8" s="29" customFormat="1" ht="21" customHeight="1">
      <c r="A176" s="79"/>
      <c r="B176" s="94"/>
      <c r="C176" s="79">
        <v>3020</v>
      </c>
      <c r="D176" s="46" t="s">
        <v>224</v>
      </c>
      <c r="E176" s="93">
        <v>220760</v>
      </c>
      <c r="F176" s="93"/>
      <c r="G176" s="93">
        <f>SUM(E176:F176)</f>
        <v>220760</v>
      </c>
      <c r="H176" s="138"/>
    </row>
    <row r="177" spans="1:11" s="29" customFormat="1" ht="21" customHeight="1">
      <c r="A177" s="79"/>
      <c r="B177" s="94"/>
      <c r="C177" s="79">
        <v>4010</v>
      </c>
      <c r="D177" s="46" t="s">
        <v>87</v>
      </c>
      <c r="E177" s="93">
        <v>7370338</v>
      </c>
      <c r="F177" s="93"/>
      <c r="G177" s="93">
        <f aca="true" t="shared" si="8" ref="G177:G200">SUM(E177:F177)</f>
        <v>7370338</v>
      </c>
      <c r="I177" s="138"/>
      <c r="J177" s="138"/>
      <c r="K177" s="138"/>
    </row>
    <row r="178" spans="1:11" s="29" customFormat="1" ht="21" customHeight="1">
      <c r="A178" s="79"/>
      <c r="B178" s="94"/>
      <c r="C178" s="79">
        <v>4040</v>
      </c>
      <c r="D178" s="46" t="s">
        <v>88</v>
      </c>
      <c r="E178" s="93">
        <v>586366</v>
      </c>
      <c r="F178" s="93"/>
      <c r="G178" s="93">
        <f t="shared" si="8"/>
        <v>586366</v>
      </c>
      <c r="I178" s="138"/>
      <c r="J178" s="138"/>
      <c r="K178" s="138"/>
    </row>
    <row r="179" spans="1:11" s="29" customFormat="1" ht="21" customHeight="1">
      <c r="A179" s="79"/>
      <c r="B179" s="94"/>
      <c r="C179" s="79">
        <v>4110</v>
      </c>
      <c r="D179" s="46" t="s">
        <v>89</v>
      </c>
      <c r="E179" s="93">
        <v>1218585</v>
      </c>
      <c r="F179" s="93"/>
      <c r="G179" s="93">
        <f t="shared" si="8"/>
        <v>1218585</v>
      </c>
      <c r="I179" s="138"/>
      <c r="J179" s="138"/>
      <c r="K179" s="138"/>
    </row>
    <row r="180" spans="1:11" s="29" customFormat="1" ht="21" customHeight="1">
      <c r="A180" s="79"/>
      <c r="B180" s="94"/>
      <c r="C180" s="79">
        <v>4120</v>
      </c>
      <c r="D180" s="46" t="s">
        <v>90</v>
      </c>
      <c r="E180" s="93">
        <v>200869</v>
      </c>
      <c r="F180" s="93"/>
      <c r="G180" s="93">
        <f t="shared" si="8"/>
        <v>200869</v>
      </c>
      <c r="I180" s="138"/>
      <c r="J180" s="138"/>
      <c r="K180" s="138"/>
    </row>
    <row r="181" spans="1:11" s="29" customFormat="1" ht="21" customHeight="1">
      <c r="A181" s="79"/>
      <c r="B181" s="94"/>
      <c r="C181" s="79">
        <v>4170</v>
      </c>
      <c r="D181" s="46" t="s">
        <v>204</v>
      </c>
      <c r="E181" s="93">
        <v>22100</v>
      </c>
      <c r="F181" s="93"/>
      <c r="G181" s="93">
        <f t="shared" si="8"/>
        <v>22100</v>
      </c>
      <c r="I181" s="138"/>
      <c r="J181" s="138"/>
      <c r="K181" s="138"/>
    </row>
    <row r="182" spans="1:7" s="29" customFormat="1" ht="21" customHeight="1">
      <c r="A182" s="79"/>
      <c r="B182" s="94"/>
      <c r="C182" s="79">
        <v>4210</v>
      </c>
      <c r="D182" s="46" t="s">
        <v>95</v>
      </c>
      <c r="E182" s="93">
        <f>380104+1968</f>
        <v>382072</v>
      </c>
      <c r="F182" s="93"/>
      <c r="G182" s="93">
        <f t="shared" si="8"/>
        <v>382072</v>
      </c>
    </row>
    <row r="183" spans="1:7" s="29" customFormat="1" ht="27" customHeight="1">
      <c r="A183" s="79"/>
      <c r="B183" s="94"/>
      <c r="C183" s="98">
        <v>4230</v>
      </c>
      <c r="D183" s="46" t="s">
        <v>296</v>
      </c>
      <c r="E183" s="93">
        <v>2150</v>
      </c>
      <c r="F183" s="93"/>
      <c r="G183" s="93">
        <f t="shared" si="8"/>
        <v>2150</v>
      </c>
    </row>
    <row r="184" spans="1:7" s="29" customFormat="1" ht="21" customHeight="1">
      <c r="A184" s="79"/>
      <c r="B184" s="94"/>
      <c r="C184" s="98">
        <v>4240</v>
      </c>
      <c r="D184" s="46" t="s">
        <v>126</v>
      </c>
      <c r="E184" s="93">
        <f>40550+3400</f>
        <v>43950</v>
      </c>
      <c r="F184" s="93"/>
      <c r="G184" s="93">
        <f t="shared" si="8"/>
        <v>43950</v>
      </c>
    </row>
    <row r="185" spans="1:7" s="29" customFormat="1" ht="21" customHeight="1">
      <c r="A185" s="79"/>
      <c r="B185" s="94"/>
      <c r="C185" s="79">
        <v>4260</v>
      </c>
      <c r="D185" s="46" t="s">
        <v>98</v>
      </c>
      <c r="E185" s="93">
        <v>566857</v>
      </c>
      <c r="F185" s="93"/>
      <c r="G185" s="93">
        <f t="shared" si="8"/>
        <v>566857</v>
      </c>
    </row>
    <row r="186" spans="1:7" s="29" customFormat="1" ht="21" customHeight="1">
      <c r="A186" s="79"/>
      <c r="B186" s="94"/>
      <c r="C186" s="79">
        <v>4270</v>
      </c>
      <c r="D186" s="46" t="s">
        <v>81</v>
      </c>
      <c r="E186" s="93">
        <f>110721+150000</f>
        <v>260721</v>
      </c>
      <c r="F186" s="93"/>
      <c r="G186" s="93">
        <f t="shared" si="8"/>
        <v>260721</v>
      </c>
    </row>
    <row r="187" spans="1:7" s="29" customFormat="1" ht="21" customHeight="1">
      <c r="A187" s="79"/>
      <c r="B187" s="94"/>
      <c r="C187" s="79">
        <v>4280</v>
      </c>
      <c r="D187" s="46" t="s">
        <v>211</v>
      </c>
      <c r="E187" s="93">
        <v>19800</v>
      </c>
      <c r="F187" s="93"/>
      <c r="G187" s="93">
        <f t="shared" si="8"/>
        <v>19800</v>
      </c>
    </row>
    <row r="188" spans="1:7" s="29" customFormat="1" ht="21" customHeight="1">
      <c r="A188" s="79"/>
      <c r="B188" s="94"/>
      <c r="C188" s="79">
        <v>4300</v>
      </c>
      <c r="D188" s="46" t="s">
        <v>82</v>
      </c>
      <c r="E188" s="93">
        <v>114715</v>
      </c>
      <c r="F188" s="93"/>
      <c r="G188" s="93">
        <f t="shared" si="8"/>
        <v>114715</v>
      </c>
    </row>
    <row r="189" spans="1:7" s="29" customFormat="1" ht="21" customHeight="1">
      <c r="A189" s="79"/>
      <c r="B189" s="94"/>
      <c r="C189" s="79">
        <v>4350</v>
      </c>
      <c r="D189" s="46" t="s">
        <v>218</v>
      </c>
      <c r="E189" s="93">
        <v>8711</v>
      </c>
      <c r="F189" s="93"/>
      <c r="G189" s="93">
        <f t="shared" si="8"/>
        <v>8711</v>
      </c>
    </row>
    <row r="190" spans="1:7" s="29" customFormat="1" ht="25.5" customHeight="1">
      <c r="A190" s="79"/>
      <c r="B190" s="94"/>
      <c r="C190" s="79">
        <v>4360</v>
      </c>
      <c r="D190" s="46" t="s">
        <v>245</v>
      </c>
      <c r="E190" s="93">
        <v>500</v>
      </c>
      <c r="F190" s="93"/>
      <c r="G190" s="93">
        <f>SUM(E190:F190)</f>
        <v>500</v>
      </c>
    </row>
    <row r="191" spans="1:7" s="29" customFormat="1" ht="25.5" customHeight="1">
      <c r="A191" s="79"/>
      <c r="B191" s="94"/>
      <c r="C191" s="79">
        <v>4370</v>
      </c>
      <c r="D191" s="16" t="s">
        <v>242</v>
      </c>
      <c r="E191" s="93">
        <v>17500</v>
      </c>
      <c r="F191" s="93"/>
      <c r="G191" s="93">
        <f t="shared" si="8"/>
        <v>17500</v>
      </c>
    </row>
    <row r="192" spans="1:7" s="29" customFormat="1" ht="27.75" customHeight="1">
      <c r="A192" s="79"/>
      <c r="B192" s="94"/>
      <c r="C192" s="79">
        <v>4390</v>
      </c>
      <c r="D192" s="46" t="s">
        <v>303</v>
      </c>
      <c r="E192" s="93">
        <v>4400</v>
      </c>
      <c r="F192" s="93"/>
      <c r="G192" s="93">
        <f t="shared" si="8"/>
        <v>4400</v>
      </c>
    </row>
    <row r="193" spans="1:7" s="29" customFormat="1" ht="21" customHeight="1">
      <c r="A193" s="79"/>
      <c r="B193" s="94"/>
      <c r="C193" s="79">
        <v>4410</v>
      </c>
      <c r="D193" s="46" t="s">
        <v>93</v>
      </c>
      <c r="E193" s="93">
        <v>16080</v>
      </c>
      <c r="F193" s="93"/>
      <c r="G193" s="93">
        <f t="shared" si="8"/>
        <v>16080</v>
      </c>
    </row>
    <row r="194" spans="1:7" s="29" customFormat="1" ht="21" customHeight="1">
      <c r="A194" s="79"/>
      <c r="B194" s="94"/>
      <c r="C194" s="82">
        <v>4430</v>
      </c>
      <c r="D194" s="46" t="s">
        <v>97</v>
      </c>
      <c r="E194" s="93">
        <v>14300</v>
      </c>
      <c r="F194" s="93"/>
      <c r="G194" s="93">
        <f t="shared" si="8"/>
        <v>14300</v>
      </c>
    </row>
    <row r="195" spans="1:7" s="29" customFormat="1" ht="21" customHeight="1">
      <c r="A195" s="79"/>
      <c r="B195" s="94"/>
      <c r="C195" s="82">
        <v>4440</v>
      </c>
      <c r="D195" s="46" t="s">
        <v>91</v>
      </c>
      <c r="E195" s="93">
        <v>440278</v>
      </c>
      <c r="F195" s="93"/>
      <c r="G195" s="93">
        <f t="shared" si="8"/>
        <v>440278</v>
      </c>
    </row>
    <row r="196" spans="1:7" s="29" customFormat="1" ht="27.75" customHeight="1">
      <c r="A196" s="79"/>
      <c r="B196" s="94"/>
      <c r="C196" s="82">
        <v>4700</v>
      </c>
      <c r="D196" s="46" t="s">
        <v>298</v>
      </c>
      <c r="E196" s="93">
        <v>9000</v>
      </c>
      <c r="F196" s="93"/>
      <c r="G196" s="93">
        <f t="shared" si="8"/>
        <v>9000</v>
      </c>
    </row>
    <row r="197" spans="1:7" s="29" customFormat="1" ht="33.75" customHeight="1">
      <c r="A197" s="79"/>
      <c r="B197" s="94"/>
      <c r="C197" s="82">
        <v>4740</v>
      </c>
      <c r="D197" s="46" t="s">
        <v>354</v>
      </c>
      <c r="E197" s="93">
        <v>6800</v>
      </c>
      <c r="F197" s="93"/>
      <c r="G197" s="93">
        <f t="shared" si="8"/>
        <v>6800</v>
      </c>
    </row>
    <row r="198" spans="1:7" s="29" customFormat="1" ht="27" customHeight="1">
      <c r="A198" s="79"/>
      <c r="B198" s="94"/>
      <c r="C198" s="82">
        <v>4750</v>
      </c>
      <c r="D198" s="16" t="s">
        <v>244</v>
      </c>
      <c r="E198" s="93">
        <v>37022</v>
      </c>
      <c r="F198" s="93"/>
      <c r="G198" s="93">
        <f t="shared" si="8"/>
        <v>37022</v>
      </c>
    </row>
    <row r="199" spans="1:16" s="29" customFormat="1" ht="21" customHeight="1">
      <c r="A199" s="79"/>
      <c r="B199" s="94"/>
      <c r="C199" s="82">
        <v>6050</v>
      </c>
      <c r="D199" s="16" t="s">
        <v>76</v>
      </c>
      <c r="E199" s="93">
        <v>660000</v>
      </c>
      <c r="F199" s="93">
        <v>-110000</v>
      </c>
      <c r="G199" s="93">
        <f t="shared" si="8"/>
        <v>550000</v>
      </c>
      <c r="N199" s="138"/>
      <c r="O199" s="138"/>
      <c r="P199" s="138"/>
    </row>
    <row r="200" spans="1:16" s="29" customFormat="1" ht="21" customHeight="1">
      <c r="A200" s="79"/>
      <c r="B200" s="94"/>
      <c r="C200" s="82">
        <v>6060</v>
      </c>
      <c r="D200" s="16" t="s">
        <v>99</v>
      </c>
      <c r="E200" s="93">
        <v>10300</v>
      </c>
      <c r="F200" s="93"/>
      <c r="G200" s="93">
        <f t="shared" si="8"/>
        <v>10300</v>
      </c>
      <c r="N200" s="138"/>
      <c r="O200" s="138"/>
      <c r="P200" s="138"/>
    </row>
    <row r="201" spans="1:14" s="29" customFormat="1" ht="21" customHeight="1">
      <c r="A201" s="79"/>
      <c r="B201" s="94">
        <v>80103</v>
      </c>
      <c r="C201" s="82"/>
      <c r="D201" s="46" t="s">
        <v>215</v>
      </c>
      <c r="E201" s="93">
        <f>SUM(E202:E218)</f>
        <v>629238</v>
      </c>
      <c r="F201" s="93">
        <f>SUM(F202:F218)</f>
        <v>0</v>
      </c>
      <c r="G201" s="93">
        <f>SUM(G202:G218)</f>
        <v>629238</v>
      </c>
      <c r="N201" s="138"/>
    </row>
    <row r="202" spans="1:19" s="29" customFormat="1" ht="51" customHeight="1">
      <c r="A202" s="79"/>
      <c r="B202" s="94"/>
      <c r="C202" s="98">
        <v>2590</v>
      </c>
      <c r="D202" s="46" t="s">
        <v>435</v>
      </c>
      <c r="E202" s="93">
        <v>41492</v>
      </c>
      <c r="F202" s="93"/>
      <c r="G202" s="93">
        <f>SUM(E202:F202)</f>
        <v>41492</v>
      </c>
      <c r="Q202" s="138"/>
      <c r="R202" s="138"/>
      <c r="S202" s="138"/>
    </row>
    <row r="203" spans="1:8" s="29" customFormat="1" ht="21" customHeight="1">
      <c r="A203" s="79"/>
      <c r="B203" s="94"/>
      <c r="C203" s="98">
        <v>3020</v>
      </c>
      <c r="D203" s="46" t="s">
        <v>201</v>
      </c>
      <c r="E203" s="93">
        <v>22991</v>
      </c>
      <c r="F203" s="93"/>
      <c r="G203" s="93">
        <f aca="true" t="shared" si="9" ref="G203:G218">SUM(E203:F203)</f>
        <v>22991</v>
      </c>
      <c r="H203" s="138"/>
    </row>
    <row r="204" spans="1:11" s="29" customFormat="1" ht="21" customHeight="1">
      <c r="A204" s="79"/>
      <c r="B204" s="94"/>
      <c r="C204" s="98">
        <v>4010</v>
      </c>
      <c r="D204" s="46" t="s">
        <v>87</v>
      </c>
      <c r="E204" s="93">
        <v>365853</v>
      </c>
      <c r="F204" s="93"/>
      <c r="G204" s="93">
        <f t="shared" si="9"/>
        <v>365853</v>
      </c>
      <c r="I204" s="138"/>
      <c r="J204" s="138"/>
      <c r="K204" s="138"/>
    </row>
    <row r="205" spans="1:11" s="29" customFormat="1" ht="21" customHeight="1">
      <c r="A205" s="79"/>
      <c r="B205" s="94"/>
      <c r="C205" s="98">
        <v>4040</v>
      </c>
      <c r="D205" s="46" t="s">
        <v>88</v>
      </c>
      <c r="E205" s="93">
        <v>26742</v>
      </c>
      <c r="F205" s="93"/>
      <c r="G205" s="93">
        <f t="shared" si="9"/>
        <v>26742</v>
      </c>
      <c r="I205" s="138"/>
      <c r="J205" s="138"/>
      <c r="K205" s="138"/>
    </row>
    <row r="206" spans="1:11" s="29" customFormat="1" ht="21" customHeight="1">
      <c r="A206" s="79"/>
      <c r="B206" s="94"/>
      <c r="C206" s="98">
        <v>4110</v>
      </c>
      <c r="D206" s="46" t="s">
        <v>89</v>
      </c>
      <c r="E206" s="93">
        <v>63619</v>
      </c>
      <c r="F206" s="93"/>
      <c r="G206" s="93">
        <f t="shared" si="9"/>
        <v>63619</v>
      </c>
      <c r="I206" s="138"/>
      <c r="J206" s="138"/>
      <c r="K206" s="138"/>
    </row>
    <row r="207" spans="1:11" s="29" customFormat="1" ht="21" customHeight="1">
      <c r="A207" s="79"/>
      <c r="B207" s="94"/>
      <c r="C207" s="98">
        <v>4120</v>
      </c>
      <c r="D207" s="46" t="s">
        <v>90</v>
      </c>
      <c r="E207" s="93">
        <v>10275</v>
      </c>
      <c r="F207" s="93"/>
      <c r="G207" s="93">
        <f t="shared" si="9"/>
        <v>10275</v>
      </c>
      <c r="I207" s="138"/>
      <c r="J207" s="138"/>
      <c r="K207" s="138"/>
    </row>
    <row r="208" spans="1:11" s="29" customFormat="1" ht="21" customHeight="1">
      <c r="A208" s="79"/>
      <c r="B208" s="94"/>
      <c r="C208" s="98">
        <v>4170</v>
      </c>
      <c r="D208" s="46" t="s">
        <v>204</v>
      </c>
      <c r="E208" s="93">
        <v>16800</v>
      </c>
      <c r="F208" s="93"/>
      <c r="G208" s="93">
        <f t="shared" si="9"/>
        <v>16800</v>
      </c>
      <c r="I208" s="138"/>
      <c r="J208" s="138"/>
      <c r="K208" s="138"/>
    </row>
    <row r="209" spans="1:7" s="29" customFormat="1" ht="21" customHeight="1">
      <c r="A209" s="79"/>
      <c r="B209" s="94"/>
      <c r="C209" s="98">
        <v>4210</v>
      </c>
      <c r="D209" s="46" t="s">
        <v>75</v>
      </c>
      <c r="E209" s="93">
        <f>30280+1000</f>
        <v>31280</v>
      </c>
      <c r="F209" s="93"/>
      <c r="G209" s="93">
        <f t="shared" si="9"/>
        <v>31280</v>
      </c>
    </row>
    <row r="210" spans="1:7" s="29" customFormat="1" ht="21" customHeight="1">
      <c r="A210" s="79"/>
      <c r="B210" s="94"/>
      <c r="C210" s="98">
        <v>4240</v>
      </c>
      <c r="D210" s="46" t="s">
        <v>126</v>
      </c>
      <c r="E210" s="93">
        <f>4120+1200+500</f>
        <v>5820</v>
      </c>
      <c r="F210" s="93"/>
      <c r="G210" s="93">
        <f t="shared" si="9"/>
        <v>5820</v>
      </c>
    </row>
    <row r="211" spans="1:7" s="29" customFormat="1" ht="21" customHeight="1">
      <c r="A211" s="79"/>
      <c r="B211" s="94"/>
      <c r="C211" s="98">
        <v>4260</v>
      </c>
      <c r="D211" s="46" t="s">
        <v>98</v>
      </c>
      <c r="E211" s="93">
        <v>10740</v>
      </c>
      <c r="F211" s="93"/>
      <c r="G211" s="93">
        <f t="shared" si="9"/>
        <v>10740</v>
      </c>
    </row>
    <row r="212" spans="1:7" s="29" customFormat="1" ht="21" customHeight="1">
      <c r="A212" s="79"/>
      <c r="B212" s="94"/>
      <c r="C212" s="98">
        <v>4270</v>
      </c>
      <c r="D212" s="46" t="s">
        <v>81</v>
      </c>
      <c r="E212" s="93">
        <v>2000</v>
      </c>
      <c r="F212" s="93"/>
      <c r="G212" s="93">
        <f t="shared" si="9"/>
        <v>2000</v>
      </c>
    </row>
    <row r="213" spans="1:7" s="29" customFormat="1" ht="21" customHeight="1">
      <c r="A213" s="79"/>
      <c r="B213" s="94"/>
      <c r="C213" s="98">
        <v>4280</v>
      </c>
      <c r="D213" s="46" t="s">
        <v>211</v>
      </c>
      <c r="E213" s="93">
        <v>600</v>
      </c>
      <c r="F213" s="93"/>
      <c r="G213" s="93">
        <f t="shared" si="9"/>
        <v>600</v>
      </c>
    </row>
    <row r="214" spans="1:7" s="29" customFormat="1" ht="21" customHeight="1">
      <c r="A214" s="79"/>
      <c r="B214" s="94"/>
      <c r="C214" s="98">
        <v>4300</v>
      </c>
      <c r="D214" s="46" t="s">
        <v>82</v>
      </c>
      <c r="E214" s="93">
        <v>2600</v>
      </c>
      <c r="F214" s="93"/>
      <c r="G214" s="93">
        <f t="shared" si="9"/>
        <v>2600</v>
      </c>
    </row>
    <row r="215" spans="1:7" s="29" customFormat="1" ht="21" customHeight="1">
      <c r="A215" s="79"/>
      <c r="B215" s="94"/>
      <c r="C215" s="98">
        <v>4370</v>
      </c>
      <c r="D215" s="16" t="s">
        <v>242</v>
      </c>
      <c r="E215" s="93">
        <v>2000</v>
      </c>
      <c r="F215" s="93"/>
      <c r="G215" s="93">
        <f t="shared" si="9"/>
        <v>2000</v>
      </c>
    </row>
    <row r="216" spans="1:7" s="29" customFormat="1" ht="21" customHeight="1">
      <c r="A216" s="79"/>
      <c r="B216" s="94"/>
      <c r="C216" s="98">
        <v>4390</v>
      </c>
      <c r="D216" s="46" t="s">
        <v>303</v>
      </c>
      <c r="E216" s="93">
        <v>1000</v>
      </c>
      <c r="F216" s="93"/>
      <c r="G216" s="93">
        <f t="shared" si="9"/>
        <v>1000</v>
      </c>
    </row>
    <row r="217" spans="1:7" s="29" customFormat="1" ht="21" customHeight="1">
      <c r="A217" s="79"/>
      <c r="B217" s="94"/>
      <c r="C217" s="98">
        <v>4440</v>
      </c>
      <c r="D217" s="46" t="s">
        <v>117</v>
      </c>
      <c r="E217" s="93">
        <v>25226</v>
      </c>
      <c r="F217" s="93"/>
      <c r="G217" s="93">
        <f t="shared" si="9"/>
        <v>25226</v>
      </c>
    </row>
    <row r="218" spans="1:7" s="29" customFormat="1" ht="27" customHeight="1">
      <c r="A218" s="79"/>
      <c r="B218" s="94"/>
      <c r="C218" s="98">
        <v>4740</v>
      </c>
      <c r="D218" s="46" t="s">
        <v>354</v>
      </c>
      <c r="E218" s="93">
        <v>200</v>
      </c>
      <c r="F218" s="93"/>
      <c r="G218" s="93">
        <f t="shared" si="9"/>
        <v>200</v>
      </c>
    </row>
    <row r="219" spans="1:7" s="29" customFormat="1" ht="21" customHeight="1">
      <c r="A219" s="100"/>
      <c r="B219" s="94" t="s">
        <v>116</v>
      </c>
      <c r="C219" s="98"/>
      <c r="D219" s="46" t="s">
        <v>127</v>
      </c>
      <c r="E219" s="93">
        <f>SUM(E220:E221)</f>
        <v>3712917</v>
      </c>
      <c r="F219" s="93">
        <f>SUM(F220:F221)</f>
        <v>40000</v>
      </c>
      <c r="G219" s="93">
        <f>SUM(G220:G221)</f>
        <v>3752917</v>
      </c>
    </row>
    <row r="220" spans="1:19" s="29" customFormat="1" ht="21" customHeight="1">
      <c r="A220" s="100"/>
      <c r="B220" s="94"/>
      <c r="C220" s="98">
        <v>2510</v>
      </c>
      <c r="D220" s="46" t="s">
        <v>128</v>
      </c>
      <c r="E220" s="93">
        <v>3632917</v>
      </c>
      <c r="F220" s="93"/>
      <c r="G220" s="93">
        <f>SUM(E220:F220)</f>
        <v>3632917</v>
      </c>
      <c r="Q220" s="138"/>
      <c r="R220" s="138"/>
      <c r="S220" s="138"/>
    </row>
    <row r="221" spans="1:7" s="29" customFormat="1" ht="21" customHeight="1">
      <c r="A221" s="100"/>
      <c r="B221" s="94"/>
      <c r="C221" s="98">
        <v>4270</v>
      </c>
      <c r="D221" s="46" t="s">
        <v>81</v>
      </c>
      <c r="E221" s="93">
        <v>80000</v>
      </c>
      <c r="F221" s="93">
        <v>40000</v>
      </c>
      <c r="G221" s="93">
        <f>SUM(E221:F221)</f>
        <v>120000</v>
      </c>
    </row>
    <row r="222" spans="1:7" s="29" customFormat="1" ht="21" customHeight="1">
      <c r="A222" s="100"/>
      <c r="B222" s="94" t="s">
        <v>118</v>
      </c>
      <c r="C222" s="98"/>
      <c r="D222" s="46" t="s">
        <v>54</v>
      </c>
      <c r="E222" s="93">
        <f>SUM(E223:E246)</f>
        <v>11879369</v>
      </c>
      <c r="F222" s="93">
        <f>SUM(F223:F246)</f>
        <v>-791184</v>
      </c>
      <c r="G222" s="93">
        <f>SUM(G223:G246)</f>
        <v>11088185</v>
      </c>
    </row>
    <row r="223" spans="1:19" s="29" customFormat="1" ht="45">
      <c r="A223" s="100"/>
      <c r="B223" s="94"/>
      <c r="C223" s="98">
        <v>2590</v>
      </c>
      <c r="D223" s="46" t="s">
        <v>308</v>
      </c>
      <c r="E223" s="93">
        <v>263533</v>
      </c>
      <c r="F223" s="93"/>
      <c r="G223" s="93">
        <f>SUM(E223:F223)</f>
        <v>263533</v>
      </c>
      <c r="Q223" s="138"/>
      <c r="R223" s="138"/>
      <c r="S223" s="138"/>
    </row>
    <row r="224" spans="1:8" s="29" customFormat="1" ht="21" customHeight="1">
      <c r="A224" s="79"/>
      <c r="B224" s="94"/>
      <c r="C224" s="98">
        <v>3020</v>
      </c>
      <c r="D224" s="46" t="s">
        <v>201</v>
      </c>
      <c r="E224" s="93">
        <v>60743</v>
      </c>
      <c r="F224" s="93"/>
      <c r="G224" s="93">
        <f aca="true" t="shared" si="10" ref="G224:G246">SUM(E224:F224)</f>
        <v>60743</v>
      </c>
      <c r="H224" s="138"/>
    </row>
    <row r="225" spans="1:11" s="29" customFormat="1" ht="21" customHeight="1">
      <c r="A225" s="79"/>
      <c r="B225" s="94"/>
      <c r="C225" s="98">
        <v>4010</v>
      </c>
      <c r="D225" s="46" t="s">
        <v>87</v>
      </c>
      <c r="E225" s="93">
        <v>3653633</v>
      </c>
      <c r="F225" s="93"/>
      <c r="G225" s="93">
        <f t="shared" si="10"/>
        <v>3653633</v>
      </c>
      <c r="I225" s="138"/>
      <c r="J225" s="138"/>
      <c r="K225" s="138"/>
    </row>
    <row r="226" spans="1:11" s="29" customFormat="1" ht="21" customHeight="1">
      <c r="A226" s="79"/>
      <c r="B226" s="94"/>
      <c r="C226" s="98">
        <v>4040</v>
      </c>
      <c r="D226" s="46" t="s">
        <v>88</v>
      </c>
      <c r="E226" s="93">
        <v>299409</v>
      </c>
      <c r="F226" s="93"/>
      <c r="G226" s="93">
        <f t="shared" si="10"/>
        <v>299409</v>
      </c>
      <c r="I226" s="138"/>
      <c r="J226" s="138"/>
      <c r="K226" s="138"/>
    </row>
    <row r="227" spans="1:11" s="29" customFormat="1" ht="21" customHeight="1">
      <c r="A227" s="79"/>
      <c r="B227" s="94"/>
      <c r="C227" s="98">
        <v>4110</v>
      </c>
      <c r="D227" s="46" t="s">
        <v>89</v>
      </c>
      <c r="E227" s="93">
        <v>585888</v>
      </c>
      <c r="F227" s="93"/>
      <c r="G227" s="93">
        <f t="shared" si="10"/>
        <v>585888</v>
      </c>
      <c r="I227" s="138"/>
      <c r="J227" s="138"/>
      <c r="K227" s="138"/>
    </row>
    <row r="228" spans="1:11" s="29" customFormat="1" ht="21" customHeight="1">
      <c r="A228" s="79"/>
      <c r="B228" s="94"/>
      <c r="C228" s="98">
        <v>4120</v>
      </c>
      <c r="D228" s="46" t="s">
        <v>90</v>
      </c>
      <c r="E228" s="93">
        <v>99409</v>
      </c>
      <c r="F228" s="93"/>
      <c r="G228" s="93">
        <f t="shared" si="10"/>
        <v>99409</v>
      </c>
      <c r="I228" s="138"/>
      <c r="J228" s="138"/>
      <c r="K228" s="138"/>
    </row>
    <row r="229" spans="1:11" s="29" customFormat="1" ht="21" customHeight="1">
      <c r="A229" s="79"/>
      <c r="B229" s="94"/>
      <c r="C229" s="98">
        <v>4170</v>
      </c>
      <c r="D229" s="46" t="s">
        <v>204</v>
      </c>
      <c r="E229" s="93">
        <v>12900</v>
      </c>
      <c r="F229" s="93"/>
      <c r="G229" s="93">
        <f t="shared" si="10"/>
        <v>12900</v>
      </c>
      <c r="I229" s="138"/>
      <c r="J229" s="138"/>
      <c r="K229" s="138"/>
    </row>
    <row r="230" spans="1:7" s="29" customFormat="1" ht="21" customHeight="1">
      <c r="A230" s="79"/>
      <c r="B230" s="94"/>
      <c r="C230" s="98">
        <v>4210</v>
      </c>
      <c r="D230" s="46" t="s">
        <v>95</v>
      </c>
      <c r="E230" s="93">
        <f>169800+500</f>
        <v>170300</v>
      </c>
      <c r="F230" s="93"/>
      <c r="G230" s="93">
        <f t="shared" si="10"/>
        <v>170300</v>
      </c>
    </row>
    <row r="231" spans="1:7" s="29" customFormat="1" ht="26.25" customHeight="1">
      <c r="A231" s="79"/>
      <c r="B231" s="94"/>
      <c r="C231" s="98">
        <v>4230</v>
      </c>
      <c r="D231" s="46" t="s">
        <v>296</v>
      </c>
      <c r="E231" s="93">
        <v>1600</v>
      </c>
      <c r="F231" s="93"/>
      <c r="G231" s="93">
        <f t="shared" si="10"/>
        <v>1600</v>
      </c>
    </row>
    <row r="232" spans="1:7" s="29" customFormat="1" ht="21" customHeight="1">
      <c r="A232" s="79"/>
      <c r="B232" s="94"/>
      <c r="C232" s="98">
        <v>4240</v>
      </c>
      <c r="D232" s="46" t="s">
        <v>126</v>
      </c>
      <c r="E232" s="93">
        <v>9500</v>
      </c>
      <c r="F232" s="93"/>
      <c r="G232" s="93">
        <f t="shared" si="10"/>
        <v>9500</v>
      </c>
    </row>
    <row r="233" spans="1:7" s="29" customFormat="1" ht="21" customHeight="1">
      <c r="A233" s="79"/>
      <c r="B233" s="94"/>
      <c r="C233" s="98">
        <v>4260</v>
      </c>
      <c r="D233" s="46" t="s">
        <v>98</v>
      </c>
      <c r="E233" s="93">
        <v>316000</v>
      </c>
      <c r="F233" s="93"/>
      <c r="G233" s="93">
        <f t="shared" si="10"/>
        <v>316000</v>
      </c>
    </row>
    <row r="234" spans="1:7" s="29" customFormat="1" ht="21" customHeight="1">
      <c r="A234" s="79"/>
      <c r="B234" s="94"/>
      <c r="C234" s="98">
        <v>4270</v>
      </c>
      <c r="D234" s="46" t="s">
        <v>81</v>
      </c>
      <c r="E234" s="93">
        <f>59680+120000</f>
        <v>179680</v>
      </c>
      <c r="F234" s="93">
        <v>-40000</v>
      </c>
      <c r="G234" s="93">
        <f t="shared" si="10"/>
        <v>139680</v>
      </c>
    </row>
    <row r="235" spans="1:7" s="29" customFormat="1" ht="21" customHeight="1">
      <c r="A235" s="79"/>
      <c r="B235" s="94"/>
      <c r="C235" s="98">
        <v>4280</v>
      </c>
      <c r="D235" s="46" t="s">
        <v>211</v>
      </c>
      <c r="E235" s="93">
        <v>9700</v>
      </c>
      <c r="F235" s="93"/>
      <c r="G235" s="93">
        <f t="shared" si="10"/>
        <v>9700</v>
      </c>
    </row>
    <row r="236" spans="1:7" s="29" customFormat="1" ht="21" customHeight="1">
      <c r="A236" s="79"/>
      <c r="B236" s="94"/>
      <c r="C236" s="98">
        <v>4300</v>
      </c>
      <c r="D236" s="46" t="s">
        <v>82</v>
      </c>
      <c r="E236" s="93">
        <v>42100</v>
      </c>
      <c r="F236" s="93"/>
      <c r="G236" s="93">
        <f t="shared" si="10"/>
        <v>42100</v>
      </c>
    </row>
    <row r="237" spans="1:7" s="29" customFormat="1" ht="21" customHeight="1">
      <c r="A237" s="79"/>
      <c r="B237" s="94"/>
      <c r="C237" s="98">
        <v>4350</v>
      </c>
      <c r="D237" s="46" t="s">
        <v>218</v>
      </c>
      <c r="E237" s="93">
        <v>4300</v>
      </c>
      <c r="F237" s="93"/>
      <c r="G237" s="93">
        <f t="shared" si="10"/>
        <v>4300</v>
      </c>
    </row>
    <row r="238" spans="1:7" s="29" customFormat="1" ht="28.5" customHeight="1">
      <c r="A238" s="79"/>
      <c r="B238" s="94"/>
      <c r="C238" s="98">
        <v>4370</v>
      </c>
      <c r="D238" s="16" t="s">
        <v>242</v>
      </c>
      <c r="E238" s="93">
        <v>7500</v>
      </c>
      <c r="F238" s="93"/>
      <c r="G238" s="93">
        <f t="shared" si="10"/>
        <v>7500</v>
      </c>
    </row>
    <row r="239" spans="1:7" s="29" customFormat="1" ht="24.75" customHeight="1">
      <c r="A239" s="79"/>
      <c r="B239" s="94"/>
      <c r="C239" s="98">
        <v>4390</v>
      </c>
      <c r="D239" s="46" t="s">
        <v>309</v>
      </c>
      <c r="E239" s="93">
        <v>2400</v>
      </c>
      <c r="F239" s="93"/>
      <c r="G239" s="93">
        <f t="shared" si="10"/>
        <v>2400</v>
      </c>
    </row>
    <row r="240" spans="1:7" s="29" customFormat="1" ht="21" customHeight="1">
      <c r="A240" s="79"/>
      <c r="B240" s="94"/>
      <c r="C240" s="98">
        <v>4410</v>
      </c>
      <c r="D240" s="46" t="s">
        <v>93</v>
      </c>
      <c r="E240" s="93">
        <v>7800</v>
      </c>
      <c r="F240" s="93"/>
      <c r="G240" s="93">
        <f t="shared" si="10"/>
        <v>7800</v>
      </c>
    </row>
    <row r="241" spans="1:7" s="29" customFormat="1" ht="21" customHeight="1">
      <c r="A241" s="79"/>
      <c r="B241" s="94"/>
      <c r="C241" s="98">
        <v>4430</v>
      </c>
      <c r="D241" s="46" t="s">
        <v>97</v>
      </c>
      <c r="E241" s="93">
        <v>3050</v>
      </c>
      <c r="F241" s="93"/>
      <c r="G241" s="93">
        <f t="shared" si="10"/>
        <v>3050</v>
      </c>
    </row>
    <row r="242" spans="1:7" s="29" customFormat="1" ht="21" customHeight="1">
      <c r="A242" s="79"/>
      <c r="B242" s="94"/>
      <c r="C242" s="98">
        <v>4440</v>
      </c>
      <c r="D242" s="46" t="s">
        <v>91</v>
      </c>
      <c r="E242" s="93">
        <v>213124</v>
      </c>
      <c r="F242" s="93"/>
      <c r="G242" s="93">
        <f t="shared" si="10"/>
        <v>213124</v>
      </c>
    </row>
    <row r="243" spans="1:7" s="29" customFormat="1" ht="27" customHeight="1">
      <c r="A243" s="79"/>
      <c r="B243" s="94"/>
      <c r="C243" s="98">
        <v>4700</v>
      </c>
      <c r="D243" s="46" t="s">
        <v>298</v>
      </c>
      <c r="E243" s="93">
        <v>2500</v>
      </c>
      <c r="F243" s="93"/>
      <c r="G243" s="93">
        <f t="shared" si="10"/>
        <v>2500</v>
      </c>
    </row>
    <row r="244" spans="1:7" s="29" customFormat="1" ht="27" customHeight="1">
      <c r="A244" s="79"/>
      <c r="B244" s="94"/>
      <c r="C244" s="98">
        <v>4740</v>
      </c>
      <c r="D244" s="46" t="s">
        <v>354</v>
      </c>
      <c r="E244" s="93">
        <v>3000</v>
      </c>
      <c r="F244" s="93"/>
      <c r="G244" s="93">
        <f t="shared" si="10"/>
        <v>3000</v>
      </c>
    </row>
    <row r="245" spans="1:7" s="29" customFormat="1" ht="21" customHeight="1">
      <c r="A245" s="79"/>
      <c r="B245" s="94"/>
      <c r="C245" s="98">
        <v>4750</v>
      </c>
      <c r="D245" s="16" t="s">
        <v>244</v>
      </c>
      <c r="E245" s="93">
        <v>13300</v>
      </c>
      <c r="F245" s="93"/>
      <c r="G245" s="93">
        <f t="shared" si="10"/>
        <v>13300</v>
      </c>
    </row>
    <row r="246" spans="1:16" s="29" customFormat="1" ht="21" customHeight="1">
      <c r="A246" s="79"/>
      <c r="B246" s="94"/>
      <c r="C246" s="98">
        <v>6050</v>
      </c>
      <c r="D246" s="16" t="s">
        <v>76</v>
      </c>
      <c r="E246" s="93">
        <f>4350000+868000+600000+100000</f>
        <v>5918000</v>
      </c>
      <c r="F246" s="93">
        <f>-400000-138184-213000</f>
        <v>-751184</v>
      </c>
      <c r="G246" s="93">
        <f t="shared" si="10"/>
        <v>5166816</v>
      </c>
      <c r="N246" s="138"/>
      <c r="O246" s="138"/>
      <c r="P246" s="138"/>
    </row>
    <row r="247" spans="1:7" s="29" customFormat="1" ht="21" customHeight="1">
      <c r="A247" s="79"/>
      <c r="B247" s="84" t="s">
        <v>119</v>
      </c>
      <c r="C247" s="59"/>
      <c r="D247" s="16" t="s">
        <v>120</v>
      </c>
      <c r="E247" s="83">
        <f>SUM(E248:E253)</f>
        <v>308500</v>
      </c>
      <c r="F247" s="83">
        <f>SUM(F248:F253)</f>
        <v>0</v>
      </c>
      <c r="G247" s="83">
        <f>SUM(G248:G253)</f>
        <v>308500</v>
      </c>
    </row>
    <row r="248" spans="1:11" s="29" customFormat="1" ht="21" customHeight="1">
      <c r="A248" s="79"/>
      <c r="B248" s="84"/>
      <c r="C248" s="59">
        <v>4110</v>
      </c>
      <c r="D248" s="46" t="s">
        <v>89</v>
      </c>
      <c r="E248" s="83">
        <v>3110</v>
      </c>
      <c r="F248" s="83"/>
      <c r="G248" s="83">
        <f aca="true" t="shared" si="11" ref="G248:G253">SUM(E248:F248)</f>
        <v>3110</v>
      </c>
      <c r="I248" s="138"/>
      <c r="J248" s="138"/>
      <c r="K248" s="138"/>
    </row>
    <row r="249" spans="1:11" s="29" customFormat="1" ht="21" customHeight="1">
      <c r="A249" s="79"/>
      <c r="B249" s="84"/>
      <c r="C249" s="59">
        <v>4120</v>
      </c>
      <c r="D249" s="46" t="s">
        <v>90</v>
      </c>
      <c r="E249" s="83">
        <v>441</v>
      </c>
      <c r="F249" s="83"/>
      <c r="G249" s="83">
        <f t="shared" si="11"/>
        <v>441</v>
      </c>
      <c r="I249" s="138"/>
      <c r="J249" s="138"/>
      <c r="K249" s="138"/>
    </row>
    <row r="250" spans="1:11" s="29" customFormat="1" ht="21" customHeight="1">
      <c r="A250" s="79"/>
      <c r="B250" s="84"/>
      <c r="C250" s="59">
        <v>4170</v>
      </c>
      <c r="D250" s="46" t="s">
        <v>204</v>
      </c>
      <c r="E250" s="83">
        <v>33000</v>
      </c>
      <c r="F250" s="83"/>
      <c r="G250" s="83">
        <f t="shared" si="11"/>
        <v>33000</v>
      </c>
      <c r="I250" s="138"/>
      <c r="J250" s="138"/>
      <c r="K250" s="138"/>
    </row>
    <row r="251" spans="1:7" s="29" customFormat="1" ht="21" customHeight="1">
      <c r="A251" s="79"/>
      <c r="B251" s="84"/>
      <c r="C251" s="59">
        <v>4210</v>
      </c>
      <c r="D251" s="16" t="s">
        <v>95</v>
      </c>
      <c r="E251" s="83">
        <v>45000</v>
      </c>
      <c r="F251" s="83"/>
      <c r="G251" s="83">
        <f t="shared" si="11"/>
        <v>45000</v>
      </c>
    </row>
    <row r="252" spans="1:7" s="29" customFormat="1" ht="21" customHeight="1">
      <c r="A252" s="79"/>
      <c r="B252" s="84"/>
      <c r="C252" s="59">
        <v>4300</v>
      </c>
      <c r="D252" s="16" t="s">
        <v>82</v>
      </c>
      <c r="E252" s="83">
        <f>30000+223449-36000-1500</f>
        <v>215949</v>
      </c>
      <c r="F252" s="83"/>
      <c r="G252" s="83">
        <f t="shared" si="11"/>
        <v>215949</v>
      </c>
    </row>
    <row r="253" spans="1:7" s="29" customFormat="1" ht="21" customHeight="1">
      <c r="A253" s="79"/>
      <c r="B253" s="84"/>
      <c r="C253" s="59">
        <v>4430</v>
      </c>
      <c r="D253" s="46" t="s">
        <v>97</v>
      </c>
      <c r="E253" s="83">
        <f>11000</f>
        <v>11000</v>
      </c>
      <c r="F253" s="83"/>
      <c r="G253" s="83">
        <f t="shared" si="11"/>
        <v>11000</v>
      </c>
    </row>
    <row r="254" spans="1:7" s="29" customFormat="1" ht="21" customHeight="1">
      <c r="A254" s="79"/>
      <c r="B254" s="99">
        <v>80146</v>
      </c>
      <c r="C254" s="82"/>
      <c r="D254" s="46" t="s">
        <v>156</v>
      </c>
      <c r="E254" s="93">
        <f>SUM(E255:E257)</f>
        <v>117315</v>
      </c>
      <c r="F254" s="93">
        <f>SUM(F255:F257)</f>
        <v>0</v>
      </c>
      <c r="G254" s="93">
        <f>SUM(G255:G257)</f>
        <v>117315</v>
      </c>
    </row>
    <row r="255" spans="1:19" s="29" customFormat="1" ht="21" customHeight="1">
      <c r="A255" s="79"/>
      <c r="B255" s="99"/>
      <c r="C255" s="82">
        <v>2510</v>
      </c>
      <c r="D255" s="46" t="s">
        <v>128</v>
      </c>
      <c r="E255" s="93">
        <v>15642</v>
      </c>
      <c r="F255" s="93"/>
      <c r="G255" s="93">
        <f>SUM(E255:F255)</f>
        <v>15642</v>
      </c>
      <c r="Q255" s="138"/>
      <c r="R255" s="138"/>
      <c r="S255" s="138"/>
    </row>
    <row r="256" spans="1:7" s="29" customFormat="1" ht="21" customHeight="1">
      <c r="A256" s="79"/>
      <c r="B256" s="99"/>
      <c r="C256" s="82">
        <v>4300</v>
      </c>
      <c r="D256" s="46" t="s">
        <v>82</v>
      </c>
      <c r="E256" s="93">
        <v>68259</v>
      </c>
      <c r="F256" s="93"/>
      <c r="G256" s="93">
        <f>SUM(E256:F256)</f>
        <v>68259</v>
      </c>
    </row>
    <row r="257" spans="1:7" s="29" customFormat="1" ht="22.5">
      <c r="A257" s="79"/>
      <c r="B257" s="99"/>
      <c r="C257" s="82">
        <v>4700</v>
      </c>
      <c r="D257" s="46" t="s">
        <v>298</v>
      </c>
      <c r="E257" s="93">
        <v>33414</v>
      </c>
      <c r="F257" s="93"/>
      <c r="G257" s="93">
        <f>SUM(E257:F257)</f>
        <v>33414</v>
      </c>
    </row>
    <row r="258" spans="1:7" s="29" customFormat="1" ht="21" customHeight="1">
      <c r="A258" s="79"/>
      <c r="B258" s="99">
        <v>80148</v>
      </c>
      <c r="C258" s="82"/>
      <c r="D258" s="46" t="s">
        <v>295</v>
      </c>
      <c r="E258" s="93">
        <f>SUM(E259:E272)</f>
        <v>293509</v>
      </c>
      <c r="F258" s="93">
        <f>SUM(F259:F272)</f>
        <v>0</v>
      </c>
      <c r="G258" s="93">
        <f>SUM(G259:G272)</f>
        <v>293509</v>
      </c>
    </row>
    <row r="259" spans="1:8" s="29" customFormat="1" ht="21" customHeight="1">
      <c r="A259" s="79"/>
      <c r="B259" s="99"/>
      <c r="C259" s="98">
        <v>3020</v>
      </c>
      <c r="D259" s="46" t="s">
        <v>201</v>
      </c>
      <c r="E259" s="93">
        <v>1045</v>
      </c>
      <c r="F259" s="93"/>
      <c r="G259" s="93">
        <f>SUM(E259:F259)</f>
        <v>1045</v>
      </c>
      <c r="H259" s="138"/>
    </row>
    <row r="260" spans="1:11" s="29" customFormat="1" ht="21" customHeight="1">
      <c r="A260" s="79"/>
      <c r="B260" s="99"/>
      <c r="C260" s="98">
        <v>4010</v>
      </c>
      <c r="D260" s="46" t="s">
        <v>87</v>
      </c>
      <c r="E260" s="93">
        <v>115014</v>
      </c>
      <c r="F260" s="93"/>
      <c r="G260" s="93">
        <f aca="true" t="shared" si="12" ref="G260:G272">SUM(E260:F260)</f>
        <v>115014</v>
      </c>
      <c r="I260" s="138"/>
      <c r="J260" s="138"/>
      <c r="K260" s="138"/>
    </row>
    <row r="261" spans="1:11" s="29" customFormat="1" ht="21" customHeight="1">
      <c r="A261" s="79"/>
      <c r="B261" s="99"/>
      <c r="C261" s="98">
        <v>4040</v>
      </c>
      <c r="D261" s="46" t="s">
        <v>88</v>
      </c>
      <c r="E261" s="93">
        <v>8743</v>
      </c>
      <c r="F261" s="93"/>
      <c r="G261" s="93">
        <f t="shared" si="12"/>
        <v>8743</v>
      </c>
      <c r="I261" s="138"/>
      <c r="J261" s="138"/>
      <c r="K261" s="138"/>
    </row>
    <row r="262" spans="1:11" s="29" customFormat="1" ht="21" customHeight="1">
      <c r="A262" s="79"/>
      <c r="B262" s="99"/>
      <c r="C262" s="98">
        <v>4110</v>
      </c>
      <c r="D262" s="46" t="s">
        <v>89</v>
      </c>
      <c r="E262" s="93">
        <v>18184</v>
      </c>
      <c r="F262" s="93"/>
      <c r="G262" s="93">
        <f t="shared" si="12"/>
        <v>18184</v>
      </c>
      <c r="I262" s="138"/>
      <c r="J262" s="138"/>
      <c r="K262" s="138"/>
    </row>
    <row r="263" spans="1:11" s="29" customFormat="1" ht="21" customHeight="1">
      <c r="A263" s="79"/>
      <c r="B263" s="99"/>
      <c r="C263" s="98">
        <v>4120</v>
      </c>
      <c r="D263" s="46" t="s">
        <v>90</v>
      </c>
      <c r="E263" s="93">
        <v>2852</v>
      </c>
      <c r="F263" s="93"/>
      <c r="G263" s="93">
        <f t="shared" si="12"/>
        <v>2852</v>
      </c>
      <c r="I263" s="138"/>
      <c r="J263" s="138"/>
      <c r="K263" s="138"/>
    </row>
    <row r="264" spans="1:11" s="29" customFormat="1" ht="21" customHeight="1">
      <c r="A264" s="79"/>
      <c r="B264" s="99"/>
      <c r="C264" s="98">
        <v>4170</v>
      </c>
      <c r="D264" s="46" t="s">
        <v>204</v>
      </c>
      <c r="E264" s="93">
        <v>4000</v>
      </c>
      <c r="F264" s="93"/>
      <c r="G264" s="93">
        <f t="shared" si="12"/>
        <v>4000</v>
      </c>
      <c r="I264" s="138"/>
      <c r="J264" s="138"/>
      <c r="K264" s="138"/>
    </row>
    <row r="265" spans="1:7" s="29" customFormat="1" ht="21" customHeight="1">
      <c r="A265" s="79"/>
      <c r="B265" s="99"/>
      <c r="C265" s="98">
        <v>4210</v>
      </c>
      <c r="D265" s="46" t="s">
        <v>75</v>
      </c>
      <c r="E265" s="93">
        <v>8960</v>
      </c>
      <c r="F265" s="93"/>
      <c r="G265" s="93">
        <f t="shared" si="12"/>
        <v>8960</v>
      </c>
    </row>
    <row r="266" spans="1:7" s="29" customFormat="1" ht="21" customHeight="1">
      <c r="A266" s="79"/>
      <c r="B266" s="99"/>
      <c r="C266" s="98">
        <v>4220</v>
      </c>
      <c r="D266" s="16" t="s">
        <v>189</v>
      </c>
      <c r="E266" s="93">
        <v>122700</v>
      </c>
      <c r="F266" s="93"/>
      <c r="G266" s="93">
        <f t="shared" si="12"/>
        <v>122700</v>
      </c>
    </row>
    <row r="267" spans="1:7" s="29" customFormat="1" ht="21" customHeight="1">
      <c r="A267" s="79"/>
      <c r="B267" s="99"/>
      <c r="C267" s="98">
        <v>4230</v>
      </c>
      <c r="D267" s="46" t="s">
        <v>296</v>
      </c>
      <c r="E267" s="93">
        <v>100</v>
      </c>
      <c r="F267" s="93"/>
      <c r="G267" s="93">
        <f t="shared" si="12"/>
        <v>100</v>
      </c>
    </row>
    <row r="268" spans="1:7" s="29" customFormat="1" ht="21" customHeight="1">
      <c r="A268" s="79"/>
      <c r="B268" s="99"/>
      <c r="C268" s="98">
        <v>4270</v>
      </c>
      <c r="D268" s="16" t="s">
        <v>81</v>
      </c>
      <c r="E268" s="93">
        <v>1300</v>
      </c>
      <c r="F268" s="93"/>
      <c r="G268" s="93">
        <f t="shared" si="12"/>
        <v>1300</v>
      </c>
    </row>
    <row r="269" spans="1:7" s="29" customFormat="1" ht="21" customHeight="1">
      <c r="A269" s="79"/>
      <c r="B269" s="99"/>
      <c r="C269" s="98">
        <v>4280</v>
      </c>
      <c r="D269" s="46" t="s">
        <v>211</v>
      </c>
      <c r="E269" s="93">
        <v>560</v>
      </c>
      <c r="F269" s="93"/>
      <c r="G269" s="93">
        <f t="shared" si="12"/>
        <v>560</v>
      </c>
    </row>
    <row r="270" spans="1:7" s="29" customFormat="1" ht="21" customHeight="1">
      <c r="A270" s="79"/>
      <c r="B270" s="99"/>
      <c r="C270" s="98">
        <v>4300</v>
      </c>
      <c r="D270" s="46" t="s">
        <v>82</v>
      </c>
      <c r="E270" s="93">
        <v>600</v>
      </c>
      <c r="F270" s="93"/>
      <c r="G270" s="93">
        <f t="shared" si="12"/>
        <v>600</v>
      </c>
    </row>
    <row r="271" spans="1:7" s="29" customFormat="1" ht="21" customHeight="1">
      <c r="A271" s="79"/>
      <c r="B271" s="99"/>
      <c r="C271" s="98">
        <v>4440</v>
      </c>
      <c r="D271" s="46" t="s">
        <v>91</v>
      </c>
      <c r="E271" s="93">
        <v>5451</v>
      </c>
      <c r="F271" s="93"/>
      <c r="G271" s="93">
        <f t="shared" si="12"/>
        <v>5451</v>
      </c>
    </row>
    <row r="272" spans="1:16" s="29" customFormat="1" ht="21" customHeight="1">
      <c r="A272" s="79"/>
      <c r="B272" s="99"/>
      <c r="C272" s="98">
        <v>6060</v>
      </c>
      <c r="D272" s="46" t="s">
        <v>99</v>
      </c>
      <c r="E272" s="93">
        <v>4000</v>
      </c>
      <c r="F272" s="93"/>
      <c r="G272" s="93">
        <f t="shared" si="12"/>
        <v>4000</v>
      </c>
      <c r="N272" s="138"/>
      <c r="O272" s="138"/>
      <c r="P272" s="138"/>
    </row>
    <row r="273" spans="1:7" s="29" customFormat="1" ht="21" customHeight="1">
      <c r="A273" s="79"/>
      <c r="B273" s="94">
        <v>80195</v>
      </c>
      <c r="C273" s="79"/>
      <c r="D273" s="46" t="s">
        <v>6</v>
      </c>
      <c r="E273" s="93">
        <f>SUM(E274:E277)</f>
        <v>185941</v>
      </c>
      <c r="F273" s="93">
        <f>SUM(F274:F277)</f>
        <v>0</v>
      </c>
      <c r="G273" s="93">
        <f>SUM(G274:G277)</f>
        <v>185941</v>
      </c>
    </row>
    <row r="274" spans="1:11" s="29" customFormat="1" ht="21" customHeight="1">
      <c r="A274" s="79"/>
      <c r="B274" s="94"/>
      <c r="C274" s="79">
        <v>4170</v>
      </c>
      <c r="D274" s="46" t="s">
        <v>204</v>
      </c>
      <c r="E274" s="93">
        <v>1060</v>
      </c>
      <c r="F274" s="93"/>
      <c r="G274" s="93">
        <f>SUM(E274:F274)</f>
        <v>1060</v>
      </c>
      <c r="I274" s="138"/>
      <c r="J274" s="138"/>
      <c r="K274" s="138"/>
    </row>
    <row r="275" spans="1:7" s="29" customFormat="1" ht="21" customHeight="1">
      <c r="A275" s="79"/>
      <c r="B275" s="94"/>
      <c r="C275" s="79">
        <v>4210</v>
      </c>
      <c r="D275" s="46" t="s">
        <v>75</v>
      </c>
      <c r="E275" s="93">
        <v>1200</v>
      </c>
      <c r="F275" s="93"/>
      <c r="G275" s="93">
        <f>SUM(E275:F275)</f>
        <v>1200</v>
      </c>
    </row>
    <row r="276" spans="1:7" s="29" customFormat="1" ht="21" customHeight="1">
      <c r="A276" s="79"/>
      <c r="B276" s="94"/>
      <c r="C276" s="79">
        <v>4430</v>
      </c>
      <c r="D276" s="46" t="s">
        <v>410</v>
      </c>
      <c r="E276" s="93">
        <v>1500</v>
      </c>
      <c r="F276" s="93"/>
      <c r="G276" s="93">
        <f>SUM(E276:F276)</f>
        <v>1500</v>
      </c>
    </row>
    <row r="277" spans="1:7" s="29" customFormat="1" ht="21" customHeight="1">
      <c r="A277" s="79"/>
      <c r="B277" s="94"/>
      <c r="C277" s="79">
        <v>4440</v>
      </c>
      <c r="D277" s="46" t="s">
        <v>91</v>
      </c>
      <c r="E277" s="93">
        <v>182181</v>
      </c>
      <c r="F277" s="93"/>
      <c r="G277" s="93">
        <f>SUM(E277:F277)</f>
        <v>182181</v>
      </c>
    </row>
    <row r="278" spans="1:7" s="8" customFormat="1" ht="21" customHeight="1">
      <c r="A278" s="41" t="s">
        <v>121</v>
      </c>
      <c r="B278" s="42"/>
      <c r="C278" s="43"/>
      <c r="D278" s="44" t="s">
        <v>55</v>
      </c>
      <c r="E278" s="45">
        <f>SUM(E281,E290,E279)</f>
        <v>123603</v>
      </c>
      <c r="F278" s="45">
        <f>SUM(F281,F290,F279)</f>
        <v>0</v>
      </c>
      <c r="G278" s="45">
        <f>SUM(G281,G290,G279)</f>
        <v>123603</v>
      </c>
    </row>
    <row r="279" spans="1:7" s="8" customFormat="1" ht="21" customHeight="1">
      <c r="A279" s="41"/>
      <c r="B279" s="99">
        <v>85153</v>
      </c>
      <c r="C279" s="98"/>
      <c r="D279" s="46" t="s">
        <v>239</v>
      </c>
      <c r="E279" s="93">
        <f>SUM(E280:E280)</f>
        <v>5600</v>
      </c>
      <c r="F279" s="93">
        <f>SUM(F280:F280)</f>
        <v>0</v>
      </c>
      <c r="G279" s="93">
        <f>SUM(G280:G280)</f>
        <v>5600</v>
      </c>
    </row>
    <row r="280" spans="1:7" s="8" customFormat="1" ht="21" customHeight="1">
      <c r="A280" s="41"/>
      <c r="B280" s="99"/>
      <c r="C280" s="98">
        <v>4300</v>
      </c>
      <c r="D280" s="46" t="s">
        <v>82</v>
      </c>
      <c r="E280" s="93">
        <v>5600</v>
      </c>
      <c r="F280" s="93"/>
      <c r="G280" s="93">
        <f>SUM(E280:F280)</f>
        <v>5600</v>
      </c>
    </row>
    <row r="281" spans="1:7" s="29" customFormat="1" ht="21" customHeight="1">
      <c r="A281" s="79"/>
      <c r="B281" s="94" t="s">
        <v>122</v>
      </c>
      <c r="C281" s="98"/>
      <c r="D281" s="46" t="s">
        <v>56</v>
      </c>
      <c r="E281" s="93">
        <f>SUM(E282:E289)</f>
        <v>108003</v>
      </c>
      <c r="F281" s="93">
        <f>SUM(F282:F289)</f>
        <v>0</v>
      </c>
      <c r="G281" s="93">
        <f>SUM(G282:G289)</f>
        <v>108003</v>
      </c>
    </row>
    <row r="282" spans="1:11" s="29" customFormat="1" ht="21" customHeight="1">
      <c r="A282" s="79"/>
      <c r="B282" s="99"/>
      <c r="C282" s="98">
        <v>4110</v>
      </c>
      <c r="D282" s="16" t="s">
        <v>89</v>
      </c>
      <c r="E282" s="93">
        <v>1858</v>
      </c>
      <c r="F282" s="93"/>
      <c r="G282" s="93">
        <f>SUM(E282:F282)</f>
        <v>1858</v>
      </c>
      <c r="I282" s="138"/>
      <c r="J282" s="138"/>
      <c r="K282" s="138"/>
    </row>
    <row r="283" spans="1:11" s="29" customFormat="1" ht="21" customHeight="1">
      <c r="A283" s="79"/>
      <c r="B283" s="99"/>
      <c r="C283" s="98">
        <v>4170</v>
      </c>
      <c r="D283" s="46" t="s">
        <v>204</v>
      </c>
      <c r="E283" s="93">
        <v>44600</v>
      </c>
      <c r="F283" s="93"/>
      <c r="G283" s="93">
        <f aca="true" t="shared" si="13" ref="G283:G289">SUM(E283:F283)</f>
        <v>44600</v>
      </c>
      <c r="I283" s="138"/>
      <c r="J283" s="138"/>
      <c r="K283" s="138"/>
    </row>
    <row r="284" spans="1:7" s="29" customFormat="1" ht="21" customHeight="1">
      <c r="A284" s="79"/>
      <c r="B284" s="99"/>
      <c r="C284" s="98">
        <v>4210</v>
      </c>
      <c r="D284" s="16" t="s">
        <v>95</v>
      </c>
      <c r="E284" s="93">
        <v>12800</v>
      </c>
      <c r="F284" s="93"/>
      <c r="G284" s="93">
        <f t="shared" si="13"/>
        <v>12800</v>
      </c>
    </row>
    <row r="285" spans="1:7" s="29" customFormat="1" ht="21" customHeight="1">
      <c r="A285" s="79"/>
      <c r="B285" s="99"/>
      <c r="C285" s="98">
        <v>4220</v>
      </c>
      <c r="D285" s="16" t="s">
        <v>189</v>
      </c>
      <c r="E285" s="93">
        <v>13500</v>
      </c>
      <c r="F285" s="93"/>
      <c r="G285" s="93">
        <f t="shared" si="13"/>
        <v>13500</v>
      </c>
    </row>
    <row r="286" spans="1:7" s="29" customFormat="1" ht="21" customHeight="1">
      <c r="A286" s="79"/>
      <c r="B286" s="99"/>
      <c r="C286" s="98">
        <v>4300</v>
      </c>
      <c r="D286" s="46" t="s">
        <v>82</v>
      </c>
      <c r="E286" s="93">
        <v>32245</v>
      </c>
      <c r="F286" s="93"/>
      <c r="G286" s="93">
        <f t="shared" si="13"/>
        <v>32245</v>
      </c>
    </row>
    <row r="287" spans="1:7" s="29" customFormat="1" ht="21" customHeight="1">
      <c r="A287" s="79"/>
      <c r="B287" s="99"/>
      <c r="C287" s="98">
        <v>4350</v>
      </c>
      <c r="D287" s="46" t="s">
        <v>218</v>
      </c>
      <c r="E287" s="93">
        <v>1200</v>
      </c>
      <c r="F287" s="93"/>
      <c r="G287" s="93">
        <f t="shared" si="13"/>
        <v>1200</v>
      </c>
    </row>
    <row r="288" spans="1:7" s="29" customFormat="1" ht="21" customHeight="1">
      <c r="A288" s="79"/>
      <c r="B288" s="99"/>
      <c r="C288" s="98">
        <v>4410</v>
      </c>
      <c r="D288" s="46" t="s">
        <v>93</v>
      </c>
      <c r="E288" s="93">
        <v>1200</v>
      </c>
      <c r="F288" s="93"/>
      <c r="G288" s="93">
        <f t="shared" si="13"/>
        <v>1200</v>
      </c>
    </row>
    <row r="289" spans="1:7" s="29" customFormat="1" ht="26.25" customHeight="1">
      <c r="A289" s="79"/>
      <c r="B289" s="99"/>
      <c r="C289" s="98">
        <v>4700</v>
      </c>
      <c r="D289" s="46" t="s">
        <v>298</v>
      </c>
      <c r="E289" s="93">
        <v>600</v>
      </c>
      <c r="F289" s="93"/>
      <c r="G289" s="93">
        <f t="shared" si="13"/>
        <v>600</v>
      </c>
    </row>
    <row r="290" spans="1:7" s="29" customFormat="1" ht="21" customHeight="1">
      <c r="A290" s="79"/>
      <c r="B290" s="99">
        <v>85195</v>
      </c>
      <c r="C290" s="98"/>
      <c r="D290" s="46" t="s">
        <v>6</v>
      </c>
      <c r="E290" s="93">
        <f>SUM(E291)</f>
        <v>10000</v>
      </c>
      <c r="F290" s="93">
        <f>SUM(F291)</f>
        <v>0</v>
      </c>
      <c r="G290" s="93">
        <f>SUM(G291)</f>
        <v>10000</v>
      </c>
    </row>
    <row r="291" spans="1:7" s="29" customFormat="1" ht="21" customHeight="1">
      <c r="A291" s="79"/>
      <c r="B291" s="99"/>
      <c r="C291" s="98">
        <v>4430</v>
      </c>
      <c r="D291" s="46" t="s">
        <v>97</v>
      </c>
      <c r="E291" s="93">
        <v>10000</v>
      </c>
      <c r="F291" s="93"/>
      <c r="G291" s="93">
        <f>SUM(E291:F291)</f>
        <v>10000</v>
      </c>
    </row>
    <row r="292" spans="1:7" s="8" customFormat="1" ht="24.75" customHeight="1">
      <c r="A292" s="73">
        <v>852</v>
      </c>
      <c r="B292" s="42"/>
      <c r="C292" s="43"/>
      <c r="D292" s="44" t="s">
        <v>196</v>
      </c>
      <c r="E292" s="45">
        <f>SUM(E293,E316,E318,E321,E325,E349,E351,E323)</f>
        <v>11262797</v>
      </c>
      <c r="F292" s="45">
        <f>SUM(F293,F316,F318,F321,F325,F349,F351,F323)</f>
        <v>0</v>
      </c>
      <c r="G292" s="45">
        <f>SUM(G293,G316,G318,G321,G325,G349,G351,G323)</f>
        <v>11262797</v>
      </c>
    </row>
    <row r="293" spans="1:7" s="29" customFormat="1" ht="39" customHeight="1">
      <c r="A293" s="109"/>
      <c r="B293" s="59">
        <v>85212</v>
      </c>
      <c r="C293" s="91"/>
      <c r="D293" s="89" t="s">
        <v>370</v>
      </c>
      <c r="E293" s="83">
        <f>SUM(E294:E315)</f>
        <v>6664636</v>
      </c>
      <c r="F293" s="83">
        <f>SUM(F294:F315)</f>
        <v>0</v>
      </c>
      <c r="G293" s="83">
        <f>SUM(G294:G315)</f>
        <v>6664636</v>
      </c>
    </row>
    <row r="294" spans="1:8" s="29" customFormat="1" ht="21" customHeight="1">
      <c r="A294" s="109"/>
      <c r="B294" s="59"/>
      <c r="C294" s="91">
        <v>3020</v>
      </c>
      <c r="D294" s="46" t="s">
        <v>201</v>
      </c>
      <c r="E294" s="83">
        <v>1400</v>
      </c>
      <c r="F294" s="83"/>
      <c r="G294" s="83">
        <f>SUM(E294:F294)</f>
        <v>1400</v>
      </c>
      <c r="H294" s="138"/>
    </row>
    <row r="295" spans="1:8" s="29" customFormat="1" ht="21" customHeight="1">
      <c r="A295" s="109"/>
      <c r="B295" s="59"/>
      <c r="C295" s="91">
        <v>3110</v>
      </c>
      <c r="D295" s="89" t="s">
        <v>115</v>
      </c>
      <c r="E295" s="83">
        <f>6354761-50000</f>
        <v>6304761</v>
      </c>
      <c r="F295" s="83"/>
      <c r="G295" s="83">
        <f aca="true" t="shared" si="14" ref="G295:G315">SUM(E295:F295)</f>
        <v>6304761</v>
      </c>
      <c r="H295" s="138"/>
    </row>
    <row r="296" spans="1:11" s="29" customFormat="1" ht="21" customHeight="1">
      <c r="A296" s="109"/>
      <c r="B296" s="59"/>
      <c r="C296" s="59">
        <v>4010</v>
      </c>
      <c r="D296" s="16" t="s">
        <v>87</v>
      </c>
      <c r="E296" s="83">
        <v>193600</v>
      </c>
      <c r="F296" s="83"/>
      <c r="G296" s="83">
        <f t="shared" si="14"/>
        <v>193600</v>
      </c>
      <c r="I296" s="138"/>
      <c r="J296" s="138"/>
      <c r="K296" s="138"/>
    </row>
    <row r="297" spans="1:11" s="29" customFormat="1" ht="21" customHeight="1">
      <c r="A297" s="109"/>
      <c r="B297" s="59"/>
      <c r="C297" s="59">
        <v>4040</v>
      </c>
      <c r="D297" s="16" t="s">
        <v>88</v>
      </c>
      <c r="E297" s="83">
        <v>15400</v>
      </c>
      <c r="F297" s="83"/>
      <c r="G297" s="83">
        <f t="shared" si="14"/>
        <v>15400</v>
      </c>
      <c r="I297" s="138"/>
      <c r="J297" s="138"/>
      <c r="K297" s="138"/>
    </row>
    <row r="298" spans="1:11" s="29" customFormat="1" ht="21" customHeight="1">
      <c r="A298" s="109"/>
      <c r="B298" s="59"/>
      <c r="C298" s="59">
        <v>4110</v>
      </c>
      <c r="D298" s="16" t="s">
        <v>89</v>
      </c>
      <c r="E298" s="83">
        <f>32400+50000</f>
        <v>82400</v>
      </c>
      <c r="F298" s="83"/>
      <c r="G298" s="83">
        <f t="shared" si="14"/>
        <v>82400</v>
      </c>
      <c r="I298" s="138"/>
      <c r="J298" s="138"/>
      <c r="K298" s="138"/>
    </row>
    <row r="299" spans="1:11" s="29" customFormat="1" ht="21" customHeight="1">
      <c r="A299" s="109"/>
      <c r="B299" s="59"/>
      <c r="C299" s="59">
        <v>4120</v>
      </c>
      <c r="D299" s="16" t="s">
        <v>90</v>
      </c>
      <c r="E299" s="83">
        <v>5300</v>
      </c>
      <c r="F299" s="83"/>
      <c r="G299" s="83">
        <f t="shared" si="14"/>
        <v>5300</v>
      </c>
      <c r="I299" s="138"/>
      <c r="J299" s="138"/>
      <c r="K299" s="138"/>
    </row>
    <row r="300" spans="1:11" s="29" customFormat="1" ht="21" customHeight="1">
      <c r="A300" s="109"/>
      <c r="B300" s="90"/>
      <c r="C300" s="59">
        <v>4170</v>
      </c>
      <c r="D300" s="46" t="s">
        <v>204</v>
      </c>
      <c r="E300" s="83">
        <v>3000</v>
      </c>
      <c r="F300" s="83"/>
      <c r="G300" s="83">
        <f t="shared" si="14"/>
        <v>3000</v>
      </c>
      <c r="I300" s="138"/>
      <c r="J300" s="138"/>
      <c r="K300" s="138"/>
    </row>
    <row r="301" spans="1:7" s="29" customFormat="1" ht="21" customHeight="1">
      <c r="A301" s="109"/>
      <c r="B301" s="90"/>
      <c r="C301" s="59">
        <v>4210</v>
      </c>
      <c r="D301" s="16" t="s">
        <v>95</v>
      </c>
      <c r="E301" s="83">
        <v>8350</v>
      </c>
      <c r="F301" s="83"/>
      <c r="G301" s="83">
        <f t="shared" si="14"/>
        <v>8350</v>
      </c>
    </row>
    <row r="302" spans="1:7" s="29" customFormat="1" ht="21" customHeight="1">
      <c r="A302" s="109"/>
      <c r="B302" s="90"/>
      <c r="C302" s="59">
        <v>4260</v>
      </c>
      <c r="D302" s="46" t="s">
        <v>98</v>
      </c>
      <c r="E302" s="83">
        <v>14000</v>
      </c>
      <c r="F302" s="83"/>
      <c r="G302" s="83">
        <f t="shared" si="14"/>
        <v>14000</v>
      </c>
    </row>
    <row r="303" spans="1:7" s="29" customFormat="1" ht="21" customHeight="1">
      <c r="A303" s="109"/>
      <c r="B303" s="90"/>
      <c r="C303" s="59">
        <v>4270</v>
      </c>
      <c r="D303" s="46" t="s">
        <v>81</v>
      </c>
      <c r="E303" s="83">
        <v>1000</v>
      </c>
      <c r="F303" s="83"/>
      <c r="G303" s="83">
        <f t="shared" si="14"/>
        <v>1000</v>
      </c>
    </row>
    <row r="304" spans="1:7" s="29" customFormat="1" ht="21" customHeight="1">
      <c r="A304" s="109"/>
      <c r="B304" s="90"/>
      <c r="C304" s="59">
        <v>4280</v>
      </c>
      <c r="D304" s="46" t="s">
        <v>211</v>
      </c>
      <c r="E304" s="83">
        <v>800</v>
      </c>
      <c r="F304" s="83"/>
      <c r="G304" s="83">
        <f t="shared" si="14"/>
        <v>800</v>
      </c>
    </row>
    <row r="305" spans="1:7" s="29" customFormat="1" ht="21" customHeight="1">
      <c r="A305" s="109"/>
      <c r="B305" s="90"/>
      <c r="C305" s="59">
        <v>4300</v>
      </c>
      <c r="D305" s="16" t="s">
        <v>82</v>
      </c>
      <c r="E305" s="83">
        <v>6150</v>
      </c>
      <c r="F305" s="83"/>
      <c r="G305" s="83">
        <f t="shared" si="14"/>
        <v>6150</v>
      </c>
    </row>
    <row r="306" spans="1:7" s="29" customFormat="1" ht="21" customHeight="1">
      <c r="A306" s="109"/>
      <c r="B306" s="90"/>
      <c r="C306" s="59">
        <v>4350</v>
      </c>
      <c r="D306" s="46" t="s">
        <v>218</v>
      </c>
      <c r="E306" s="83">
        <v>1600</v>
      </c>
      <c r="F306" s="83"/>
      <c r="G306" s="83">
        <f t="shared" si="14"/>
        <v>1600</v>
      </c>
    </row>
    <row r="307" spans="1:7" s="29" customFormat="1" ht="29.25" customHeight="1">
      <c r="A307" s="109"/>
      <c r="B307" s="90"/>
      <c r="C307" s="59">
        <v>4360</v>
      </c>
      <c r="D307" s="46" t="s">
        <v>242</v>
      </c>
      <c r="E307" s="83">
        <v>1200</v>
      </c>
      <c r="F307" s="83"/>
      <c r="G307" s="83">
        <f t="shared" si="14"/>
        <v>1200</v>
      </c>
    </row>
    <row r="308" spans="1:7" s="29" customFormat="1" ht="27.75" customHeight="1">
      <c r="A308" s="109"/>
      <c r="B308" s="90"/>
      <c r="C308" s="59">
        <v>4370</v>
      </c>
      <c r="D308" s="46" t="s">
        <v>242</v>
      </c>
      <c r="E308" s="83">
        <v>4800</v>
      </c>
      <c r="F308" s="83"/>
      <c r="G308" s="83">
        <f t="shared" si="14"/>
        <v>4800</v>
      </c>
    </row>
    <row r="309" spans="1:7" s="29" customFormat="1" ht="21" customHeight="1">
      <c r="A309" s="109"/>
      <c r="B309" s="90"/>
      <c r="C309" s="59">
        <v>4410</v>
      </c>
      <c r="D309" s="46" t="s">
        <v>93</v>
      </c>
      <c r="E309" s="83">
        <v>2000</v>
      </c>
      <c r="F309" s="83"/>
      <c r="G309" s="83">
        <f t="shared" si="14"/>
        <v>2000</v>
      </c>
    </row>
    <row r="310" spans="1:7" s="29" customFormat="1" ht="21" customHeight="1">
      <c r="A310" s="109"/>
      <c r="B310" s="90"/>
      <c r="C310" s="59">
        <v>4430</v>
      </c>
      <c r="D310" s="46" t="s">
        <v>97</v>
      </c>
      <c r="E310" s="83">
        <v>3000</v>
      </c>
      <c r="F310" s="83"/>
      <c r="G310" s="83">
        <f t="shared" si="14"/>
        <v>3000</v>
      </c>
    </row>
    <row r="311" spans="1:7" s="29" customFormat="1" ht="21" customHeight="1">
      <c r="A311" s="109"/>
      <c r="B311" s="90"/>
      <c r="C311" s="59">
        <v>4440</v>
      </c>
      <c r="D311" s="16" t="s">
        <v>91</v>
      </c>
      <c r="E311" s="83">
        <v>4875</v>
      </c>
      <c r="F311" s="83"/>
      <c r="G311" s="83">
        <f t="shared" si="14"/>
        <v>4875</v>
      </c>
    </row>
    <row r="312" spans="1:7" s="29" customFormat="1" ht="21" customHeight="1">
      <c r="A312" s="109"/>
      <c r="B312" s="90"/>
      <c r="C312" s="59">
        <v>4610</v>
      </c>
      <c r="D312" s="46" t="s">
        <v>191</v>
      </c>
      <c r="E312" s="83">
        <v>1000</v>
      </c>
      <c r="F312" s="83"/>
      <c r="G312" s="83">
        <f t="shared" si="14"/>
        <v>1000</v>
      </c>
    </row>
    <row r="313" spans="1:7" s="29" customFormat="1" ht="22.5">
      <c r="A313" s="109"/>
      <c r="B313" s="90"/>
      <c r="C313" s="59">
        <v>4700</v>
      </c>
      <c r="D313" s="46" t="s">
        <v>298</v>
      </c>
      <c r="E313" s="83">
        <v>3000</v>
      </c>
      <c r="F313" s="83"/>
      <c r="G313" s="83">
        <f t="shared" si="14"/>
        <v>3000</v>
      </c>
    </row>
    <row r="314" spans="1:7" s="29" customFormat="1" ht="28.5" customHeight="1">
      <c r="A314" s="109"/>
      <c r="B314" s="90"/>
      <c r="C314" s="59">
        <v>4740</v>
      </c>
      <c r="D314" s="46" t="s">
        <v>354</v>
      </c>
      <c r="E314" s="83">
        <v>2000</v>
      </c>
      <c r="F314" s="83"/>
      <c r="G314" s="83">
        <f t="shared" si="14"/>
        <v>2000</v>
      </c>
    </row>
    <row r="315" spans="1:7" s="29" customFormat="1" ht="28.5" customHeight="1">
      <c r="A315" s="109"/>
      <c r="B315" s="90"/>
      <c r="C315" s="59">
        <v>4750</v>
      </c>
      <c r="D315" s="46" t="s">
        <v>307</v>
      </c>
      <c r="E315" s="83">
        <v>5000</v>
      </c>
      <c r="F315" s="83"/>
      <c r="G315" s="83">
        <f t="shared" si="14"/>
        <v>5000</v>
      </c>
    </row>
    <row r="316" spans="1:7" s="29" customFormat="1" ht="56.25">
      <c r="A316" s="79"/>
      <c r="B316" s="99">
        <v>85213</v>
      </c>
      <c r="C316" s="98"/>
      <c r="D316" s="89" t="s">
        <v>355</v>
      </c>
      <c r="E316" s="93">
        <f>SUM(E317)</f>
        <v>49134</v>
      </c>
      <c r="F316" s="93">
        <f>SUM(F317)</f>
        <v>0</v>
      </c>
      <c r="G316" s="93">
        <f>SUM(G317)</f>
        <v>49134</v>
      </c>
    </row>
    <row r="317" spans="1:11" s="29" customFormat="1" ht="21" customHeight="1">
      <c r="A317" s="79"/>
      <c r="B317" s="99"/>
      <c r="C317" s="98">
        <v>4130</v>
      </c>
      <c r="D317" s="46" t="s">
        <v>123</v>
      </c>
      <c r="E317" s="83">
        <f>12000+37134</f>
        <v>49134</v>
      </c>
      <c r="F317" s="83"/>
      <c r="G317" s="83">
        <f>SUM(E317:F317)</f>
        <v>49134</v>
      </c>
      <c r="I317" s="138"/>
      <c r="J317" s="138"/>
      <c r="K317" s="138"/>
    </row>
    <row r="318" spans="1:7" s="29" customFormat="1" ht="22.5">
      <c r="A318" s="79"/>
      <c r="B318" s="94">
        <v>85214</v>
      </c>
      <c r="C318" s="98"/>
      <c r="D318" s="46" t="s">
        <v>217</v>
      </c>
      <c r="E318" s="93">
        <f>SUM(E319:E320)</f>
        <v>1489695</v>
      </c>
      <c r="F318" s="93">
        <f>SUM(F319:F320)</f>
        <v>0</v>
      </c>
      <c r="G318" s="93">
        <f>SUM(G319:G320)</f>
        <v>1489695</v>
      </c>
    </row>
    <row r="319" spans="1:8" s="29" customFormat="1" ht="21" customHeight="1">
      <c r="A319" s="79"/>
      <c r="B319" s="94"/>
      <c r="C319" s="98">
        <v>3110</v>
      </c>
      <c r="D319" s="46" t="s">
        <v>115</v>
      </c>
      <c r="E319" s="93">
        <f>539695+949000</f>
        <v>1488695</v>
      </c>
      <c r="F319" s="93"/>
      <c r="G319" s="93">
        <f>SUM(E319:F319)</f>
        <v>1488695</v>
      </c>
      <c r="H319" s="138"/>
    </row>
    <row r="320" spans="1:11" s="29" customFormat="1" ht="21" customHeight="1">
      <c r="A320" s="79"/>
      <c r="B320" s="94"/>
      <c r="C320" s="59">
        <v>4110</v>
      </c>
      <c r="D320" s="16" t="s">
        <v>89</v>
      </c>
      <c r="E320" s="93">
        <v>1000</v>
      </c>
      <c r="F320" s="93"/>
      <c r="G320" s="93">
        <f>SUM(E320:F320)</f>
        <v>1000</v>
      </c>
      <c r="I320" s="138"/>
      <c r="J320" s="138"/>
      <c r="K320" s="138"/>
    </row>
    <row r="321" spans="1:7" s="29" customFormat="1" ht="21" customHeight="1">
      <c r="A321" s="79"/>
      <c r="B321" s="94">
        <v>85215</v>
      </c>
      <c r="C321" s="98"/>
      <c r="D321" s="46" t="s">
        <v>59</v>
      </c>
      <c r="E321" s="93">
        <f>SUM(E322)</f>
        <v>819400</v>
      </c>
      <c r="F321" s="93">
        <f>SUM(F322)</f>
        <v>0</v>
      </c>
      <c r="G321" s="93">
        <f>SUM(G322)</f>
        <v>819400</v>
      </c>
    </row>
    <row r="322" spans="1:8" s="29" customFormat="1" ht="21" customHeight="1">
      <c r="A322" s="79"/>
      <c r="B322" s="94"/>
      <c r="C322" s="98">
        <v>3110</v>
      </c>
      <c r="D322" s="46" t="s">
        <v>115</v>
      </c>
      <c r="E322" s="93">
        <f>900000-80600</f>
        <v>819400</v>
      </c>
      <c r="F322" s="93"/>
      <c r="G322" s="93">
        <f>SUM(E322:F322)</f>
        <v>819400</v>
      </c>
      <c r="H322" s="138"/>
    </row>
    <row r="323" spans="1:7" s="29" customFormat="1" ht="21" customHeight="1">
      <c r="A323" s="79"/>
      <c r="B323" s="94">
        <v>82516</v>
      </c>
      <c r="C323" s="98"/>
      <c r="D323" s="46" t="s">
        <v>378</v>
      </c>
      <c r="E323" s="93">
        <f>SUM(E324)</f>
        <v>449868</v>
      </c>
      <c r="F323" s="93">
        <f>SUM(F324)</f>
        <v>0</v>
      </c>
      <c r="G323" s="93">
        <f>SUM(G324)</f>
        <v>449868</v>
      </c>
    </row>
    <row r="324" spans="1:8" s="29" customFormat="1" ht="21" customHeight="1">
      <c r="A324" s="79"/>
      <c r="B324" s="94"/>
      <c r="C324" s="98">
        <v>3110</v>
      </c>
      <c r="D324" s="46" t="s">
        <v>115</v>
      </c>
      <c r="E324" s="93">
        <v>449868</v>
      </c>
      <c r="F324" s="93"/>
      <c r="G324" s="93">
        <f>SUM(E324:F324)</f>
        <v>449868</v>
      </c>
      <c r="H324" s="138"/>
    </row>
    <row r="325" spans="1:7" s="29" customFormat="1" ht="21" customHeight="1">
      <c r="A325" s="79"/>
      <c r="B325" s="94">
        <v>85219</v>
      </c>
      <c r="C325" s="98"/>
      <c r="D325" s="46" t="s">
        <v>60</v>
      </c>
      <c r="E325" s="93">
        <f>SUM(E326:E348)</f>
        <v>1374544</v>
      </c>
      <c r="F325" s="93">
        <f>SUM(F326:F348)</f>
        <v>0</v>
      </c>
      <c r="G325" s="93">
        <f>SUM(G326:G348)</f>
        <v>1374544</v>
      </c>
    </row>
    <row r="326" spans="1:8" s="29" customFormat="1" ht="21" customHeight="1">
      <c r="A326" s="79"/>
      <c r="B326" s="94"/>
      <c r="C326" s="98">
        <v>3020</v>
      </c>
      <c r="D326" s="46" t="s">
        <v>224</v>
      </c>
      <c r="E326" s="93">
        <f>2610+770</f>
        <v>3380</v>
      </c>
      <c r="F326" s="93"/>
      <c r="G326" s="93">
        <f>SUM(E326:F326)</f>
        <v>3380</v>
      </c>
      <c r="H326" s="138"/>
    </row>
    <row r="327" spans="1:11" s="29" customFormat="1" ht="21" customHeight="1">
      <c r="A327" s="79"/>
      <c r="B327" s="94"/>
      <c r="C327" s="98">
        <v>4010</v>
      </c>
      <c r="D327" s="46" t="s">
        <v>87</v>
      </c>
      <c r="E327" s="93">
        <f>30333+277985+284599+80372</f>
        <v>673289</v>
      </c>
      <c r="F327" s="93"/>
      <c r="G327" s="93">
        <f aca="true" t="shared" si="15" ref="G327:G348">SUM(E327:F327)</f>
        <v>673289</v>
      </c>
      <c r="I327" s="138"/>
      <c r="J327" s="138"/>
      <c r="K327" s="138"/>
    </row>
    <row r="328" spans="1:11" s="29" customFormat="1" ht="21" customHeight="1">
      <c r="A328" s="79"/>
      <c r="B328" s="94"/>
      <c r="C328" s="98">
        <v>4040</v>
      </c>
      <c r="D328" s="46" t="s">
        <v>88</v>
      </c>
      <c r="E328" s="93">
        <f>2420+32000+14500+6200</f>
        <v>55120</v>
      </c>
      <c r="F328" s="93"/>
      <c r="G328" s="93">
        <f t="shared" si="15"/>
        <v>55120</v>
      </c>
      <c r="I328" s="138"/>
      <c r="J328" s="138"/>
      <c r="K328" s="138"/>
    </row>
    <row r="329" spans="1:11" s="29" customFormat="1" ht="21" customHeight="1">
      <c r="A329" s="79"/>
      <c r="B329" s="94"/>
      <c r="C329" s="98">
        <v>4110</v>
      </c>
      <c r="D329" s="46" t="s">
        <v>89</v>
      </c>
      <c r="E329" s="93">
        <f>5008+42504+50164+13237</f>
        <v>110913</v>
      </c>
      <c r="F329" s="93"/>
      <c r="G329" s="93">
        <f t="shared" si="15"/>
        <v>110913</v>
      </c>
      <c r="I329" s="138"/>
      <c r="J329" s="138"/>
      <c r="K329" s="138"/>
    </row>
    <row r="330" spans="1:11" s="29" customFormat="1" ht="21" customHeight="1">
      <c r="A330" s="79"/>
      <c r="B330" s="94"/>
      <c r="C330" s="98">
        <v>4120</v>
      </c>
      <c r="D330" s="46" t="s">
        <v>90</v>
      </c>
      <c r="E330" s="93">
        <f>803+6810+7945+2121</f>
        <v>17679</v>
      </c>
      <c r="F330" s="93"/>
      <c r="G330" s="93">
        <f t="shared" si="15"/>
        <v>17679</v>
      </c>
      <c r="I330" s="138"/>
      <c r="J330" s="138"/>
      <c r="K330" s="138"/>
    </row>
    <row r="331" spans="1:11" s="29" customFormat="1" ht="21" customHeight="1">
      <c r="A331" s="79"/>
      <c r="B331" s="94"/>
      <c r="C331" s="98">
        <v>4170</v>
      </c>
      <c r="D331" s="46" t="s">
        <v>204</v>
      </c>
      <c r="E331" s="93">
        <v>10200</v>
      </c>
      <c r="F331" s="93"/>
      <c r="G331" s="93">
        <f t="shared" si="15"/>
        <v>10200</v>
      </c>
      <c r="I331" s="138"/>
      <c r="J331" s="138"/>
      <c r="K331" s="138"/>
    </row>
    <row r="332" spans="1:7" s="29" customFormat="1" ht="21" customHeight="1">
      <c r="A332" s="79"/>
      <c r="B332" s="94"/>
      <c r="C332" s="98">
        <v>4210</v>
      </c>
      <c r="D332" s="46" t="s">
        <v>95</v>
      </c>
      <c r="E332" s="93">
        <f>4200+21100+11850</f>
        <v>37150</v>
      </c>
      <c r="F332" s="93"/>
      <c r="G332" s="93">
        <f t="shared" si="15"/>
        <v>37150</v>
      </c>
    </row>
    <row r="333" spans="1:7" s="29" customFormat="1" ht="21" customHeight="1">
      <c r="A333" s="79"/>
      <c r="B333" s="94"/>
      <c r="C333" s="98">
        <v>4220</v>
      </c>
      <c r="D333" s="46" t="s">
        <v>189</v>
      </c>
      <c r="E333" s="93">
        <v>190000</v>
      </c>
      <c r="F333" s="93"/>
      <c r="G333" s="93">
        <f t="shared" si="15"/>
        <v>190000</v>
      </c>
    </row>
    <row r="334" spans="1:7" s="29" customFormat="1" ht="21" customHeight="1">
      <c r="A334" s="79"/>
      <c r="B334" s="94"/>
      <c r="C334" s="98">
        <v>4260</v>
      </c>
      <c r="D334" s="46" t="s">
        <v>98</v>
      </c>
      <c r="E334" s="93">
        <f>6340+13615</f>
        <v>19955</v>
      </c>
      <c r="F334" s="93"/>
      <c r="G334" s="93">
        <f t="shared" si="15"/>
        <v>19955</v>
      </c>
    </row>
    <row r="335" spans="1:7" s="29" customFormat="1" ht="21" customHeight="1">
      <c r="A335" s="79"/>
      <c r="B335" s="94"/>
      <c r="C335" s="98">
        <v>4270</v>
      </c>
      <c r="D335" s="46" t="s">
        <v>81</v>
      </c>
      <c r="E335" s="93">
        <f>1000+1000</f>
        <v>2000</v>
      </c>
      <c r="F335" s="93"/>
      <c r="G335" s="93">
        <f t="shared" si="15"/>
        <v>2000</v>
      </c>
    </row>
    <row r="336" spans="1:7" s="29" customFormat="1" ht="21" customHeight="1">
      <c r="A336" s="79"/>
      <c r="B336" s="94"/>
      <c r="C336" s="98">
        <v>4280</v>
      </c>
      <c r="D336" s="46" t="s">
        <v>211</v>
      </c>
      <c r="E336" s="93">
        <f>150+850+680</f>
        <v>1680</v>
      </c>
      <c r="F336" s="93"/>
      <c r="G336" s="93">
        <f t="shared" si="15"/>
        <v>1680</v>
      </c>
    </row>
    <row r="337" spans="1:7" s="29" customFormat="1" ht="21" customHeight="1">
      <c r="A337" s="79"/>
      <c r="B337" s="94"/>
      <c r="C337" s="98">
        <v>4300</v>
      </c>
      <c r="D337" s="46" t="s">
        <v>82</v>
      </c>
      <c r="E337" s="93">
        <f>55660+35816+15620</f>
        <v>107096</v>
      </c>
      <c r="F337" s="93"/>
      <c r="G337" s="93">
        <f t="shared" si="15"/>
        <v>107096</v>
      </c>
    </row>
    <row r="338" spans="1:7" s="29" customFormat="1" ht="21" customHeight="1">
      <c r="A338" s="79"/>
      <c r="B338" s="94"/>
      <c r="C338" s="98">
        <v>4350</v>
      </c>
      <c r="D338" s="46" t="s">
        <v>218</v>
      </c>
      <c r="E338" s="93">
        <f>550+627</f>
        <v>1177</v>
      </c>
      <c r="F338" s="93"/>
      <c r="G338" s="93">
        <f t="shared" si="15"/>
        <v>1177</v>
      </c>
    </row>
    <row r="339" spans="1:7" s="29" customFormat="1" ht="27" customHeight="1">
      <c r="A339" s="79"/>
      <c r="B339" s="94"/>
      <c r="C339" s="98">
        <v>4360</v>
      </c>
      <c r="D339" s="46" t="s">
        <v>242</v>
      </c>
      <c r="E339" s="93">
        <v>732</v>
      </c>
      <c r="F339" s="93"/>
      <c r="G339" s="93">
        <f t="shared" si="15"/>
        <v>732</v>
      </c>
    </row>
    <row r="340" spans="1:7" s="29" customFormat="1" ht="30.75" customHeight="1">
      <c r="A340" s="79"/>
      <c r="B340" s="94"/>
      <c r="C340" s="98">
        <v>4370</v>
      </c>
      <c r="D340" s="46" t="s">
        <v>242</v>
      </c>
      <c r="E340" s="93">
        <f>2500+6000+480</f>
        <v>8980</v>
      </c>
      <c r="F340" s="93"/>
      <c r="G340" s="93">
        <f t="shared" si="15"/>
        <v>8980</v>
      </c>
    </row>
    <row r="341" spans="1:7" s="29" customFormat="1" ht="32.25" customHeight="1">
      <c r="A341" s="79"/>
      <c r="B341" s="94"/>
      <c r="C341" s="98">
        <v>4400</v>
      </c>
      <c r="D341" s="46" t="s">
        <v>290</v>
      </c>
      <c r="E341" s="93">
        <f>2110+58055+13697</f>
        <v>73862</v>
      </c>
      <c r="F341" s="93"/>
      <c r="G341" s="93">
        <f t="shared" si="15"/>
        <v>73862</v>
      </c>
    </row>
    <row r="342" spans="1:7" s="29" customFormat="1" ht="21" customHeight="1">
      <c r="A342" s="79"/>
      <c r="B342" s="94"/>
      <c r="C342" s="98">
        <v>4410</v>
      </c>
      <c r="D342" s="46" t="s">
        <v>93</v>
      </c>
      <c r="E342" s="93">
        <f>200+14518</f>
        <v>14718</v>
      </c>
      <c r="F342" s="93"/>
      <c r="G342" s="93">
        <f t="shared" si="15"/>
        <v>14718</v>
      </c>
    </row>
    <row r="343" spans="1:7" s="29" customFormat="1" ht="21" customHeight="1">
      <c r="A343" s="79"/>
      <c r="B343" s="94"/>
      <c r="C343" s="98">
        <v>4430</v>
      </c>
      <c r="D343" s="46" t="s">
        <v>97</v>
      </c>
      <c r="E343" s="93">
        <v>3470</v>
      </c>
      <c r="F343" s="93"/>
      <c r="G343" s="93">
        <f t="shared" si="15"/>
        <v>3470</v>
      </c>
    </row>
    <row r="344" spans="1:7" s="29" customFormat="1" ht="21" customHeight="1">
      <c r="A344" s="79"/>
      <c r="B344" s="94"/>
      <c r="C344" s="98">
        <v>4440</v>
      </c>
      <c r="D344" s="46" t="s">
        <v>91</v>
      </c>
      <c r="E344" s="93">
        <f>1133+15000+4398+4622</f>
        <v>25153</v>
      </c>
      <c r="F344" s="93"/>
      <c r="G344" s="93">
        <f t="shared" si="15"/>
        <v>25153</v>
      </c>
    </row>
    <row r="345" spans="1:7" s="29" customFormat="1" ht="21" customHeight="1">
      <c r="A345" s="79"/>
      <c r="B345" s="94"/>
      <c r="C345" s="98">
        <v>4610</v>
      </c>
      <c r="D345" s="46" t="s">
        <v>191</v>
      </c>
      <c r="E345" s="93">
        <f>1200+600</f>
        <v>1800</v>
      </c>
      <c r="F345" s="93"/>
      <c r="G345" s="93">
        <f t="shared" si="15"/>
        <v>1800</v>
      </c>
    </row>
    <row r="346" spans="1:7" s="29" customFormat="1" ht="30.75" customHeight="1">
      <c r="A346" s="79"/>
      <c r="B346" s="94"/>
      <c r="C346" s="98">
        <v>4700</v>
      </c>
      <c r="D346" s="46" t="s">
        <v>298</v>
      </c>
      <c r="E346" s="93">
        <f>2000+6000</f>
        <v>8000</v>
      </c>
      <c r="F346" s="93"/>
      <c r="G346" s="93">
        <f t="shared" si="15"/>
        <v>8000</v>
      </c>
    </row>
    <row r="347" spans="1:7" s="29" customFormat="1" ht="32.25" customHeight="1">
      <c r="A347" s="79"/>
      <c r="B347" s="94"/>
      <c r="C347" s="98">
        <v>4740</v>
      </c>
      <c r="D347" s="46" t="s">
        <v>354</v>
      </c>
      <c r="E347" s="93">
        <f>130+1600</f>
        <v>1730</v>
      </c>
      <c r="F347" s="93"/>
      <c r="G347" s="93">
        <f t="shared" si="15"/>
        <v>1730</v>
      </c>
    </row>
    <row r="348" spans="1:7" s="29" customFormat="1" ht="28.5" customHeight="1">
      <c r="A348" s="79"/>
      <c r="B348" s="94"/>
      <c r="C348" s="98">
        <v>4750</v>
      </c>
      <c r="D348" s="46" t="s">
        <v>307</v>
      </c>
      <c r="E348" s="93">
        <f>700+5760</f>
        <v>6460</v>
      </c>
      <c r="F348" s="93"/>
      <c r="G348" s="93">
        <f t="shared" si="15"/>
        <v>6460</v>
      </c>
    </row>
    <row r="349" spans="1:7" s="29" customFormat="1" ht="21" customHeight="1">
      <c r="A349" s="79"/>
      <c r="B349" s="94">
        <v>85228</v>
      </c>
      <c r="C349" s="98"/>
      <c r="D349" s="46" t="s">
        <v>124</v>
      </c>
      <c r="E349" s="93">
        <f>SUM(E350)</f>
        <v>150000</v>
      </c>
      <c r="F349" s="93">
        <f>SUM(F350)</f>
        <v>0</v>
      </c>
      <c r="G349" s="93">
        <f>SUM(G350)</f>
        <v>150000</v>
      </c>
    </row>
    <row r="350" spans="1:7" s="29" customFormat="1" ht="21" customHeight="1">
      <c r="A350" s="79"/>
      <c r="B350" s="94"/>
      <c r="C350" s="98">
        <v>4300</v>
      </c>
      <c r="D350" s="46" t="s">
        <v>82</v>
      </c>
      <c r="E350" s="93">
        <v>150000</v>
      </c>
      <c r="F350" s="93"/>
      <c r="G350" s="93">
        <f>SUM(E350:F350)</f>
        <v>150000</v>
      </c>
    </row>
    <row r="351" spans="1:7" s="29" customFormat="1" ht="21" customHeight="1">
      <c r="A351" s="79"/>
      <c r="B351" s="94" t="s">
        <v>166</v>
      </c>
      <c r="C351" s="98"/>
      <c r="D351" s="46" t="s">
        <v>6</v>
      </c>
      <c r="E351" s="93">
        <f>SUM(E352:E353)</f>
        <v>265520</v>
      </c>
      <c r="F351" s="93">
        <f>SUM(F352:F353)</f>
        <v>0</v>
      </c>
      <c r="G351" s="93">
        <f>SUM(G352:G353)</f>
        <v>265520</v>
      </c>
    </row>
    <row r="352" spans="1:8" s="29" customFormat="1" ht="21" customHeight="1">
      <c r="A352" s="79"/>
      <c r="B352" s="94"/>
      <c r="C352" s="98">
        <v>3110</v>
      </c>
      <c r="D352" s="46" t="s">
        <v>115</v>
      </c>
      <c r="E352" s="83">
        <f>250000+10000</f>
        <v>260000</v>
      </c>
      <c r="F352" s="83"/>
      <c r="G352" s="83">
        <f>SUM(E352:F352)</f>
        <v>260000</v>
      </c>
      <c r="H352" s="138"/>
    </row>
    <row r="353" spans="1:7" s="29" customFormat="1" ht="21" customHeight="1">
      <c r="A353" s="79"/>
      <c r="B353" s="94"/>
      <c r="C353" s="98">
        <v>4430</v>
      </c>
      <c r="D353" s="46" t="s">
        <v>97</v>
      </c>
      <c r="E353" s="93">
        <v>5520</v>
      </c>
      <c r="F353" s="93"/>
      <c r="G353" s="83">
        <f>SUM(E353:F353)</f>
        <v>5520</v>
      </c>
    </row>
    <row r="354" spans="1:7" s="217" customFormat="1" ht="21" customHeight="1">
      <c r="A354" s="213">
        <v>853</v>
      </c>
      <c r="B354" s="214"/>
      <c r="C354" s="215"/>
      <c r="D354" s="216" t="s">
        <v>344</v>
      </c>
      <c r="E354" s="299">
        <f aca="true" t="shared" si="16" ref="E354:G355">E355</f>
        <v>10704</v>
      </c>
      <c r="F354" s="299">
        <f t="shared" si="16"/>
        <v>0</v>
      </c>
      <c r="G354" s="299">
        <f t="shared" si="16"/>
        <v>10704</v>
      </c>
    </row>
    <row r="355" spans="1:7" s="29" customFormat="1" ht="21" customHeight="1">
      <c r="A355" s="79"/>
      <c r="B355" s="94">
        <v>85311</v>
      </c>
      <c r="C355" s="98"/>
      <c r="D355" s="46" t="s">
        <v>345</v>
      </c>
      <c r="E355" s="93">
        <f t="shared" si="16"/>
        <v>10704</v>
      </c>
      <c r="F355" s="93">
        <f t="shared" si="16"/>
        <v>0</v>
      </c>
      <c r="G355" s="93">
        <f t="shared" si="16"/>
        <v>10704</v>
      </c>
    </row>
    <row r="356" spans="1:19" s="29" customFormat="1" ht="40.5" customHeight="1">
      <c r="A356" s="79"/>
      <c r="B356" s="94"/>
      <c r="C356" s="98">
        <v>2710</v>
      </c>
      <c r="D356" s="46" t="s">
        <v>365</v>
      </c>
      <c r="E356" s="93">
        <v>10704</v>
      </c>
      <c r="F356" s="93"/>
      <c r="G356" s="93">
        <f>SUM(E356:F356)</f>
        <v>10704</v>
      </c>
      <c r="Q356" s="138"/>
      <c r="R356" s="138"/>
      <c r="S356" s="138"/>
    </row>
    <row r="357" spans="1:7" s="9" customFormat="1" ht="21" customHeight="1">
      <c r="A357" s="41" t="s">
        <v>125</v>
      </c>
      <c r="B357" s="42"/>
      <c r="C357" s="43"/>
      <c r="D357" s="44" t="s">
        <v>61</v>
      </c>
      <c r="E357" s="45">
        <f>SUM(E358,E369,E376,E374,E372)</f>
        <v>1079023</v>
      </c>
      <c r="F357" s="45">
        <f>SUM(F358,F369,F376,F374,F372)</f>
        <v>-100000</v>
      </c>
      <c r="G357" s="45">
        <f>SUM(G358,G369,G376,G374,G372)</f>
        <v>979023</v>
      </c>
    </row>
    <row r="358" spans="1:7" s="29" customFormat="1" ht="21" customHeight="1">
      <c r="A358" s="79"/>
      <c r="B358" s="94">
        <v>85401</v>
      </c>
      <c r="C358" s="98"/>
      <c r="D358" s="46" t="s">
        <v>62</v>
      </c>
      <c r="E358" s="93">
        <f>SUM(E359:E368)</f>
        <v>622434</v>
      </c>
      <c r="F358" s="93">
        <f>SUM(F359:F368)</f>
        <v>0</v>
      </c>
      <c r="G358" s="93">
        <f>SUM(G359:G368)</f>
        <v>622434</v>
      </c>
    </row>
    <row r="359" spans="1:8" s="29" customFormat="1" ht="21" customHeight="1">
      <c r="A359" s="79"/>
      <c r="B359" s="94"/>
      <c r="C359" s="98">
        <v>3020</v>
      </c>
      <c r="D359" s="46" t="s">
        <v>224</v>
      </c>
      <c r="E359" s="93">
        <v>10531</v>
      </c>
      <c r="F359" s="93"/>
      <c r="G359" s="93">
        <f>SUM(E359:F359)</f>
        <v>10531</v>
      </c>
      <c r="H359" s="138"/>
    </row>
    <row r="360" spans="1:11" s="29" customFormat="1" ht="21" customHeight="1">
      <c r="A360" s="79"/>
      <c r="B360" s="94"/>
      <c r="C360" s="98">
        <v>4010</v>
      </c>
      <c r="D360" s="46" t="s">
        <v>87</v>
      </c>
      <c r="E360" s="93">
        <v>448520</v>
      </c>
      <c r="F360" s="93"/>
      <c r="G360" s="93">
        <f aca="true" t="shared" si="17" ref="G360:G368">SUM(E360:F360)</f>
        <v>448520</v>
      </c>
      <c r="I360" s="138"/>
      <c r="J360" s="138"/>
      <c r="K360" s="138"/>
    </row>
    <row r="361" spans="1:11" s="29" customFormat="1" ht="21" customHeight="1">
      <c r="A361" s="79"/>
      <c r="B361" s="94"/>
      <c r="C361" s="98">
        <v>4040</v>
      </c>
      <c r="D361" s="46" t="s">
        <v>88</v>
      </c>
      <c r="E361" s="93">
        <v>31891</v>
      </c>
      <c r="F361" s="93"/>
      <c r="G361" s="93">
        <f t="shared" si="17"/>
        <v>31891</v>
      </c>
      <c r="I361" s="138"/>
      <c r="J361" s="138"/>
      <c r="K361" s="138"/>
    </row>
    <row r="362" spans="1:11" s="29" customFormat="1" ht="21" customHeight="1">
      <c r="A362" s="79"/>
      <c r="B362" s="94"/>
      <c r="C362" s="98">
        <v>4110</v>
      </c>
      <c r="D362" s="46" t="s">
        <v>89</v>
      </c>
      <c r="E362" s="93">
        <v>73489</v>
      </c>
      <c r="F362" s="93"/>
      <c r="G362" s="93">
        <f t="shared" si="17"/>
        <v>73489</v>
      </c>
      <c r="I362" s="138"/>
      <c r="J362" s="138"/>
      <c r="K362" s="138"/>
    </row>
    <row r="363" spans="1:11" s="29" customFormat="1" ht="21" customHeight="1">
      <c r="A363" s="79"/>
      <c r="B363" s="94"/>
      <c r="C363" s="98">
        <v>4120</v>
      </c>
      <c r="D363" s="46" t="s">
        <v>90</v>
      </c>
      <c r="E363" s="93">
        <v>11872</v>
      </c>
      <c r="F363" s="93"/>
      <c r="G363" s="93">
        <f t="shared" si="17"/>
        <v>11872</v>
      </c>
      <c r="I363" s="138"/>
      <c r="J363" s="138"/>
      <c r="K363" s="138"/>
    </row>
    <row r="364" spans="1:7" s="29" customFormat="1" ht="21" customHeight="1">
      <c r="A364" s="79"/>
      <c r="B364" s="94"/>
      <c r="C364" s="98">
        <v>4210</v>
      </c>
      <c r="D364" s="46" t="s">
        <v>95</v>
      </c>
      <c r="E364" s="93">
        <v>6500</v>
      </c>
      <c r="F364" s="93"/>
      <c r="G364" s="93">
        <f t="shared" si="17"/>
        <v>6500</v>
      </c>
    </row>
    <row r="365" spans="1:7" s="29" customFormat="1" ht="21" customHeight="1">
      <c r="A365" s="79"/>
      <c r="B365" s="94"/>
      <c r="C365" s="98">
        <v>4240</v>
      </c>
      <c r="D365" s="46" t="s">
        <v>126</v>
      </c>
      <c r="E365" s="93">
        <v>5640</v>
      </c>
      <c r="F365" s="93"/>
      <c r="G365" s="93">
        <f t="shared" si="17"/>
        <v>5640</v>
      </c>
    </row>
    <row r="366" spans="1:7" s="29" customFormat="1" ht="21" customHeight="1">
      <c r="A366" s="79"/>
      <c r="B366" s="94"/>
      <c r="C366" s="98">
        <v>4280</v>
      </c>
      <c r="D366" s="46" t="s">
        <v>211</v>
      </c>
      <c r="E366" s="93">
        <v>600</v>
      </c>
      <c r="F366" s="93"/>
      <c r="G366" s="93">
        <f t="shared" si="17"/>
        <v>600</v>
      </c>
    </row>
    <row r="367" spans="1:7" s="29" customFormat="1" ht="21" customHeight="1">
      <c r="A367" s="79"/>
      <c r="B367" s="94"/>
      <c r="C367" s="98">
        <v>4300</v>
      </c>
      <c r="D367" s="46" t="s">
        <v>82</v>
      </c>
      <c r="E367" s="93">
        <v>200</v>
      </c>
      <c r="F367" s="93"/>
      <c r="G367" s="93">
        <f t="shared" si="17"/>
        <v>200</v>
      </c>
    </row>
    <row r="368" spans="1:7" s="29" customFormat="1" ht="21" customHeight="1">
      <c r="A368" s="79"/>
      <c r="B368" s="94"/>
      <c r="C368" s="98">
        <v>4440</v>
      </c>
      <c r="D368" s="46" t="s">
        <v>91</v>
      </c>
      <c r="E368" s="93">
        <v>33191</v>
      </c>
      <c r="F368" s="93"/>
      <c r="G368" s="93">
        <f t="shared" si="17"/>
        <v>33191</v>
      </c>
    </row>
    <row r="369" spans="1:7" s="29" customFormat="1" ht="30" customHeight="1">
      <c r="A369" s="79"/>
      <c r="B369" s="94" t="s">
        <v>129</v>
      </c>
      <c r="C369" s="98"/>
      <c r="D369" s="46" t="s">
        <v>167</v>
      </c>
      <c r="E369" s="93">
        <f>SUM(E370:E371)</f>
        <v>102899</v>
      </c>
      <c r="F369" s="93">
        <f>SUM(F370:F371)</f>
        <v>-100000</v>
      </c>
      <c r="G369" s="93">
        <f>SUM(G370:G371)</f>
        <v>2899</v>
      </c>
    </row>
    <row r="370" spans="1:7" s="29" customFormat="1" ht="21" customHeight="1">
      <c r="A370" s="79"/>
      <c r="B370" s="94"/>
      <c r="C370" s="98">
        <v>4210</v>
      </c>
      <c r="D370" s="46" t="s">
        <v>95</v>
      </c>
      <c r="E370" s="93">
        <f>1968+931</f>
        <v>2899</v>
      </c>
      <c r="F370" s="93"/>
      <c r="G370" s="93">
        <f>SUM(E370:F370)</f>
        <v>2899</v>
      </c>
    </row>
    <row r="371" spans="1:16" s="29" customFormat="1" ht="21" customHeight="1" hidden="1">
      <c r="A371" s="98"/>
      <c r="B371" s="99"/>
      <c r="C371" s="98">
        <v>6050</v>
      </c>
      <c r="D371" s="46" t="s">
        <v>76</v>
      </c>
      <c r="E371" s="93">
        <v>100000</v>
      </c>
      <c r="F371" s="93">
        <v>-100000</v>
      </c>
      <c r="G371" s="93">
        <f>SUM(E371:F371)</f>
        <v>0</v>
      </c>
      <c r="N371" s="138"/>
      <c r="O371" s="138"/>
      <c r="P371" s="138"/>
    </row>
    <row r="372" spans="1:7" s="29" customFormat="1" ht="21" customHeight="1">
      <c r="A372" s="98"/>
      <c r="B372" s="99">
        <v>85415</v>
      </c>
      <c r="C372" s="98"/>
      <c r="D372" s="46" t="s">
        <v>246</v>
      </c>
      <c r="E372" s="93">
        <f>SUM(E373)</f>
        <v>113000</v>
      </c>
      <c r="F372" s="93">
        <f>SUM(F373)</f>
        <v>0</v>
      </c>
      <c r="G372" s="93">
        <f>SUM(G373)</f>
        <v>113000</v>
      </c>
    </row>
    <row r="373" spans="1:8" s="29" customFormat="1" ht="21" customHeight="1">
      <c r="A373" s="98"/>
      <c r="B373" s="99"/>
      <c r="C373" s="98">
        <v>3240</v>
      </c>
      <c r="D373" s="46" t="s">
        <v>247</v>
      </c>
      <c r="E373" s="93">
        <v>113000</v>
      </c>
      <c r="F373" s="93"/>
      <c r="G373" s="93">
        <f>SUM(E373:F373)</f>
        <v>113000</v>
      </c>
      <c r="H373" s="138"/>
    </row>
    <row r="374" spans="1:7" s="29" customFormat="1" ht="21" customHeight="1">
      <c r="A374" s="98"/>
      <c r="B374" s="99">
        <v>85446</v>
      </c>
      <c r="C374" s="98"/>
      <c r="D374" s="46" t="s">
        <v>156</v>
      </c>
      <c r="E374" s="93">
        <f>SUM(E375:E375)</f>
        <v>4445</v>
      </c>
      <c r="F374" s="93">
        <f>SUM(F375:F375)</f>
        <v>0</v>
      </c>
      <c r="G374" s="93">
        <f>SUM(G375:G375)</f>
        <v>4445</v>
      </c>
    </row>
    <row r="375" spans="1:7" s="29" customFormat="1" ht="21" customHeight="1">
      <c r="A375" s="98"/>
      <c r="B375" s="99"/>
      <c r="C375" s="98">
        <v>4300</v>
      </c>
      <c r="D375" s="46" t="s">
        <v>82</v>
      </c>
      <c r="E375" s="93">
        <v>4445</v>
      </c>
      <c r="F375" s="93"/>
      <c r="G375" s="93">
        <f>SUM(E375:F375)</f>
        <v>4445</v>
      </c>
    </row>
    <row r="376" spans="1:7" s="29" customFormat="1" ht="21" customHeight="1">
      <c r="A376" s="98"/>
      <c r="B376" s="99">
        <v>85495</v>
      </c>
      <c r="C376" s="98"/>
      <c r="D376" s="46" t="s">
        <v>6</v>
      </c>
      <c r="E376" s="93">
        <f>SUM(E377:E377)</f>
        <v>236245</v>
      </c>
      <c r="F376" s="93">
        <f>SUM(F377:F377)</f>
        <v>0</v>
      </c>
      <c r="G376" s="93">
        <f>SUM(G377:G377)</f>
        <v>236245</v>
      </c>
    </row>
    <row r="377" spans="1:20" s="29" customFormat="1" ht="43.5" customHeight="1">
      <c r="A377" s="98"/>
      <c r="B377" s="99"/>
      <c r="C377" s="98">
        <v>2320</v>
      </c>
      <c r="D377" s="46" t="s">
        <v>159</v>
      </c>
      <c r="E377" s="93">
        <f>199150+37095</f>
        <v>236245</v>
      </c>
      <c r="F377" s="93"/>
      <c r="G377" s="93">
        <f>SUM(E377:F377)</f>
        <v>236245</v>
      </c>
      <c r="Q377" s="138"/>
      <c r="R377" s="138"/>
      <c r="S377" s="138"/>
      <c r="T377" s="138"/>
    </row>
    <row r="378" spans="1:7" s="9" customFormat="1" ht="21" customHeight="1">
      <c r="A378" s="41" t="s">
        <v>130</v>
      </c>
      <c r="B378" s="42"/>
      <c r="C378" s="43"/>
      <c r="D378" s="44" t="s">
        <v>63</v>
      </c>
      <c r="E378" s="45">
        <f>SUM(E379,E383,E385,E389,E391,E396,)</f>
        <v>2762212</v>
      </c>
      <c r="F378" s="45">
        <f>SUM(F379,F383,F385,F389,F391,F396,)</f>
        <v>535000</v>
      </c>
      <c r="G378" s="45">
        <f>SUM(G379,G383,G385,G389,G391,G396,)</f>
        <v>3297212</v>
      </c>
    </row>
    <row r="379" spans="1:7" s="29" customFormat="1" ht="21" customHeight="1">
      <c r="A379" s="79"/>
      <c r="B379" s="94" t="s">
        <v>131</v>
      </c>
      <c r="C379" s="98"/>
      <c r="D379" s="46" t="s">
        <v>64</v>
      </c>
      <c r="E379" s="93">
        <f>SUM(E380:E382)</f>
        <v>300000</v>
      </c>
      <c r="F379" s="93">
        <f>SUM(F380:F382)</f>
        <v>720000</v>
      </c>
      <c r="G379" s="93">
        <f>SUM(G380:G382)</f>
        <v>1020000</v>
      </c>
    </row>
    <row r="380" spans="1:7" s="29" customFormat="1" ht="21" customHeight="1">
      <c r="A380" s="79"/>
      <c r="B380" s="94"/>
      <c r="C380" s="79">
        <v>4300</v>
      </c>
      <c r="D380" s="46" t="s">
        <v>82</v>
      </c>
      <c r="E380" s="93">
        <v>160000</v>
      </c>
      <c r="F380" s="93"/>
      <c r="G380" s="93">
        <f>SUM(E380:F380)</f>
        <v>160000</v>
      </c>
    </row>
    <row r="381" spans="1:16" s="29" customFormat="1" ht="51" customHeight="1">
      <c r="A381" s="79"/>
      <c r="B381" s="94"/>
      <c r="C381" s="79">
        <v>6010</v>
      </c>
      <c r="D381" s="16" t="s">
        <v>348</v>
      </c>
      <c r="E381" s="93">
        <v>140000</v>
      </c>
      <c r="F381" s="93"/>
      <c r="G381" s="93">
        <f>SUM(E381:F381)</f>
        <v>140000</v>
      </c>
      <c r="N381" s="138"/>
      <c r="O381" s="138"/>
      <c r="P381" s="138"/>
    </row>
    <row r="382" spans="1:16" s="29" customFormat="1" ht="21.75" customHeight="1">
      <c r="A382" s="79"/>
      <c r="B382" s="94"/>
      <c r="C382" s="79">
        <v>6050</v>
      </c>
      <c r="D382" s="46" t="s">
        <v>76</v>
      </c>
      <c r="E382" s="93">
        <v>0</v>
      </c>
      <c r="F382" s="93">
        <f>400000+65000+5000+250000</f>
        <v>720000</v>
      </c>
      <c r="G382" s="93">
        <f>SUM(E382:F382)</f>
        <v>720000</v>
      </c>
      <c r="N382" s="138"/>
      <c r="O382" s="138"/>
      <c r="P382" s="138"/>
    </row>
    <row r="383" spans="1:7" s="29" customFormat="1" ht="21" customHeight="1">
      <c r="A383" s="79"/>
      <c r="B383" s="94" t="s">
        <v>132</v>
      </c>
      <c r="C383" s="98"/>
      <c r="D383" s="46" t="s">
        <v>133</v>
      </c>
      <c r="E383" s="93">
        <f>SUM(E384:E384)</f>
        <v>787540</v>
      </c>
      <c r="F383" s="93">
        <f>SUM(F384:F384)</f>
        <v>0</v>
      </c>
      <c r="G383" s="93">
        <f>SUM(G384:G384)</f>
        <v>787540</v>
      </c>
    </row>
    <row r="384" spans="1:7" s="29" customFormat="1" ht="21" customHeight="1">
      <c r="A384" s="79"/>
      <c r="B384" s="94"/>
      <c r="C384" s="98">
        <v>4300</v>
      </c>
      <c r="D384" s="102" t="s">
        <v>82</v>
      </c>
      <c r="E384" s="93">
        <f>785470+900+1170</f>
        <v>787540</v>
      </c>
      <c r="F384" s="93"/>
      <c r="G384" s="93">
        <f>SUM(E384:F384)</f>
        <v>787540</v>
      </c>
    </row>
    <row r="385" spans="1:7" s="29" customFormat="1" ht="21" customHeight="1">
      <c r="A385" s="79"/>
      <c r="B385" s="94" t="s">
        <v>134</v>
      </c>
      <c r="C385" s="98"/>
      <c r="D385" s="46" t="s">
        <v>161</v>
      </c>
      <c r="E385" s="93">
        <f>SUM(E386:E388)</f>
        <v>284872</v>
      </c>
      <c r="F385" s="93">
        <f>SUM(F386:F388)</f>
        <v>0</v>
      </c>
      <c r="G385" s="93">
        <f>SUM(G386:G388)</f>
        <v>284872</v>
      </c>
    </row>
    <row r="386" spans="1:7" s="29" customFormat="1" ht="21" customHeight="1">
      <c r="A386" s="79"/>
      <c r="B386" s="94"/>
      <c r="C386" s="79">
        <v>4210</v>
      </c>
      <c r="D386" s="46" t="s">
        <v>95</v>
      </c>
      <c r="E386" s="93">
        <f>18000+6000+12000+15756+17714</f>
        <v>69470</v>
      </c>
      <c r="F386" s="93"/>
      <c r="G386" s="93">
        <f>SUM(E386:F386)</f>
        <v>69470</v>
      </c>
    </row>
    <row r="387" spans="1:7" s="29" customFormat="1" ht="21" customHeight="1">
      <c r="A387" s="79"/>
      <c r="B387" s="94"/>
      <c r="C387" s="79">
        <v>4270</v>
      </c>
      <c r="D387" s="46" t="s">
        <v>81</v>
      </c>
      <c r="E387" s="93">
        <v>5000</v>
      </c>
      <c r="F387" s="93"/>
      <c r="G387" s="93">
        <f>SUM(E387:F387)</f>
        <v>5000</v>
      </c>
    </row>
    <row r="388" spans="1:7" s="29" customFormat="1" ht="21" customHeight="1">
      <c r="A388" s="79"/>
      <c r="B388" s="94"/>
      <c r="C388" s="79">
        <v>4300</v>
      </c>
      <c r="D388" s="46" t="s">
        <v>82</v>
      </c>
      <c r="E388" s="93">
        <f>130802+32000+1000+20000+20000+6400+200</f>
        <v>210402</v>
      </c>
      <c r="F388" s="93"/>
      <c r="G388" s="93">
        <f>SUM(E388:F388)</f>
        <v>210402</v>
      </c>
    </row>
    <row r="389" spans="1:7" s="29" customFormat="1" ht="21" customHeight="1">
      <c r="A389" s="79"/>
      <c r="B389" s="94" t="s">
        <v>135</v>
      </c>
      <c r="C389" s="98"/>
      <c r="D389" s="46" t="s">
        <v>136</v>
      </c>
      <c r="E389" s="93">
        <f>SUM(E390)</f>
        <v>134000</v>
      </c>
      <c r="F389" s="93">
        <f>SUM(F390)</f>
        <v>0</v>
      </c>
      <c r="G389" s="93">
        <f>SUM(G390)</f>
        <v>134000</v>
      </c>
    </row>
    <row r="390" spans="1:7" s="29" customFormat="1" ht="21" customHeight="1">
      <c r="A390" s="79"/>
      <c r="B390" s="94"/>
      <c r="C390" s="98">
        <v>4300</v>
      </c>
      <c r="D390" s="102" t="s">
        <v>82</v>
      </c>
      <c r="E390" s="93">
        <v>134000</v>
      </c>
      <c r="F390" s="93"/>
      <c r="G390" s="93">
        <f>SUM(E390:F390)</f>
        <v>134000</v>
      </c>
    </row>
    <row r="391" spans="1:7" s="29" customFormat="1" ht="21" customHeight="1">
      <c r="A391" s="79"/>
      <c r="B391" s="94" t="s">
        <v>137</v>
      </c>
      <c r="C391" s="98"/>
      <c r="D391" s="46" t="s">
        <v>138</v>
      </c>
      <c r="E391" s="93">
        <f>SUM(E392:E395)</f>
        <v>1200000</v>
      </c>
      <c r="F391" s="93">
        <f>SUM(F392:F395)</f>
        <v>-185000</v>
      </c>
      <c r="G391" s="93">
        <f>SUM(G392:G395)</f>
        <v>1015000</v>
      </c>
    </row>
    <row r="392" spans="1:7" s="29" customFormat="1" ht="21" customHeight="1">
      <c r="A392" s="79"/>
      <c r="B392" s="99"/>
      <c r="C392" s="79">
        <v>4260</v>
      </c>
      <c r="D392" s="46" t="s">
        <v>98</v>
      </c>
      <c r="E392" s="93">
        <v>800000</v>
      </c>
      <c r="F392" s="93">
        <v>-100000</v>
      </c>
      <c r="G392" s="93">
        <f>SUM(E392:F392)</f>
        <v>700000</v>
      </c>
    </row>
    <row r="393" spans="1:7" s="29" customFormat="1" ht="21" customHeight="1">
      <c r="A393" s="79"/>
      <c r="B393" s="99"/>
      <c r="C393" s="79">
        <v>4270</v>
      </c>
      <c r="D393" s="46" t="s">
        <v>81</v>
      </c>
      <c r="E393" s="93">
        <v>350000</v>
      </c>
      <c r="F393" s="93">
        <v>-100000</v>
      </c>
      <c r="G393" s="93">
        <f>SUM(E393:F393)</f>
        <v>250000</v>
      </c>
    </row>
    <row r="394" spans="1:7" s="29" customFormat="1" ht="21" customHeight="1">
      <c r="A394" s="79"/>
      <c r="B394" s="99"/>
      <c r="C394" s="79">
        <v>4300</v>
      </c>
      <c r="D394" s="46" t="s">
        <v>82</v>
      </c>
      <c r="E394" s="93">
        <v>50000</v>
      </c>
      <c r="F394" s="93"/>
      <c r="G394" s="93">
        <f>SUM(E394:F394)</f>
        <v>50000</v>
      </c>
    </row>
    <row r="395" spans="1:16" s="29" customFormat="1" ht="21" customHeight="1">
      <c r="A395" s="79"/>
      <c r="B395" s="99"/>
      <c r="C395" s="79">
        <v>6050</v>
      </c>
      <c r="D395" s="46" t="s">
        <v>76</v>
      </c>
      <c r="E395" s="93">
        <v>0</v>
      </c>
      <c r="F395" s="93">
        <f>5000+10000</f>
        <v>15000</v>
      </c>
      <c r="G395" s="93">
        <f>SUM(E395:F395)</f>
        <v>15000</v>
      </c>
      <c r="N395" s="138"/>
      <c r="O395" s="138"/>
      <c r="P395" s="138"/>
    </row>
    <row r="396" spans="1:7" s="29" customFormat="1" ht="21" customHeight="1">
      <c r="A396" s="79"/>
      <c r="B396" s="94" t="s">
        <v>139</v>
      </c>
      <c r="C396" s="98"/>
      <c r="D396" s="46" t="s">
        <v>6</v>
      </c>
      <c r="E396" s="93">
        <f>SUM(E397:E400)</f>
        <v>55800</v>
      </c>
      <c r="F396" s="93">
        <f>SUM(F397:F400)</f>
        <v>0</v>
      </c>
      <c r="G396" s="93">
        <f>SUM(G397:G400)</f>
        <v>55800</v>
      </c>
    </row>
    <row r="397" spans="1:7" s="29" customFormat="1" ht="21" customHeight="1">
      <c r="A397" s="79"/>
      <c r="B397" s="94"/>
      <c r="C397" s="98">
        <v>4210</v>
      </c>
      <c r="D397" s="46" t="s">
        <v>95</v>
      </c>
      <c r="E397" s="93">
        <v>11800</v>
      </c>
      <c r="F397" s="93"/>
      <c r="G397" s="93">
        <f>SUM(E397:F397)</f>
        <v>11800</v>
      </c>
    </row>
    <row r="398" spans="1:7" s="29" customFormat="1" ht="21" customHeight="1">
      <c r="A398" s="79"/>
      <c r="B398" s="99"/>
      <c r="C398" s="79">
        <v>4260</v>
      </c>
      <c r="D398" s="46" t="s">
        <v>98</v>
      </c>
      <c r="E398" s="93">
        <v>7000</v>
      </c>
      <c r="F398" s="93"/>
      <c r="G398" s="93">
        <f>SUM(E398:F398)</f>
        <v>7000</v>
      </c>
    </row>
    <row r="399" spans="1:7" s="29" customFormat="1" ht="21" customHeight="1">
      <c r="A399" s="79"/>
      <c r="B399" s="99"/>
      <c r="C399" s="98">
        <v>4300</v>
      </c>
      <c r="D399" s="102" t="s">
        <v>82</v>
      </c>
      <c r="E399" s="93">
        <f>26000+9000</f>
        <v>35000</v>
      </c>
      <c r="F399" s="93"/>
      <c r="G399" s="93">
        <f>SUM(E399:F399)</f>
        <v>35000</v>
      </c>
    </row>
    <row r="400" spans="1:7" s="29" customFormat="1" ht="30" customHeight="1">
      <c r="A400" s="79"/>
      <c r="B400" s="99"/>
      <c r="C400" s="98">
        <v>4390</v>
      </c>
      <c r="D400" s="46" t="s">
        <v>309</v>
      </c>
      <c r="E400" s="93">
        <v>2000</v>
      </c>
      <c r="F400" s="93"/>
      <c r="G400" s="93">
        <f>SUM(E400:F400)</f>
        <v>2000</v>
      </c>
    </row>
    <row r="401" spans="1:7" s="8" customFormat="1" ht="25.5" customHeight="1">
      <c r="A401" s="41" t="s">
        <v>65</v>
      </c>
      <c r="B401" s="42"/>
      <c r="C401" s="43"/>
      <c r="D401" s="44" t="s">
        <v>140</v>
      </c>
      <c r="E401" s="45">
        <f>SUM(E402,E409,E411,E413,E415)</f>
        <v>2570955</v>
      </c>
      <c r="F401" s="45">
        <f>SUM(F402,F409,F411,F413,F415)</f>
        <v>170500</v>
      </c>
      <c r="G401" s="45">
        <f>SUM(G402,G409,G411,G413,G415)</f>
        <v>2741455</v>
      </c>
    </row>
    <row r="402" spans="1:7" s="29" customFormat="1" ht="21.75" customHeight="1">
      <c r="A402" s="79"/>
      <c r="B402" s="94" t="s">
        <v>141</v>
      </c>
      <c r="C402" s="98"/>
      <c r="D402" s="46" t="s">
        <v>160</v>
      </c>
      <c r="E402" s="93">
        <f>SUM(E403:E408)</f>
        <v>713023</v>
      </c>
      <c r="F402" s="93">
        <f>SUM(F403:F408)</f>
        <v>170500</v>
      </c>
      <c r="G402" s="93">
        <f>SUM(G403:G408)</f>
        <v>883523</v>
      </c>
    </row>
    <row r="403" spans="1:19" s="29" customFormat="1" ht="27" customHeight="1">
      <c r="A403" s="79"/>
      <c r="B403" s="94"/>
      <c r="C403" s="98">
        <v>2480</v>
      </c>
      <c r="D403" s="46" t="s">
        <v>200</v>
      </c>
      <c r="E403" s="93">
        <v>632800</v>
      </c>
      <c r="F403" s="93">
        <f>-62000-11000+6000+187500</f>
        <v>120500</v>
      </c>
      <c r="G403" s="93">
        <f aca="true" t="shared" si="18" ref="G403:G408">SUM(E403:F403)</f>
        <v>753300</v>
      </c>
      <c r="Q403" s="138"/>
      <c r="R403" s="138"/>
      <c r="S403" s="138"/>
    </row>
    <row r="404" spans="1:7" s="29" customFormat="1" ht="21" customHeight="1">
      <c r="A404" s="79"/>
      <c r="B404" s="94"/>
      <c r="C404" s="79">
        <v>4210</v>
      </c>
      <c r="D404" s="46" t="s">
        <v>95</v>
      </c>
      <c r="E404" s="93">
        <f>26426+6061</f>
        <v>32487</v>
      </c>
      <c r="F404" s="93"/>
      <c r="G404" s="93">
        <f t="shared" si="18"/>
        <v>32487</v>
      </c>
    </row>
    <row r="405" spans="1:7" s="29" customFormat="1" ht="21" customHeight="1">
      <c r="A405" s="79"/>
      <c r="B405" s="94"/>
      <c r="C405" s="79">
        <v>4260</v>
      </c>
      <c r="D405" s="46" t="s">
        <v>98</v>
      </c>
      <c r="E405" s="93">
        <v>15466</v>
      </c>
      <c r="F405" s="93"/>
      <c r="G405" s="93">
        <f t="shared" si="18"/>
        <v>15466</v>
      </c>
    </row>
    <row r="406" spans="1:7" s="29" customFormat="1" ht="21" customHeight="1">
      <c r="A406" s="79"/>
      <c r="B406" s="94"/>
      <c r="C406" s="79">
        <v>4270</v>
      </c>
      <c r="D406" s="46" t="s">
        <v>81</v>
      </c>
      <c r="E406" s="93">
        <f>29250+1100</f>
        <v>30350</v>
      </c>
      <c r="F406" s="93">
        <f>20000+30000</f>
        <v>50000</v>
      </c>
      <c r="G406" s="93">
        <f t="shared" si="18"/>
        <v>80350</v>
      </c>
    </row>
    <row r="407" spans="1:7" s="29" customFormat="1" ht="21" customHeight="1">
      <c r="A407" s="79"/>
      <c r="B407" s="94"/>
      <c r="C407" s="98">
        <v>4300</v>
      </c>
      <c r="D407" s="102" t="s">
        <v>82</v>
      </c>
      <c r="E407" s="93">
        <v>230</v>
      </c>
      <c r="F407" s="93"/>
      <c r="G407" s="93">
        <f t="shared" si="18"/>
        <v>230</v>
      </c>
    </row>
    <row r="408" spans="1:7" s="29" customFormat="1" ht="21" customHeight="1">
      <c r="A408" s="79"/>
      <c r="B408" s="94"/>
      <c r="C408" s="98">
        <v>4430</v>
      </c>
      <c r="D408" s="102" t="s">
        <v>97</v>
      </c>
      <c r="E408" s="93">
        <v>1690</v>
      </c>
      <c r="F408" s="93"/>
      <c r="G408" s="93">
        <f t="shared" si="18"/>
        <v>1690</v>
      </c>
    </row>
    <row r="409" spans="1:7" s="29" customFormat="1" ht="21" customHeight="1">
      <c r="A409" s="79"/>
      <c r="B409" s="94" t="s">
        <v>66</v>
      </c>
      <c r="C409" s="98"/>
      <c r="D409" s="46" t="s">
        <v>67</v>
      </c>
      <c r="E409" s="93">
        <f>E410</f>
        <v>1180352</v>
      </c>
      <c r="F409" s="93">
        <f>F410</f>
        <v>0</v>
      </c>
      <c r="G409" s="93">
        <f>G410</f>
        <v>1180352</v>
      </c>
    </row>
    <row r="410" spans="1:19" s="29" customFormat="1" ht="22.5">
      <c r="A410" s="79"/>
      <c r="B410" s="94"/>
      <c r="C410" s="98">
        <v>2480</v>
      </c>
      <c r="D410" s="46" t="s">
        <v>200</v>
      </c>
      <c r="E410" s="93">
        <f>60000+1120352</f>
        <v>1180352</v>
      </c>
      <c r="F410" s="93"/>
      <c r="G410" s="93">
        <f>SUM(E410:F410)</f>
        <v>1180352</v>
      </c>
      <c r="Q410" s="138"/>
      <c r="R410" s="138"/>
      <c r="S410" s="138"/>
    </row>
    <row r="411" spans="1:7" s="29" customFormat="1" ht="21" customHeight="1">
      <c r="A411" s="79"/>
      <c r="B411" s="94" t="s">
        <v>143</v>
      </c>
      <c r="C411" s="98"/>
      <c r="D411" s="46" t="s">
        <v>144</v>
      </c>
      <c r="E411" s="93">
        <f>E412</f>
        <v>650000</v>
      </c>
      <c r="F411" s="93">
        <f>F412</f>
        <v>0</v>
      </c>
      <c r="G411" s="93">
        <f>G412</f>
        <v>650000</v>
      </c>
    </row>
    <row r="412" spans="1:19" s="29" customFormat="1" ht="22.5">
      <c r="A412" s="79"/>
      <c r="B412" s="94"/>
      <c r="C412" s="98">
        <v>2480</v>
      </c>
      <c r="D412" s="46" t="s">
        <v>200</v>
      </c>
      <c r="E412" s="93">
        <v>650000</v>
      </c>
      <c r="F412" s="93"/>
      <c r="G412" s="93">
        <f>SUM(E412:F412)</f>
        <v>650000</v>
      </c>
      <c r="Q412" s="138"/>
      <c r="R412" s="138"/>
      <c r="S412" s="138"/>
    </row>
    <row r="413" spans="1:7" s="29" customFormat="1" ht="21" customHeight="1">
      <c r="A413" s="79"/>
      <c r="B413" s="94">
        <v>92120</v>
      </c>
      <c r="C413" s="98"/>
      <c r="D413" s="46" t="s">
        <v>346</v>
      </c>
      <c r="E413" s="93">
        <f>SUM(E414)</f>
        <v>7500</v>
      </c>
      <c r="F413" s="93">
        <f>SUM(F414)</f>
        <v>0</v>
      </c>
      <c r="G413" s="93">
        <f>SUM(G414)</f>
        <v>7500</v>
      </c>
    </row>
    <row r="414" spans="1:19" s="29" customFormat="1" ht="54.75" customHeight="1">
      <c r="A414" s="79"/>
      <c r="B414" s="94"/>
      <c r="C414" s="98">
        <v>2720</v>
      </c>
      <c r="D414" s="46" t="s">
        <v>347</v>
      </c>
      <c r="E414" s="93">
        <v>7500</v>
      </c>
      <c r="F414" s="93"/>
      <c r="G414" s="93">
        <f>SUM(E414:F414)</f>
        <v>7500</v>
      </c>
      <c r="Q414" s="138"/>
      <c r="R414" s="138"/>
      <c r="S414" s="138"/>
    </row>
    <row r="415" spans="1:7" s="29" customFormat="1" ht="21" customHeight="1">
      <c r="A415" s="79"/>
      <c r="B415" s="94">
        <v>92195</v>
      </c>
      <c r="C415" s="98"/>
      <c r="D415" s="46" t="s">
        <v>6</v>
      </c>
      <c r="E415" s="93">
        <f>SUM(E416:E417)</f>
        <v>20080</v>
      </c>
      <c r="F415" s="93">
        <f>SUM(F416:F417)</f>
        <v>0</v>
      </c>
      <c r="G415" s="93">
        <f>SUM(G416:G417)</f>
        <v>20080</v>
      </c>
    </row>
    <row r="416" spans="1:7" s="29" customFormat="1" ht="21" customHeight="1">
      <c r="A416" s="79"/>
      <c r="B416" s="94"/>
      <c r="C416" s="98">
        <v>4210</v>
      </c>
      <c r="D416" s="46" t="s">
        <v>95</v>
      </c>
      <c r="E416" s="93">
        <v>80</v>
      </c>
      <c r="F416" s="93"/>
      <c r="G416" s="93">
        <f>SUM(E416:F416)</f>
        <v>80</v>
      </c>
    </row>
    <row r="417" spans="1:7" s="29" customFormat="1" ht="21" customHeight="1">
      <c r="A417" s="79"/>
      <c r="B417" s="94"/>
      <c r="C417" s="98">
        <v>4300</v>
      </c>
      <c r="D417" s="102" t="s">
        <v>82</v>
      </c>
      <c r="E417" s="93">
        <v>20000</v>
      </c>
      <c r="F417" s="93"/>
      <c r="G417" s="93">
        <f>SUM(E417:F417)</f>
        <v>20000</v>
      </c>
    </row>
    <row r="418" spans="1:7" s="8" customFormat="1" ht="21" customHeight="1">
      <c r="A418" s="41" t="s">
        <v>145</v>
      </c>
      <c r="B418" s="42"/>
      <c r="C418" s="43"/>
      <c r="D418" s="44" t="s">
        <v>68</v>
      </c>
      <c r="E418" s="45">
        <f>SUM(E425,E421,E419,E433)</f>
        <v>2621888</v>
      </c>
      <c r="F418" s="45">
        <f>SUM(F425,F421,F419,F433)</f>
        <v>-744000</v>
      </c>
      <c r="G418" s="45">
        <f>SUM(G425,G421,G419,G433)</f>
        <v>1877888</v>
      </c>
    </row>
    <row r="419" spans="1:7" s="29" customFormat="1" ht="21" customHeight="1">
      <c r="A419" s="79"/>
      <c r="B419" s="99">
        <v>92601</v>
      </c>
      <c r="C419" s="98"/>
      <c r="D419" s="46" t="s">
        <v>297</v>
      </c>
      <c r="E419" s="93">
        <f>SUM(E420)</f>
        <v>1956380</v>
      </c>
      <c r="F419" s="93">
        <f>SUM(F420)</f>
        <v>-500000</v>
      </c>
      <c r="G419" s="93">
        <f>SUM(G420)</f>
        <v>1456380</v>
      </c>
    </row>
    <row r="420" spans="1:16" s="29" customFormat="1" ht="21" customHeight="1">
      <c r="A420" s="79"/>
      <c r="B420" s="99"/>
      <c r="C420" s="98">
        <v>6050</v>
      </c>
      <c r="D420" s="46" t="s">
        <v>81</v>
      </c>
      <c r="E420" s="93">
        <f>70000+1886380</f>
        <v>1956380</v>
      </c>
      <c r="F420" s="93">
        <f>-600000+100000</f>
        <v>-500000</v>
      </c>
      <c r="G420" s="93">
        <f>SUM(E420:F420)</f>
        <v>1456380</v>
      </c>
      <c r="N420" s="138"/>
      <c r="O420" s="138"/>
      <c r="P420" s="138"/>
    </row>
    <row r="421" spans="1:7" s="29" customFormat="1" ht="21.75" customHeight="1">
      <c r="A421" s="79"/>
      <c r="B421" s="99">
        <v>92604</v>
      </c>
      <c r="C421" s="98"/>
      <c r="D421" s="46" t="s">
        <v>210</v>
      </c>
      <c r="E421" s="93">
        <f>SUM(E422:E424)</f>
        <v>530000</v>
      </c>
      <c r="F421" s="93">
        <f>SUM(F422:F424)</f>
        <v>-250000</v>
      </c>
      <c r="G421" s="93">
        <f>SUM(G422:G424)</f>
        <v>280000</v>
      </c>
    </row>
    <row r="422" spans="1:7" s="29" customFormat="1" ht="21" customHeight="1">
      <c r="A422" s="79"/>
      <c r="B422" s="99"/>
      <c r="C422" s="98">
        <v>4270</v>
      </c>
      <c r="D422" s="46" t="s">
        <v>81</v>
      </c>
      <c r="E422" s="93">
        <v>10000</v>
      </c>
      <c r="F422" s="93"/>
      <c r="G422" s="93">
        <f>SUM(E422:F422)</f>
        <v>10000</v>
      </c>
    </row>
    <row r="423" spans="1:7" s="29" customFormat="1" ht="21" customHeight="1">
      <c r="A423" s="79"/>
      <c r="B423" s="99"/>
      <c r="C423" s="98">
        <v>4300</v>
      </c>
      <c r="D423" s="102" t="s">
        <v>82</v>
      </c>
      <c r="E423" s="93">
        <f>90000+30000</f>
        <v>120000</v>
      </c>
      <c r="F423" s="93"/>
      <c r="G423" s="93">
        <f>SUM(E423:F423)</f>
        <v>120000</v>
      </c>
    </row>
    <row r="424" spans="1:16" s="29" customFormat="1" ht="54" customHeight="1">
      <c r="A424" s="79"/>
      <c r="B424" s="99"/>
      <c r="C424" s="98">
        <v>6010</v>
      </c>
      <c r="D424" s="16" t="s">
        <v>348</v>
      </c>
      <c r="E424" s="93">
        <v>400000</v>
      </c>
      <c r="F424" s="93">
        <v>-250000</v>
      </c>
      <c r="G424" s="93">
        <f>SUM(E424:F424)</f>
        <v>150000</v>
      </c>
      <c r="N424" s="138"/>
      <c r="O424" s="138"/>
      <c r="P424" s="138"/>
    </row>
    <row r="425" spans="1:7" s="29" customFormat="1" ht="20.25" customHeight="1">
      <c r="A425" s="98"/>
      <c r="B425" s="101">
        <v>92605</v>
      </c>
      <c r="C425" s="98"/>
      <c r="D425" s="46" t="s">
        <v>69</v>
      </c>
      <c r="E425" s="93">
        <f>SUM(E426:E432)</f>
        <v>124903</v>
      </c>
      <c r="F425" s="93">
        <f>SUM(F426:F432)</f>
        <v>6000</v>
      </c>
      <c r="G425" s="93">
        <f>SUM(G426:G432)</f>
        <v>130903</v>
      </c>
    </row>
    <row r="426" spans="1:8" s="29" customFormat="1" ht="24.75" customHeight="1">
      <c r="A426" s="98"/>
      <c r="B426" s="101"/>
      <c r="C426" s="98">
        <v>3250</v>
      </c>
      <c r="D426" s="46" t="s">
        <v>349</v>
      </c>
      <c r="E426" s="93">
        <v>50000</v>
      </c>
      <c r="F426" s="93"/>
      <c r="G426" s="93">
        <f aca="true" t="shared" si="19" ref="G426:G432">SUM(E426:F426)</f>
        <v>50000</v>
      </c>
      <c r="H426" s="138"/>
    </row>
    <row r="427" spans="1:11" s="29" customFormat="1" ht="21" customHeight="1">
      <c r="A427" s="98"/>
      <c r="B427" s="101"/>
      <c r="C427" s="98">
        <v>4110</v>
      </c>
      <c r="D427" s="46" t="s">
        <v>89</v>
      </c>
      <c r="E427" s="93">
        <v>1200</v>
      </c>
      <c r="F427" s="93"/>
      <c r="G427" s="93">
        <f t="shared" si="19"/>
        <v>1200</v>
      </c>
      <c r="I427" s="138"/>
      <c r="J427" s="138"/>
      <c r="K427" s="138"/>
    </row>
    <row r="428" spans="1:11" s="29" customFormat="1" ht="21" customHeight="1">
      <c r="A428" s="98"/>
      <c r="B428" s="101"/>
      <c r="C428" s="98">
        <v>4120</v>
      </c>
      <c r="D428" s="46" t="s">
        <v>90</v>
      </c>
      <c r="E428" s="93">
        <v>150</v>
      </c>
      <c r="F428" s="93"/>
      <c r="G428" s="93">
        <f t="shared" si="19"/>
        <v>150</v>
      </c>
      <c r="I428" s="138"/>
      <c r="J428" s="138"/>
      <c r="K428" s="138"/>
    </row>
    <row r="429" spans="1:11" s="29" customFormat="1" ht="21" customHeight="1">
      <c r="A429" s="98"/>
      <c r="B429" s="101"/>
      <c r="C429" s="98">
        <v>4170</v>
      </c>
      <c r="D429" s="46" t="s">
        <v>207</v>
      </c>
      <c r="E429" s="93">
        <f>40000+5000-1200-150</f>
        <v>43650</v>
      </c>
      <c r="F429" s="93"/>
      <c r="G429" s="93">
        <f t="shared" si="19"/>
        <v>43650</v>
      </c>
      <c r="I429" s="138"/>
      <c r="J429" s="138"/>
      <c r="K429" s="138"/>
    </row>
    <row r="430" spans="1:7" s="29" customFormat="1" ht="21" customHeight="1">
      <c r="A430" s="98"/>
      <c r="B430" s="94"/>
      <c r="C430" s="79">
        <v>4210</v>
      </c>
      <c r="D430" s="46" t="s">
        <v>95</v>
      </c>
      <c r="E430" s="93">
        <f>8500+1500+2100+3863</f>
        <v>15963</v>
      </c>
      <c r="F430" s="93">
        <v>6000</v>
      </c>
      <c r="G430" s="93">
        <f t="shared" si="19"/>
        <v>21963</v>
      </c>
    </row>
    <row r="431" spans="1:7" s="29" customFormat="1" ht="21" customHeight="1">
      <c r="A431" s="98"/>
      <c r="B431" s="94"/>
      <c r="C431" s="79">
        <v>4260</v>
      </c>
      <c r="D431" s="46" t="s">
        <v>98</v>
      </c>
      <c r="E431" s="93">
        <v>1000</v>
      </c>
      <c r="F431" s="93"/>
      <c r="G431" s="93">
        <f t="shared" si="19"/>
        <v>1000</v>
      </c>
    </row>
    <row r="432" spans="1:7" s="29" customFormat="1" ht="21" customHeight="1">
      <c r="A432" s="98"/>
      <c r="B432" s="94"/>
      <c r="C432" s="98">
        <v>4300</v>
      </c>
      <c r="D432" s="102" t="s">
        <v>82</v>
      </c>
      <c r="E432" s="93">
        <f>8500+1500+1740+1200</f>
        <v>12940</v>
      </c>
      <c r="F432" s="93"/>
      <c r="G432" s="93">
        <f t="shared" si="19"/>
        <v>12940</v>
      </c>
    </row>
    <row r="433" spans="1:7" s="29" customFormat="1" ht="21" customHeight="1">
      <c r="A433" s="98"/>
      <c r="B433" s="79">
        <v>92695</v>
      </c>
      <c r="C433" s="98"/>
      <c r="D433" s="102" t="s">
        <v>6</v>
      </c>
      <c r="E433" s="93">
        <f>SUM(E434:E435)</f>
        <v>10605</v>
      </c>
      <c r="F433" s="93">
        <f>SUM(F434:F435)</f>
        <v>0</v>
      </c>
      <c r="G433" s="93">
        <f>SUM(G434:G435)</f>
        <v>10605</v>
      </c>
    </row>
    <row r="434" spans="1:7" s="29" customFormat="1" ht="21" customHeight="1">
      <c r="A434" s="98"/>
      <c r="B434" s="79"/>
      <c r="C434" s="79">
        <v>4210</v>
      </c>
      <c r="D434" s="46" t="s">
        <v>95</v>
      </c>
      <c r="E434" s="93">
        <f>6250+2655</f>
        <v>8905</v>
      </c>
      <c r="F434" s="93"/>
      <c r="G434" s="93">
        <f>SUM(E434:F434)</f>
        <v>8905</v>
      </c>
    </row>
    <row r="435" spans="1:7" s="29" customFormat="1" ht="21" customHeight="1">
      <c r="A435" s="98"/>
      <c r="B435" s="79"/>
      <c r="C435" s="79">
        <v>4300</v>
      </c>
      <c r="D435" s="102" t="s">
        <v>82</v>
      </c>
      <c r="E435" s="93">
        <v>1700</v>
      </c>
      <c r="F435" s="93"/>
      <c r="G435" s="93">
        <f>SUM(E435:F435)</f>
        <v>1700</v>
      </c>
    </row>
    <row r="436" spans="1:7" s="9" customFormat="1" ht="20.25" customHeight="1">
      <c r="A436" s="12"/>
      <c r="B436" s="12"/>
      <c r="C436" s="12"/>
      <c r="D436" s="43" t="s">
        <v>70</v>
      </c>
      <c r="E436" s="45">
        <f>SUM(E418,E401,E378,E357,E292,E278,E173,E169,E166,E156,E118,E113,E47,E38,E20,E14,E7,E354)</f>
        <v>64069780</v>
      </c>
      <c r="F436" s="45">
        <f>SUM(F418,F401,F378,F357,F292,F278,F173,F169,F166,F156,F118,F113,F47,F38,F20,F14,F7,F354)</f>
        <v>0</v>
      </c>
      <c r="G436" s="45">
        <f>SUM(G418,G401,G378,G357,G292,G278,G173,G169,G166,G156,G118,G113,G47,G38,G20,G14,G7,G354)</f>
        <v>64069780</v>
      </c>
    </row>
    <row r="437" spans="1:19" ht="12.75">
      <c r="A437" s="68"/>
      <c r="B437" s="68"/>
      <c r="C437" s="68"/>
      <c r="D437" s="68"/>
      <c r="E437" s="137"/>
      <c r="F437" s="137"/>
      <c r="G437" s="137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</row>
    <row r="438" spans="4:7" ht="12.75">
      <c r="D438" s="68"/>
      <c r="E438" s="137"/>
      <c r="F438" s="137"/>
      <c r="G438" s="137"/>
    </row>
    <row r="439" spans="4:7" ht="12.75">
      <c r="D439" s="68"/>
      <c r="E439" s="300"/>
      <c r="F439" s="300"/>
      <c r="G439" s="300"/>
    </row>
    <row r="440" spans="1:7" s="26" customFormat="1" ht="12.75">
      <c r="A440" s="28"/>
      <c r="B440" s="28"/>
      <c r="C440" s="28"/>
      <c r="D440" s="28"/>
      <c r="E440" s="27"/>
      <c r="F440" s="27"/>
      <c r="G440" s="27"/>
    </row>
    <row r="441" spans="1:7" s="26" customFormat="1" ht="12.75">
      <c r="A441" s="28"/>
      <c r="B441" s="28"/>
      <c r="C441" s="28"/>
      <c r="D441" s="28"/>
      <c r="E441" s="27"/>
      <c r="F441" s="27"/>
      <c r="G441" s="27"/>
    </row>
    <row r="442" spans="1:7" s="26" customFormat="1" ht="12.75">
      <c r="A442" s="28"/>
      <c r="B442" s="28"/>
      <c r="C442" s="28"/>
      <c r="D442" s="28"/>
      <c r="E442" s="27"/>
      <c r="F442" s="27"/>
      <c r="G442" s="27"/>
    </row>
    <row r="443" spans="1:7" s="26" customFormat="1" ht="12.75">
      <c r="A443" s="28"/>
      <c r="B443" s="28"/>
      <c r="C443" s="28"/>
      <c r="D443" s="28"/>
      <c r="E443" s="27"/>
      <c r="F443" s="27"/>
      <c r="G443" s="27"/>
    </row>
    <row r="444" spans="1:8" s="26" customFormat="1" ht="12.75">
      <c r="A444" s="28"/>
      <c r="B444" s="28"/>
      <c r="C444" s="28"/>
      <c r="D444" s="28"/>
      <c r="E444" s="27"/>
      <c r="F444" s="27"/>
      <c r="G444" s="27"/>
      <c r="H444" s="248"/>
    </row>
    <row r="445" spans="1:8" s="26" customFormat="1" ht="12.75">
      <c r="A445" s="28"/>
      <c r="B445" s="28"/>
      <c r="C445" s="28"/>
      <c r="D445" s="28"/>
      <c r="E445" s="27"/>
      <c r="F445" s="27"/>
      <c r="G445" s="27"/>
      <c r="H445" s="248"/>
    </row>
    <row r="446" spans="1:8" s="26" customFormat="1" ht="12.75">
      <c r="A446" s="28"/>
      <c r="B446" s="28"/>
      <c r="C446" s="28"/>
      <c r="D446" s="28"/>
      <c r="E446" s="27"/>
      <c r="F446" s="27"/>
      <c r="G446" s="27"/>
      <c r="H446" s="248"/>
    </row>
    <row r="447" spans="1:8" s="26" customFormat="1" ht="12.75">
      <c r="A447" s="28"/>
      <c r="B447" s="28"/>
      <c r="C447" s="28"/>
      <c r="D447" s="28"/>
      <c r="E447" s="27"/>
      <c r="F447" s="27"/>
      <c r="G447" s="27"/>
      <c r="H447" s="248"/>
    </row>
    <row r="448" spans="1:7" s="26" customFormat="1" ht="12.75">
      <c r="A448" s="28"/>
      <c r="B448" s="28"/>
      <c r="C448" s="28"/>
      <c r="D448" s="28"/>
      <c r="E448" s="132"/>
      <c r="F448" s="132"/>
      <c r="G448" s="132"/>
    </row>
    <row r="449" spans="1:7" s="26" customFormat="1" ht="12.75">
      <c r="A449" s="28"/>
      <c r="B449" s="28"/>
      <c r="C449" s="28"/>
      <c r="D449" s="28"/>
      <c r="E449" s="27"/>
      <c r="F449" s="27"/>
      <c r="G449" s="27"/>
    </row>
    <row r="450" spans="1:7" s="26" customFormat="1" ht="12.75">
      <c r="A450" s="28"/>
      <c r="B450" s="28"/>
      <c r="C450" s="28"/>
      <c r="D450" s="28"/>
      <c r="E450" s="27"/>
      <c r="F450" s="27"/>
      <c r="G450" s="27"/>
    </row>
    <row r="451" spans="1:7" s="26" customFormat="1" ht="12.75">
      <c r="A451" s="28"/>
      <c r="B451" s="28"/>
      <c r="C451" s="28"/>
      <c r="D451" s="28"/>
      <c r="E451" s="27"/>
      <c r="F451" s="27"/>
      <c r="G451" s="27"/>
    </row>
    <row r="452" spans="1:7" s="26" customFormat="1" ht="12.75">
      <c r="A452" s="28"/>
      <c r="B452" s="28"/>
      <c r="C452" s="28"/>
      <c r="D452" s="28"/>
      <c r="E452" s="27"/>
      <c r="F452" s="27"/>
      <c r="G452" s="27"/>
    </row>
    <row r="453" spans="1:7" s="26" customFormat="1" ht="12.75">
      <c r="A453" s="28"/>
      <c r="B453" s="28"/>
      <c r="C453" s="28"/>
      <c r="D453" s="28"/>
      <c r="E453" s="27"/>
      <c r="F453" s="27"/>
      <c r="G453" s="27"/>
    </row>
    <row r="454" spans="1:7" s="26" customFormat="1" ht="12.75">
      <c r="A454" s="28"/>
      <c r="B454" s="28"/>
      <c r="C454" s="28"/>
      <c r="D454" s="28"/>
      <c r="E454" s="27"/>
      <c r="F454" s="27"/>
      <c r="G454" s="27"/>
    </row>
    <row r="455" spans="1:7" s="26" customFormat="1" ht="12.75">
      <c r="A455" s="28"/>
      <c r="B455" s="28"/>
      <c r="C455" s="28"/>
      <c r="D455" s="28"/>
      <c r="E455" s="27"/>
      <c r="F455" s="27"/>
      <c r="G455" s="27"/>
    </row>
    <row r="456" spans="1:7" s="26" customFormat="1" ht="12.75">
      <c r="A456" s="28"/>
      <c r="B456" s="28"/>
      <c r="C456" s="28"/>
      <c r="D456" s="28"/>
      <c r="E456" s="27"/>
      <c r="F456" s="27"/>
      <c r="G456" s="27"/>
    </row>
    <row r="457" spans="1:7" s="26" customFormat="1" ht="12.75">
      <c r="A457" s="28"/>
      <c r="B457" s="28"/>
      <c r="C457" s="28"/>
      <c r="D457" s="28"/>
      <c r="E457" s="27"/>
      <c r="F457" s="27"/>
      <c r="G457" s="27"/>
    </row>
    <row r="458" spans="1:7" s="26" customFormat="1" ht="12.75">
      <c r="A458" s="28"/>
      <c r="B458" s="28"/>
      <c r="C458" s="28"/>
      <c r="D458" s="28"/>
      <c r="E458" s="27"/>
      <c r="F458" s="27"/>
      <c r="G458" s="27"/>
    </row>
    <row r="459" spans="1:7" s="26" customFormat="1" ht="12.75">
      <c r="A459" s="28"/>
      <c r="B459" s="28"/>
      <c r="C459" s="28"/>
      <c r="D459" s="28"/>
      <c r="E459" s="27"/>
      <c r="F459" s="27"/>
      <c r="G459" s="27"/>
    </row>
    <row r="460" spans="1:7" s="26" customFormat="1" ht="12.75">
      <c r="A460" s="28"/>
      <c r="B460" s="28"/>
      <c r="C460" s="28"/>
      <c r="D460" s="28"/>
      <c r="E460" s="27"/>
      <c r="F460" s="27"/>
      <c r="G460" s="27"/>
    </row>
    <row r="461" spans="1:7" s="26" customFormat="1" ht="12.75">
      <c r="A461" s="28"/>
      <c r="B461" s="28"/>
      <c r="C461" s="28"/>
      <c r="D461" s="28"/>
      <c r="E461" s="27"/>
      <c r="F461" s="27"/>
      <c r="G461" s="27"/>
    </row>
    <row r="462" spans="1:7" s="26" customFormat="1" ht="12.75">
      <c r="A462" s="28"/>
      <c r="B462" s="28"/>
      <c r="C462" s="28"/>
      <c r="D462" s="28"/>
      <c r="E462" s="27"/>
      <c r="F462" s="27"/>
      <c r="G462" s="27"/>
    </row>
    <row r="463" spans="1:7" s="26" customFormat="1" ht="12.75">
      <c r="A463" s="28"/>
      <c r="B463" s="28"/>
      <c r="C463" s="28"/>
      <c r="D463" s="28"/>
      <c r="E463" s="27"/>
      <c r="F463" s="27"/>
      <c r="G463" s="27"/>
    </row>
    <row r="464" spans="1:7" s="26" customFormat="1" ht="12.75">
      <c r="A464" s="28"/>
      <c r="B464" s="28"/>
      <c r="C464" s="28"/>
      <c r="D464" s="28"/>
      <c r="E464" s="27"/>
      <c r="F464" s="27"/>
      <c r="G464" s="27"/>
    </row>
    <row r="465" spans="1:7" s="26" customFormat="1" ht="12.75">
      <c r="A465" s="28"/>
      <c r="B465" s="28"/>
      <c r="C465" s="28"/>
      <c r="D465" s="28"/>
      <c r="E465" s="27"/>
      <c r="F465" s="27"/>
      <c r="G465" s="27"/>
    </row>
    <row r="466" spans="1:7" s="26" customFormat="1" ht="12.75">
      <c r="A466" s="28"/>
      <c r="B466" s="28"/>
      <c r="C466" s="28"/>
      <c r="D466" s="28"/>
      <c r="E466" s="27"/>
      <c r="F466" s="27"/>
      <c r="G466" s="27"/>
    </row>
    <row r="467" spans="1:7" s="26" customFormat="1" ht="12.75">
      <c r="A467" s="28"/>
      <c r="B467" s="28"/>
      <c r="C467" s="28"/>
      <c r="D467" s="28"/>
      <c r="E467" s="27"/>
      <c r="F467" s="27"/>
      <c r="G467" s="27"/>
    </row>
    <row r="468" spans="1:7" s="26" customFormat="1" ht="12.75">
      <c r="A468" s="28"/>
      <c r="B468" s="28"/>
      <c r="C468" s="28"/>
      <c r="D468" s="28"/>
      <c r="E468" s="27"/>
      <c r="F468" s="27"/>
      <c r="G468" s="27"/>
    </row>
    <row r="469" spans="1:7" s="26" customFormat="1" ht="12.75">
      <c r="A469" s="28"/>
      <c r="B469" s="28"/>
      <c r="C469" s="28"/>
      <c r="D469" s="28"/>
      <c r="E469" s="27"/>
      <c r="F469" s="27"/>
      <c r="G469" s="27"/>
    </row>
    <row r="470" spans="1:7" s="26" customFormat="1" ht="12.75">
      <c r="A470" s="28"/>
      <c r="B470" s="28"/>
      <c r="C470" s="28"/>
      <c r="D470" s="28"/>
      <c r="E470" s="27"/>
      <c r="F470" s="27"/>
      <c r="G470" s="27"/>
    </row>
    <row r="471" spans="1:7" s="26" customFormat="1" ht="12.75">
      <c r="A471" s="28"/>
      <c r="B471" s="28"/>
      <c r="C471" s="28"/>
      <c r="D471" s="28"/>
      <c r="E471" s="27"/>
      <c r="F471" s="27"/>
      <c r="G471" s="27"/>
    </row>
    <row r="472" spans="1:7" s="26" customFormat="1" ht="12.75">
      <c r="A472" s="28"/>
      <c r="B472" s="28"/>
      <c r="C472" s="28"/>
      <c r="D472" s="28"/>
      <c r="E472" s="27"/>
      <c r="F472" s="27"/>
      <c r="G472" s="27"/>
    </row>
    <row r="473" spans="1:7" s="26" customFormat="1" ht="12.75">
      <c r="A473" s="28"/>
      <c r="B473" s="28"/>
      <c r="C473" s="28"/>
      <c r="D473" s="28"/>
      <c r="E473" s="27"/>
      <c r="F473" s="27"/>
      <c r="G473" s="27"/>
    </row>
    <row r="474" spans="1:7" s="26" customFormat="1" ht="12.75">
      <c r="A474" s="28"/>
      <c r="B474" s="28"/>
      <c r="C474" s="28"/>
      <c r="D474" s="28"/>
      <c r="E474" s="27"/>
      <c r="F474" s="27"/>
      <c r="G474" s="27"/>
    </row>
    <row r="475" spans="1:7" s="26" customFormat="1" ht="12.75">
      <c r="A475" s="28"/>
      <c r="B475" s="28"/>
      <c r="C475" s="28"/>
      <c r="D475" s="28"/>
      <c r="E475" s="27"/>
      <c r="F475" s="27"/>
      <c r="G475" s="27"/>
    </row>
    <row r="476" spans="1:7" s="26" customFormat="1" ht="12.75">
      <c r="A476" s="28"/>
      <c r="B476" s="28"/>
      <c r="C476" s="28"/>
      <c r="D476" s="28"/>
      <c r="E476" s="27"/>
      <c r="F476" s="27"/>
      <c r="G476" s="27"/>
    </row>
    <row r="477" spans="1:7" s="26" customFormat="1" ht="12.75">
      <c r="A477" s="28"/>
      <c r="B477" s="28"/>
      <c r="C477" s="28"/>
      <c r="D477" s="28"/>
      <c r="E477" s="27"/>
      <c r="F477" s="27"/>
      <c r="G477" s="27"/>
    </row>
    <row r="478" spans="1:7" s="26" customFormat="1" ht="12.75">
      <c r="A478" s="28"/>
      <c r="B478" s="28"/>
      <c r="C478" s="28"/>
      <c r="D478" s="28"/>
      <c r="E478" s="27"/>
      <c r="F478" s="27"/>
      <c r="G478" s="27"/>
    </row>
    <row r="479" spans="1:7" s="26" customFormat="1" ht="12.75">
      <c r="A479" s="28"/>
      <c r="B479" s="28"/>
      <c r="C479" s="28"/>
      <c r="D479" s="28"/>
      <c r="E479" s="27"/>
      <c r="F479" s="27"/>
      <c r="G479" s="27"/>
    </row>
    <row r="480" spans="1:7" s="26" customFormat="1" ht="12.75">
      <c r="A480" s="28"/>
      <c r="B480" s="28"/>
      <c r="C480" s="28"/>
      <c r="D480" s="28"/>
      <c r="E480" s="27"/>
      <c r="F480" s="27"/>
      <c r="G480" s="27"/>
    </row>
    <row r="481" spans="1:7" s="26" customFormat="1" ht="12.75">
      <c r="A481" s="28"/>
      <c r="B481" s="28"/>
      <c r="C481" s="28"/>
      <c r="D481" s="28"/>
      <c r="E481" s="27"/>
      <c r="F481" s="27"/>
      <c r="G481" s="27"/>
    </row>
    <row r="482" spans="1:7" s="26" customFormat="1" ht="12.75">
      <c r="A482" s="28"/>
      <c r="B482" s="28"/>
      <c r="C482" s="28"/>
      <c r="D482" s="28"/>
      <c r="E482" s="27"/>
      <c r="F482" s="27"/>
      <c r="G482" s="27"/>
    </row>
    <row r="483" spans="1:7" s="26" customFormat="1" ht="12.75">
      <c r="A483" s="28"/>
      <c r="B483" s="28"/>
      <c r="C483" s="28"/>
      <c r="D483" s="28"/>
      <c r="E483" s="27"/>
      <c r="F483" s="27"/>
      <c r="G483" s="27"/>
    </row>
    <row r="484" spans="1:7" s="26" customFormat="1" ht="12.75">
      <c r="A484" s="28"/>
      <c r="B484" s="28"/>
      <c r="C484" s="28"/>
      <c r="D484" s="28"/>
      <c r="E484" s="27"/>
      <c r="F484" s="27"/>
      <c r="G484" s="27"/>
    </row>
    <row r="485" spans="1:7" s="26" customFormat="1" ht="12.75">
      <c r="A485" s="28"/>
      <c r="B485" s="28"/>
      <c r="C485" s="28"/>
      <c r="D485" s="28"/>
      <c r="E485" s="27"/>
      <c r="F485" s="27"/>
      <c r="G485" s="27"/>
    </row>
    <row r="486" spans="1:7" s="26" customFormat="1" ht="12.75">
      <c r="A486" s="28"/>
      <c r="B486" s="28"/>
      <c r="C486" s="28"/>
      <c r="D486" s="28"/>
      <c r="E486" s="27"/>
      <c r="F486" s="27"/>
      <c r="G486" s="27"/>
    </row>
    <row r="487" spans="1:7" s="26" customFormat="1" ht="12.75">
      <c r="A487" s="28"/>
      <c r="B487" s="28"/>
      <c r="C487" s="28"/>
      <c r="D487" s="28"/>
      <c r="E487" s="27"/>
      <c r="F487" s="27"/>
      <c r="G487" s="27"/>
    </row>
    <row r="488" spans="1:7" s="26" customFormat="1" ht="12.75">
      <c r="A488" s="28"/>
      <c r="B488" s="28"/>
      <c r="C488" s="28"/>
      <c r="D488" s="28"/>
      <c r="E488" s="27"/>
      <c r="F488" s="27"/>
      <c r="G488" s="27"/>
    </row>
    <row r="489" spans="1:7" s="26" customFormat="1" ht="12.75">
      <c r="A489" s="28"/>
      <c r="B489" s="28"/>
      <c r="C489" s="28"/>
      <c r="D489" s="28"/>
      <c r="E489" s="27"/>
      <c r="F489" s="27"/>
      <c r="G489" s="27"/>
    </row>
    <row r="490" spans="1:7" s="26" customFormat="1" ht="12.75">
      <c r="A490" s="28"/>
      <c r="B490" s="28"/>
      <c r="C490" s="28"/>
      <c r="D490" s="28"/>
      <c r="E490" s="27"/>
      <c r="F490" s="27"/>
      <c r="G490" s="27"/>
    </row>
    <row r="491" spans="1:7" s="26" customFormat="1" ht="12.75">
      <c r="A491" s="28"/>
      <c r="B491" s="28"/>
      <c r="C491" s="28"/>
      <c r="D491" s="28"/>
      <c r="E491" s="27"/>
      <c r="F491" s="27"/>
      <c r="G491" s="27"/>
    </row>
    <row r="492" spans="1:7" s="26" customFormat="1" ht="12.75">
      <c r="A492" s="28"/>
      <c r="B492" s="28"/>
      <c r="C492" s="28"/>
      <c r="D492" s="28"/>
      <c r="E492" s="27"/>
      <c r="F492" s="27"/>
      <c r="G492" s="27"/>
    </row>
    <row r="493" spans="1:7" s="26" customFormat="1" ht="12.75">
      <c r="A493" s="28"/>
      <c r="B493" s="28"/>
      <c r="C493" s="28"/>
      <c r="D493" s="28"/>
      <c r="E493" s="27"/>
      <c r="F493" s="27"/>
      <c r="G493" s="27"/>
    </row>
    <row r="494" spans="1:7" s="26" customFormat="1" ht="12.75">
      <c r="A494" s="28"/>
      <c r="B494" s="28"/>
      <c r="C494" s="28"/>
      <c r="D494" s="28"/>
      <c r="E494" s="27"/>
      <c r="F494" s="27"/>
      <c r="G494" s="27"/>
    </row>
    <row r="495" spans="1:7" s="26" customFormat="1" ht="12.75">
      <c r="A495" s="28"/>
      <c r="B495" s="28"/>
      <c r="C495" s="28"/>
      <c r="D495" s="28"/>
      <c r="E495" s="27"/>
      <c r="F495" s="27"/>
      <c r="G495" s="27"/>
    </row>
    <row r="496" spans="1:7" s="26" customFormat="1" ht="12.75">
      <c r="A496" s="28"/>
      <c r="B496" s="28"/>
      <c r="C496" s="28"/>
      <c r="D496" s="28"/>
      <c r="E496" s="27"/>
      <c r="F496" s="27"/>
      <c r="G496" s="27"/>
    </row>
    <row r="497" spans="1:7" s="26" customFormat="1" ht="12.75">
      <c r="A497" s="28"/>
      <c r="B497" s="28"/>
      <c r="C497" s="28"/>
      <c r="D497" s="28"/>
      <c r="E497" s="27"/>
      <c r="F497" s="27"/>
      <c r="G497" s="27"/>
    </row>
    <row r="498" spans="1:7" s="26" customFormat="1" ht="12.75">
      <c r="A498" s="28"/>
      <c r="B498" s="28"/>
      <c r="C498" s="28"/>
      <c r="D498" s="28"/>
      <c r="E498" s="27"/>
      <c r="F498" s="27"/>
      <c r="G498" s="27"/>
    </row>
    <row r="499" spans="1:7" s="26" customFormat="1" ht="12.75">
      <c r="A499" s="28"/>
      <c r="B499" s="28"/>
      <c r="C499" s="28"/>
      <c r="D499" s="28"/>
      <c r="E499" s="27"/>
      <c r="F499" s="27"/>
      <c r="G499" s="27"/>
    </row>
    <row r="500" spans="1:7" s="26" customFormat="1" ht="12.75">
      <c r="A500" s="28"/>
      <c r="B500" s="28"/>
      <c r="C500" s="28"/>
      <c r="D500" s="28"/>
      <c r="E500" s="27"/>
      <c r="F500" s="27"/>
      <c r="G500" s="27"/>
    </row>
    <row r="501" spans="1:7" s="26" customFormat="1" ht="12.75">
      <c r="A501" s="28"/>
      <c r="B501" s="28"/>
      <c r="C501" s="28"/>
      <c r="D501" s="28"/>
      <c r="E501" s="27"/>
      <c r="F501" s="27"/>
      <c r="G501" s="27"/>
    </row>
    <row r="502" spans="1:7" s="26" customFormat="1" ht="12.75">
      <c r="A502" s="28"/>
      <c r="B502" s="28"/>
      <c r="C502" s="28"/>
      <c r="D502" s="28"/>
      <c r="E502" s="27"/>
      <c r="F502" s="27"/>
      <c r="G502" s="27"/>
    </row>
    <row r="503" spans="1:7" s="26" customFormat="1" ht="12.75">
      <c r="A503" s="28"/>
      <c r="B503" s="28"/>
      <c r="C503" s="28"/>
      <c r="D503" s="28"/>
      <c r="E503" s="27"/>
      <c r="F503" s="27"/>
      <c r="G503" s="27"/>
    </row>
    <row r="504" spans="1:7" s="26" customFormat="1" ht="12.75">
      <c r="A504" s="28"/>
      <c r="B504" s="28"/>
      <c r="C504" s="28"/>
      <c r="D504" s="28"/>
      <c r="E504" s="27"/>
      <c r="F504" s="27"/>
      <c r="G504" s="27"/>
    </row>
    <row r="505" spans="1:7" s="26" customFormat="1" ht="12.75">
      <c r="A505" s="28"/>
      <c r="B505" s="28"/>
      <c r="C505" s="28"/>
      <c r="D505" s="28"/>
      <c r="E505" s="27"/>
      <c r="F505" s="27"/>
      <c r="G505" s="27"/>
    </row>
    <row r="506" spans="1:7" s="26" customFormat="1" ht="12.75">
      <c r="A506" s="28"/>
      <c r="B506" s="28"/>
      <c r="C506" s="28"/>
      <c r="D506" s="28"/>
      <c r="E506" s="27"/>
      <c r="F506" s="27"/>
      <c r="G506" s="27"/>
    </row>
    <row r="507" spans="1:7" s="26" customFormat="1" ht="12.75">
      <c r="A507" s="28"/>
      <c r="B507" s="28"/>
      <c r="C507" s="28"/>
      <c r="D507" s="28"/>
      <c r="E507" s="27"/>
      <c r="F507" s="27"/>
      <c r="G507" s="27"/>
    </row>
    <row r="508" spans="1:7" s="26" customFormat="1" ht="12.75">
      <c r="A508" s="28"/>
      <c r="B508" s="28"/>
      <c r="C508" s="28"/>
      <c r="D508" s="28"/>
      <c r="E508" s="27"/>
      <c r="F508" s="27"/>
      <c r="G508" s="27"/>
    </row>
    <row r="509" spans="1:7" s="26" customFormat="1" ht="12.75">
      <c r="A509" s="28"/>
      <c r="B509" s="28"/>
      <c r="C509" s="28"/>
      <c r="D509" s="28"/>
      <c r="E509" s="27"/>
      <c r="F509" s="27"/>
      <c r="G509" s="27"/>
    </row>
    <row r="510" spans="1:7" s="26" customFormat="1" ht="12.75">
      <c r="A510" s="28"/>
      <c r="B510" s="28"/>
      <c r="C510" s="28"/>
      <c r="D510" s="28"/>
      <c r="E510" s="27"/>
      <c r="F510" s="27"/>
      <c r="G510" s="27"/>
    </row>
    <row r="511" spans="1:7" s="26" customFormat="1" ht="12.75">
      <c r="A511" s="28"/>
      <c r="B511" s="28"/>
      <c r="C511" s="28"/>
      <c r="D511" s="28"/>
      <c r="E511" s="27"/>
      <c r="F511" s="27"/>
      <c r="G511" s="27"/>
    </row>
    <row r="512" spans="1:7" s="26" customFormat="1" ht="12.75">
      <c r="A512" s="28"/>
      <c r="B512" s="28"/>
      <c r="C512" s="28"/>
      <c r="D512" s="28"/>
      <c r="E512" s="27"/>
      <c r="F512" s="27"/>
      <c r="G512" s="27"/>
    </row>
    <row r="513" spans="1:7" s="26" customFormat="1" ht="12.75">
      <c r="A513" s="28"/>
      <c r="B513" s="28"/>
      <c r="C513" s="28"/>
      <c r="D513" s="28"/>
      <c r="E513" s="27"/>
      <c r="F513" s="27"/>
      <c r="G513" s="27"/>
    </row>
    <row r="514" spans="1:7" s="26" customFormat="1" ht="12.75">
      <c r="A514" s="28"/>
      <c r="B514" s="28"/>
      <c r="C514" s="28"/>
      <c r="D514" s="28"/>
      <c r="E514" s="27"/>
      <c r="F514" s="27"/>
      <c r="G514" s="27"/>
    </row>
    <row r="515" spans="1:7" s="26" customFormat="1" ht="12.75">
      <c r="A515" s="28"/>
      <c r="B515" s="28"/>
      <c r="C515" s="28"/>
      <c r="D515" s="28"/>
      <c r="E515" s="27"/>
      <c r="F515" s="27"/>
      <c r="G515" s="27"/>
    </row>
    <row r="516" spans="1:7" s="26" customFormat="1" ht="12.75">
      <c r="A516" s="28"/>
      <c r="B516" s="28"/>
      <c r="C516" s="28"/>
      <c r="D516" s="28"/>
      <c r="E516" s="27"/>
      <c r="F516" s="27"/>
      <c r="G516" s="27"/>
    </row>
    <row r="517" spans="1:7" s="26" customFormat="1" ht="12.75">
      <c r="A517" s="28"/>
      <c r="B517" s="28"/>
      <c r="C517" s="28"/>
      <c r="D517" s="28"/>
      <c r="E517" s="27"/>
      <c r="F517" s="27"/>
      <c r="G517" s="27"/>
    </row>
    <row r="518" spans="1:7" s="26" customFormat="1" ht="12.75">
      <c r="A518" s="28"/>
      <c r="B518" s="28"/>
      <c r="C518" s="28"/>
      <c r="D518" s="28"/>
      <c r="E518" s="27"/>
      <c r="F518" s="27"/>
      <c r="G518" s="27"/>
    </row>
    <row r="519" spans="1:7" s="26" customFormat="1" ht="12.75">
      <c r="A519" s="28"/>
      <c r="B519" s="28"/>
      <c r="C519" s="28"/>
      <c r="D519" s="28"/>
      <c r="E519" s="27"/>
      <c r="F519" s="27"/>
      <c r="G519" s="27"/>
    </row>
    <row r="520" spans="1:7" s="26" customFormat="1" ht="12.75">
      <c r="A520" s="28"/>
      <c r="B520" s="28"/>
      <c r="C520" s="28"/>
      <c r="D520" s="28"/>
      <c r="E520" s="27"/>
      <c r="F520" s="27"/>
      <c r="G520" s="27"/>
    </row>
    <row r="521" spans="1:7" s="26" customFormat="1" ht="12.75">
      <c r="A521" s="28"/>
      <c r="B521" s="28"/>
      <c r="C521" s="28"/>
      <c r="D521" s="28"/>
      <c r="E521" s="27"/>
      <c r="F521" s="27"/>
      <c r="G521" s="27"/>
    </row>
    <row r="522" spans="1:7" s="26" customFormat="1" ht="12.75">
      <c r="A522" s="28"/>
      <c r="B522" s="28"/>
      <c r="C522" s="28"/>
      <c r="D522" s="28"/>
      <c r="E522" s="27"/>
      <c r="F522" s="27"/>
      <c r="G522" s="27"/>
    </row>
    <row r="523" spans="1:7" s="26" customFormat="1" ht="12.75">
      <c r="A523" s="28"/>
      <c r="B523" s="28"/>
      <c r="C523" s="28"/>
      <c r="D523" s="28"/>
      <c r="E523" s="27"/>
      <c r="F523" s="27"/>
      <c r="G523" s="27"/>
    </row>
    <row r="524" spans="1:7" s="26" customFormat="1" ht="12.75">
      <c r="A524" s="28"/>
      <c r="B524" s="28"/>
      <c r="C524" s="28"/>
      <c r="D524" s="28"/>
      <c r="E524" s="27"/>
      <c r="F524" s="27"/>
      <c r="G524" s="27"/>
    </row>
    <row r="525" spans="1:7" s="26" customFormat="1" ht="12.75">
      <c r="A525" s="28"/>
      <c r="B525" s="28"/>
      <c r="C525" s="28"/>
      <c r="D525" s="28"/>
      <c r="E525" s="27"/>
      <c r="F525" s="27"/>
      <c r="G525" s="27"/>
    </row>
    <row r="526" spans="1:7" s="26" customFormat="1" ht="12.75">
      <c r="A526" s="28"/>
      <c r="B526" s="28"/>
      <c r="C526" s="28"/>
      <c r="D526" s="28"/>
      <c r="E526" s="27"/>
      <c r="F526" s="27"/>
      <c r="G526" s="27"/>
    </row>
    <row r="527" spans="1:7" s="26" customFormat="1" ht="12.75">
      <c r="A527" s="28"/>
      <c r="B527" s="28"/>
      <c r="C527" s="28"/>
      <c r="D527" s="28"/>
      <c r="E527" s="27"/>
      <c r="F527" s="27"/>
      <c r="G527" s="27"/>
    </row>
    <row r="528" spans="1:7" s="26" customFormat="1" ht="12.75">
      <c r="A528" s="28"/>
      <c r="B528" s="28"/>
      <c r="C528" s="28"/>
      <c r="D528" s="28"/>
      <c r="E528" s="27"/>
      <c r="F528" s="27"/>
      <c r="G528" s="27"/>
    </row>
    <row r="529" spans="1:7" s="26" customFormat="1" ht="12.75">
      <c r="A529" s="28"/>
      <c r="B529" s="28"/>
      <c r="C529" s="28"/>
      <c r="D529" s="28"/>
      <c r="E529" s="27"/>
      <c r="F529" s="27"/>
      <c r="G529" s="27"/>
    </row>
    <row r="530" spans="1:7" s="26" customFormat="1" ht="12.75">
      <c r="A530" s="28"/>
      <c r="B530" s="28"/>
      <c r="C530" s="28"/>
      <c r="D530" s="28"/>
      <c r="E530" s="27"/>
      <c r="F530" s="27"/>
      <c r="G530" s="27"/>
    </row>
    <row r="531" spans="1:7" s="26" customFormat="1" ht="12.75">
      <c r="A531" s="28"/>
      <c r="B531" s="28"/>
      <c r="C531" s="28"/>
      <c r="D531" s="28"/>
      <c r="E531" s="27"/>
      <c r="F531" s="27"/>
      <c r="G531" s="27"/>
    </row>
    <row r="532" spans="1:7" s="26" customFormat="1" ht="12.75">
      <c r="A532" s="28"/>
      <c r="B532" s="28"/>
      <c r="C532" s="28"/>
      <c r="D532" s="28"/>
      <c r="E532" s="27"/>
      <c r="F532" s="27"/>
      <c r="G532" s="27"/>
    </row>
    <row r="533" spans="1:7" s="26" customFormat="1" ht="12.75">
      <c r="A533" s="28"/>
      <c r="B533" s="28"/>
      <c r="C533" s="28"/>
      <c r="D533" s="28"/>
      <c r="E533" s="27"/>
      <c r="F533" s="27"/>
      <c r="G533" s="27"/>
    </row>
    <row r="534" spans="1:7" s="26" customFormat="1" ht="12.75">
      <c r="A534" s="28"/>
      <c r="B534" s="28"/>
      <c r="C534" s="28"/>
      <c r="D534" s="28"/>
      <c r="E534" s="27"/>
      <c r="F534" s="27"/>
      <c r="G534" s="27"/>
    </row>
    <row r="535" spans="1:7" s="26" customFormat="1" ht="12.75">
      <c r="A535" s="28"/>
      <c r="B535" s="28"/>
      <c r="C535" s="28"/>
      <c r="D535" s="28"/>
      <c r="E535" s="27"/>
      <c r="F535" s="27"/>
      <c r="G535" s="27"/>
    </row>
    <row r="536" spans="1:7" s="26" customFormat="1" ht="12.75">
      <c r="A536" s="28"/>
      <c r="B536" s="28"/>
      <c r="C536" s="28"/>
      <c r="D536" s="28"/>
      <c r="E536" s="27"/>
      <c r="F536" s="27"/>
      <c r="G536" s="27"/>
    </row>
    <row r="537" spans="1:7" s="26" customFormat="1" ht="12.75">
      <c r="A537" s="28"/>
      <c r="B537" s="28"/>
      <c r="C537" s="28"/>
      <c r="D537" s="28"/>
      <c r="E537" s="27"/>
      <c r="F537" s="27"/>
      <c r="G537" s="27"/>
    </row>
    <row r="538" spans="1:7" s="26" customFormat="1" ht="12.75">
      <c r="A538" s="28"/>
      <c r="B538" s="28"/>
      <c r="C538" s="28"/>
      <c r="D538" s="28"/>
      <c r="E538" s="27"/>
      <c r="F538" s="27"/>
      <c r="G538" s="27"/>
    </row>
    <row r="539" spans="1:7" s="26" customFormat="1" ht="12.75">
      <c r="A539" s="28"/>
      <c r="B539" s="28"/>
      <c r="C539" s="28"/>
      <c r="D539" s="28"/>
      <c r="E539" s="27"/>
      <c r="F539" s="27"/>
      <c r="G539" s="27"/>
    </row>
    <row r="540" spans="1:7" s="26" customFormat="1" ht="12.75">
      <c r="A540" s="28"/>
      <c r="B540" s="28"/>
      <c r="C540" s="28"/>
      <c r="D540" s="28"/>
      <c r="E540" s="27"/>
      <c r="F540" s="27"/>
      <c r="G540" s="27"/>
    </row>
    <row r="541" spans="1:7" s="26" customFormat="1" ht="12.75">
      <c r="A541" s="28"/>
      <c r="B541" s="28"/>
      <c r="C541" s="28"/>
      <c r="D541" s="28"/>
      <c r="E541" s="27"/>
      <c r="F541" s="27"/>
      <c r="G541" s="27"/>
    </row>
    <row r="542" spans="1:7" s="26" customFormat="1" ht="12.75">
      <c r="A542" s="28"/>
      <c r="B542" s="28"/>
      <c r="C542" s="28"/>
      <c r="D542" s="28"/>
      <c r="E542" s="27"/>
      <c r="F542" s="27"/>
      <c r="G542" s="27"/>
    </row>
    <row r="543" spans="1:7" s="26" customFormat="1" ht="12.75">
      <c r="A543" s="28"/>
      <c r="B543" s="28"/>
      <c r="C543" s="28"/>
      <c r="D543" s="28"/>
      <c r="E543" s="27"/>
      <c r="F543" s="27"/>
      <c r="G543" s="27"/>
    </row>
    <row r="544" spans="1:7" s="26" customFormat="1" ht="12.75">
      <c r="A544" s="28"/>
      <c r="B544" s="28"/>
      <c r="C544" s="28"/>
      <c r="D544" s="28"/>
      <c r="E544" s="27"/>
      <c r="F544" s="27"/>
      <c r="G544" s="27"/>
    </row>
    <row r="545" spans="1:7" s="26" customFormat="1" ht="12.75">
      <c r="A545" s="28"/>
      <c r="B545" s="28"/>
      <c r="C545" s="28"/>
      <c r="D545" s="28"/>
      <c r="E545" s="27"/>
      <c r="F545" s="27"/>
      <c r="G545" s="27"/>
    </row>
    <row r="546" spans="1:7" s="26" customFormat="1" ht="12.75">
      <c r="A546" s="28"/>
      <c r="B546" s="28"/>
      <c r="C546" s="28"/>
      <c r="D546" s="28"/>
      <c r="E546" s="27"/>
      <c r="F546" s="27"/>
      <c r="G546" s="27"/>
    </row>
    <row r="547" spans="1:7" s="26" customFormat="1" ht="12.75">
      <c r="A547" s="28"/>
      <c r="B547" s="28"/>
      <c r="C547" s="28"/>
      <c r="D547" s="28"/>
      <c r="E547" s="27"/>
      <c r="F547" s="27"/>
      <c r="G547" s="27"/>
    </row>
    <row r="548" spans="1:7" s="26" customFormat="1" ht="12.75">
      <c r="A548" s="28"/>
      <c r="B548" s="28"/>
      <c r="C548" s="28"/>
      <c r="D548" s="28"/>
      <c r="E548" s="27"/>
      <c r="F548" s="27"/>
      <c r="G548" s="27"/>
    </row>
    <row r="549" spans="1:7" s="26" customFormat="1" ht="12.75">
      <c r="A549" s="28"/>
      <c r="B549" s="28"/>
      <c r="C549" s="28"/>
      <c r="D549" s="28"/>
      <c r="E549" s="27"/>
      <c r="F549" s="27"/>
      <c r="G549" s="27"/>
    </row>
    <row r="550" spans="1:7" s="26" customFormat="1" ht="12.75">
      <c r="A550" s="28"/>
      <c r="B550" s="28"/>
      <c r="C550" s="28"/>
      <c r="D550" s="28"/>
      <c r="E550" s="27"/>
      <c r="F550" s="27"/>
      <c r="G550" s="27"/>
    </row>
    <row r="551" spans="1:7" s="26" customFormat="1" ht="12.75">
      <c r="A551" s="28"/>
      <c r="B551" s="28"/>
      <c r="C551" s="28"/>
      <c r="D551" s="28"/>
      <c r="E551" s="27"/>
      <c r="F551" s="27"/>
      <c r="G551" s="27"/>
    </row>
    <row r="552" spans="1:7" s="26" customFormat="1" ht="12.75">
      <c r="A552" s="28"/>
      <c r="B552" s="28"/>
      <c r="C552" s="28"/>
      <c r="D552" s="28"/>
      <c r="E552" s="27"/>
      <c r="F552" s="27"/>
      <c r="G552" s="27"/>
    </row>
    <row r="553" spans="1:7" s="26" customFormat="1" ht="12.75">
      <c r="A553" s="28"/>
      <c r="B553" s="28"/>
      <c r="C553" s="28"/>
      <c r="D553" s="28"/>
      <c r="E553" s="27"/>
      <c r="F553" s="27"/>
      <c r="G553" s="27"/>
    </row>
    <row r="554" spans="1:7" s="26" customFormat="1" ht="12.75">
      <c r="A554" s="28"/>
      <c r="B554" s="28"/>
      <c r="C554" s="28"/>
      <c r="D554" s="28"/>
      <c r="E554" s="27"/>
      <c r="F554" s="27"/>
      <c r="G554" s="27"/>
    </row>
    <row r="555" spans="1:7" s="26" customFormat="1" ht="12.75">
      <c r="A555" s="28"/>
      <c r="B555" s="28"/>
      <c r="C555" s="28"/>
      <c r="D555" s="28"/>
      <c r="E555" s="27"/>
      <c r="F555" s="27"/>
      <c r="G555" s="27"/>
    </row>
    <row r="556" spans="1:7" s="26" customFormat="1" ht="12.75">
      <c r="A556" s="28"/>
      <c r="B556" s="28"/>
      <c r="C556" s="28"/>
      <c r="D556" s="28"/>
      <c r="E556" s="27"/>
      <c r="F556" s="27"/>
      <c r="G556" s="27"/>
    </row>
    <row r="557" spans="1:7" s="26" customFormat="1" ht="12.75">
      <c r="A557" s="28"/>
      <c r="B557" s="28"/>
      <c r="C557" s="28"/>
      <c r="D557" s="28"/>
      <c r="E557" s="27"/>
      <c r="F557" s="27"/>
      <c r="G557" s="27"/>
    </row>
    <row r="558" spans="1:7" s="26" customFormat="1" ht="12.75">
      <c r="A558" s="28"/>
      <c r="B558" s="28"/>
      <c r="C558" s="28"/>
      <c r="D558" s="28"/>
      <c r="E558" s="27"/>
      <c r="F558" s="27"/>
      <c r="G558" s="27"/>
    </row>
    <row r="559" spans="1:7" s="26" customFormat="1" ht="12.75">
      <c r="A559" s="28"/>
      <c r="B559" s="28"/>
      <c r="C559" s="28"/>
      <c r="D559" s="28"/>
      <c r="E559" s="27"/>
      <c r="F559" s="27"/>
      <c r="G559" s="27"/>
    </row>
    <row r="560" spans="1:7" s="26" customFormat="1" ht="12.75">
      <c r="A560" s="28"/>
      <c r="B560" s="28"/>
      <c r="C560" s="28"/>
      <c r="D560" s="28"/>
      <c r="E560" s="27"/>
      <c r="F560" s="27"/>
      <c r="G560" s="27"/>
    </row>
    <row r="561" spans="1:7" s="26" customFormat="1" ht="12.75">
      <c r="A561" s="28"/>
      <c r="B561" s="28"/>
      <c r="C561" s="28"/>
      <c r="D561" s="28"/>
      <c r="E561" s="27"/>
      <c r="F561" s="27"/>
      <c r="G561" s="27"/>
    </row>
    <row r="562" spans="1:7" s="26" customFormat="1" ht="12.75">
      <c r="A562" s="28"/>
      <c r="B562" s="28"/>
      <c r="C562" s="28"/>
      <c r="D562" s="28"/>
      <c r="E562" s="27"/>
      <c r="F562" s="27"/>
      <c r="G562" s="27"/>
    </row>
    <row r="563" spans="1:7" s="26" customFormat="1" ht="12.75">
      <c r="A563" s="28"/>
      <c r="B563" s="28"/>
      <c r="C563" s="28"/>
      <c r="D563" s="28"/>
      <c r="E563" s="27"/>
      <c r="F563" s="27"/>
      <c r="G563" s="27"/>
    </row>
    <row r="564" spans="1:7" s="26" customFormat="1" ht="12.75">
      <c r="A564" s="28"/>
      <c r="B564" s="28"/>
      <c r="C564" s="28"/>
      <c r="D564" s="28"/>
      <c r="E564" s="27"/>
      <c r="F564" s="27"/>
      <c r="G564" s="27"/>
    </row>
    <row r="565" spans="1:7" s="26" customFormat="1" ht="12.75">
      <c r="A565" s="28"/>
      <c r="B565" s="28"/>
      <c r="C565" s="28"/>
      <c r="D565" s="28"/>
      <c r="E565" s="27"/>
      <c r="F565" s="27"/>
      <c r="G565" s="27"/>
    </row>
    <row r="566" spans="1:7" s="26" customFormat="1" ht="12.75">
      <c r="A566" s="28"/>
      <c r="B566" s="28"/>
      <c r="C566" s="28"/>
      <c r="D566" s="28"/>
      <c r="E566" s="27"/>
      <c r="F566" s="27"/>
      <c r="G566" s="27"/>
    </row>
    <row r="567" spans="1:7" s="26" customFormat="1" ht="12.75">
      <c r="A567" s="28"/>
      <c r="B567" s="28"/>
      <c r="C567" s="28"/>
      <c r="D567" s="28"/>
      <c r="E567" s="27"/>
      <c r="F567" s="27"/>
      <c r="G567" s="27"/>
    </row>
    <row r="568" spans="1:7" s="26" customFormat="1" ht="12.75">
      <c r="A568" s="28"/>
      <c r="B568" s="28"/>
      <c r="C568" s="28"/>
      <c r="D568" s="28"/>
      <c r="E568" s="27"/>
      <c r="F568" s="27"/>
      <c r="G568" s="27"/>
    </row>
    <row r="569" spans="1:7" s="26" customFormat="1" ht="12.75">
      <c r="A569" s="28"/>
      <c r="B569" s="28"/>
      <c r="C569" s="28"/>
      <c r="D569" s="28"/>
      <c r="E569" s="27"/>
      <c r="F569" s="27"/>
      <c r="G569" s="27"/>
    </row>
    <row r="570" spans="1:7" s="26" customFormat="1" ht="12.75">
      <c r="A570" s="28"/>
      <c r="B570" s="28"/>
      <c r="C570" s="28"/>
      <c r="D570" s="28"/>
      <c r="E570" s="27"/>
      <c r="F570" s="27"/>
      <c r="G570" s="27"/>
    </row>
    <row r="571" spans="1:7" s="26" customFormat="1" ht="12.75">
      <c r="A571" s="28"/>
      <c r="B571" s="28"/>
      <c r="C571" s="28"/>
      <c r="D571" s="28"/>
      <c r="E571" s="27"/>
      <c r="F571" s="27"/>
      <c r="G571" s="27"/>
    </row>
    <row r="572" spans="1:7" s="26" customFormat="1" ht="12.75">
      <c r="A572" s="28"/>
      <c r="B572" s="28"/>
      <c r="C572" s="28"/>
      <c r="D572" s="28"/>
      <c r="E572" s="27"/>
      <c r="F572" s="27"/>
      <c r="G572" s="27"/>
    </row>
    <row r="573" spans="1:7" s="26" customFormat="1" ht="12.75">
      <c r="A573" s="28"/>
      <c r="B573" s="28"/>
      <c r="C573" s="28"/>
      <c r="D573" s="28"/>
      <c r="E573" s="27"/>
      <c r="F573" s="27"/>
      <c r="G573" s="27"/>
    </row>
    <row r="574" spans="1:7" s="26" customFormat="1" ht="12.75">
      <c r="A574" s="28"/>
      <c r="B574" s="28"/>
      <c r="C574" s="28"/>
      <c r="D574" s="28"/>
      <c r="E574" s="27"/>
      <c r="F574" s="27"/>
      <c r="G574" s="27"/>
    </row>
    <row r="575" spans="1:7" s="26" customFormat="1" ht="12.75">
      <c r="A575" s="28"/>
      <c r="B575" s="28"/>
      <c r="C575" s="28"/>
      <c r="D575" s="28"/>
      <c r="E575" s="27"/>
      <c r="F575" s="27"/>
      <c r="G575" s="27"/>
    </row>
    <row r="576" spans="1:7" s="26" customFormat="1" ht="12.75">
      <c r="A576" s="28"/>
      <c r="B576" s="28"/>
      <c r="C576" s="28"/>
      <c r="D576" s="28"/>
      <c r="E576" s="27"/>
      <c r="F576" s="27"/>
      <c r="G576" s="27"/>
    </row>
    <row r="577" spans="1:7" s="26" customFormat="1" ht="12.75">
      <c r="A577" s="28"/>
      <c r="B577" s="28"/>
      <c r="C577" s="28"/>
      <c r="D577" s="28"/>
      <c r="E577" s="27"/>
      <c r="F577" s="27"/>
      <c r="G577" s="27"/>
    </row>
    <row r="578" spans="1:7" s="26" customFormat="1" ht="12.75">
      <c r="A578" s="28"/>
      <c r="B578" s="28"/>
      <c r="C578" s="28"/>
      <c r="D578" s="28"/>
      <c r="E578" s="27"/>
      <c r="F578" s="27"/>
      <c r="G578" s="27"/>
    </row>
    <row r="579" spans="1:7" s="26" customFormat="1" ht="12.75">
      <c r="A579" s="28"/>
      <c r="B579" s="28"/>
      <c r="C579" s="28"/>
      <c r="D579" s="28"/>
      <c r="E579" s="27"/>
      <c r="F579" s="27"/>
      <c r="G579" s="27"/>
    </row>
    <row r="580" spans="1:7" s="26" customFormat="1" ht="12.75">
      <c r="A580" s="28"/>
      <c r="B580" s="28"/>
      <c r="C580" s="28"/>
      <c r="D580" s="28"/>
      <c r="E580" s="27"/>
      <c r="F580" s="27"/>
      <c r="G580" s="27"/>
    </row>
    <row r="581" spans="1:7" s="26" customFormat="1" ht="12.75">
      <c r="A581" s="28"/>
      <c r="B581" s="28"/>
      <c r="C581" s="28"/>
      <c r="D581" s="28"/>
      <c r="E581" s="27"/>
      <c r="F581" s="27"/>
      <c r="G581" s="27"/>
    </row>
    <row r="582" spans="1:7" s="26" customFormat="1" ht="12.75">
      <c r="A582" s="28"/>
      <c r="B582" s="28"/>
      <c r="C582" s="28"/>
      <c r="D582" s="28"/>
      <c r="E582" s="27"/>
      <c r="F582" s="27"/>
      <c r="G582" s="27"/>
    </row>
    <row r="583" spans="1:7" s="26" customFormat="1" ht="12.75">
      <c r="A583" s="28"/>
      <c r="B583" s="28"/>
      <c r="C583" s="28"/>
      <c r="D583" s="28"/>
      <c r="E583" s="27"/>
      <c r="F583" s="27"/>
      <c r="G583" s="27"/>
    </row>
    <row r="584" spans="1:7" s="26" customFormat="1" ht="12.75">
      <c r="A584" s="28"/>
      <c r="B584" s="28"/>
      <c r="C584" s="28"/>
      <c r="D584" s="28"/>
      <c r="E584" s="27"/>
      <c r="F584" s="27"/>
      <c r="G584" s="27"/>
    </row>
    <row r="585" spans="1:7" s="26" customFormat="1" ht="12.75">
      <c r="A585" s="28"/>
      <c r="B585" s="28"/>
      <c r="C585" s="28"/>
      <c r="D585" s="28"/>
      <c r="E585" s="27"/>
      <c r="F585" s="27"/>
      <c r="G585" s="27"/>
    </row>
    <row r="586" spans="1:7" s="26" customFormat="1" ht="12.75">
      <c r="A586" s="28"/>
      <c r="B586" s="28"/>
      <c r="C586" s="28"/>
      <c r="D586" s="28"/>
      <c r="E586" s="27"/>
      <c r="F586" s="27"/>
      <c r="G586" s="27"/>
    </row>
    <row r="587" spans="1:7" s="26" customFormat="1" ht="12.75">
      <c r="A587" s="28"/>
      <c r="B587" s="28"/>
      <c r="C587" s="28"/>
      <c r="D587" s="28"/>
      <c r="E587" s="27"/>
      <c r="F587" s="27"/>
      <c r="G587" s="27"/>
    </row>
    <row r="588" spans="1:7" s="26" customFormat="1" ht="12.75">
      <c r="A588" s="28"/>
      <c r="B588" s="28"/>
      <c r="C588" s="28"/>
      <c r="D588" s="28"/>
      <c r="E588" s="27"/>
      <c r="F588" s="27"/>
      <c r="G588" s="27"/>
    </row>
    <row r="589" spans="1:7" s="26" customFormat="1" ht="12.75">
      <c r="A589" s="28"/>
      <c r="B589" s="28"/>
      <c r="C589" s="28"/>
      <c r="D589" s="28"/>
      <c r="E589" s="27"/>
      <c r="F589" s="27"/>
      <c r="G589" s="27"/>
    </row>
    <row r="590" spans="1:7" s="26" customFormat="1" ht="12.75">
      <c r="A590" s="28"/>
      <c r="B590" s="28"/>
      <c r="C590" s="28"/>
      <c r="D590" s="28"/>
      <c r="E590" s="27"/>
      <c r="F590" s="27"/>
      <c r="G590" s="27"/>
    </row>
    <row r="591" spans="1:7" s="26" customFormat="1" ht="12.75">
      <c r="A591" s="28"/>
      <c r="B591" s="28"/>
      <c r="C591" s="28"/>
      <c r="D591" s="28"/>
      <c r="E591" s="27"/>
      <c r="F591" s="27"/>
      <c r="G591" s="27"/>
    </row>
    <row r="592" spans="1:7" s="26" customFormat="1" ht="12.75">
      <c r="A592" s="28"/>
      <c r="B592" s="28"/>
      <c r="C592" s="28"/>
      <c r="D592" s="28"/>
      <c r="E592" s="27"/>
      <c r="F592" s="27"/>
      <c r="G592" s="27"/>
    </row>
    <row r="593" spans="1:7" s="26" customFormat="1" ht="12.75">
      <c r="A593" s="28"/>
      <c r="B593" s="28"/>
      <c r="C593" s="28"/>
      <c r="D593" s="28"/>
      <c r="E593" s="27"/>
      <c r="F593" s="27"/>
      <c r="G593" s="27"/>
    </row>
    <row r="594" spans="1:7" s="26" customFormat="1" ht="12.75">
      <c r="A594" s="28"/>
      <c r="B594" s="28"/>
      <c r="C594" s="28"/>
      <c r="D594" s="28"/>
      <c r="E594" s="27"/>
      <c r="F594" s="27"/>
      <c r="G594" s="27"/>
    </row>
    <row r="595" spans="1:7" s="26" customFormat="1" ht="12.75">
      <c r="A595" s="28"/>
      <c r="B595" s="28"/>
      <c r="C595" s="28"/>
      <c r="D595" s="28"/>
      <c r="E595" s="27"/>
      <c r="F595" s="27"/>
      <c r="G595" s="27"/>
    </row>
    <row r="596" spans="1:7" s="26" customFormat="1" ht="12.75">
      <c r="A596" s="28"/>
      <c r="B596" s="28"/>
      <c r="C596" s="28"/>
      <c r="D596" s="28"/>
      <c r="E596" s="27"/>
      <c r="F596" s="27"/>
      <c r="G596" s="27"/>
    </row>
    <row r="597" spans="1:7" s="26" customFormat="1" ht="12.75">
      <c r="A597" s="28"/>
      <c r="B597" s="28"/>
      <c r="C597" s="28"/>
      <c r="D597" s="28"/>
      <c r="E597" s="27"/>
      <c r="F597" s="27"/>
      <c r="G597" s="27"/>
    </row>
    <row r="598" spans="1:7" s="26" customFormat="1" ht="12.75">
      <c r="A598" s="28"/>
      <c r="B598" s="28"/>
      <c r="C598" s="28"/>
      <c r="D598" s="28"/>
      <c r="E598" s="27"/>
      <c r="F598" s="27"/>
      <c r="G598" s="27"/>
    </row>
    <row r="599" spans="1:7" s="26" customFormat="1" ht="12.75">
      <c r="A599" s="28"/>
      <c r="B599" s="28"/>
      <c r="C599" s="28"/>
      <c r="D599" s="28"/>
      <c r="E599" s="27"/>
      <c r="F599" s="27"/>
      <c r="G599" s="27"/>
    </row>
    <row r="600" spans="1:7" s="26" customFormat="1" ht="12.75">
      <c r="A600" s="28"/>
      <c r="B600" s="28"/>
      <c r="C600" s="28"/>
      <c r="D600" s="28"/>
      <c r="E600" s="27"/>
      <c r="F600" s="27"/>
      <c r="G600" s="27"/>
    </row>
    <row r="601" spans="1:7" s="26" customFormat="1" ht="12.75">
      <c r="A601" s="28"/>
      <c r="B601" s="28"/>
      <c r="C601" s="28"/>
      <c r="D601" s="28"/>
      <c r="E601" s="27"/>
      <c r="F601" s="27"/>
      <c r="G601" s="27"/>
    </row>
    <row r="602" spans="1:7" s="26" customFormat="1" ht="12.75">
      <c r="A602" s="28"/>
      <c r="B602" s="28"/>
      <c r="C602" s="28"/>
      <c r="D602" s="28"/>
      <c r="E602" s="27"/>
      <c r="F602" s="27"/>
      <c r="G602" s="27"/>
    </row>
    <row r="603" spans="1:7" s="26" customFormat="1" ht="12.75">
      <c r="A603" s="28"/>
      <c r="B603" s="28"/>
      <c r="C603" s="28"/>
      <c r="D603" s="28"/>
      <c r="E603" s="27"/>
      <c r="F603" s="27"/>
      <c r="G603" s="27"/>
    </row>
    <row r="604" spans="1:7" s="26" customFormat="1" ht="12.75">
      <c r="A604" s="28"/>
      <c r="B604" s="28"/>
      <c r="C604" s="28"/>
      <c r="D604" s="28"/>
      <c r="E604" s="27"/>
      <c r="F604" s="27"/>
      <c r="G604" s="27"/>
    </row>
    <row r="605" spans="1:7" s="26" customFormat="1" ht="12.75">
      <c r="A605" s="28"/>
      <c r="B605" s="28"/>
      <c r="C605" s="28"/>
      <c r="D605" s="28"/>
      <c r="E605" s="27"/>
      <c r="F605" s="27"/>
      <c r="G605" s="27"/>
    </row>
    <row r="606" spans="1:7" s="26" customFormat="1" ht="12.75">
      <c r="A606" s="28"/>
      <c r="B606" s="28"/>
      <c r="C606" s="28"/>
      <c r="D606" s="28"/>
      <c r="E606" s="27"/>
      <c r="F606" s="27"/>
      <c r="G606" s="27"/>
    </row>
    <row r="607" spans="1:7" s="26" customFormat="1" ht="12.75">
      <c r="A607" s="28"/>
      <c r="B607" s="28"/>
      <c r="C607" s="28"/>
      <c r="D607" s="28"/>
      <c r="E607" s="27"/>
      <c r="F607" s="27"/>
      <c r="G607" s="27"/>
    </row>
    <row r="608" spans="1:7" s="26" customFormat="1" ht="12.75">
      <c r="A608" s="28"/>
      <c r="B608" s="28"/>
      <c r="C608" s="28"/>
      <c r="D608" s="28"/>
      <c r="E608" s="27"/>
      <c r="F608" s="27"/>
      <c r="G608" s="27"/>
    </row>
    <row r="609" spans="1:7" s="26" customFormat="1" ht="12.75">
      <c r="A609" s="28"/>
      <c r="B609" s="28"/>
      <c r="C609" s="28"/>
      <c r="D609" s="28"/>
      <c r="E609" s="27"/>
      <c r="F609" s="27"/>
      <c r="G609" s="27"/>
    </row>
    <row r="610" spans="1:7" s="26" customFormat="1" ht="12.75">
      <c r="A610" s="28"/>
      <c r="B610" s="28"/>
      <c r="C610" s="28"/>
      <c r="D610" s="28"/>
      <c r="E610" s="27"/>
      <c r="F610" s="27"/>
      <c r="G610" s="27"/>
    </row>
    <row r="611" spans="1:7" s="26" customFormat="1" ht="12.75">
      <c r="A611" s="28"/>
      <c r="B611" s="28"/>
      <c r="C611" s="28"/>
      <c r="D611" s="28"/>
      <c r="E611" s="27"/>
      <c r="F611" s="27"/>
      <c r="G611" s="27"/>
    </row>
    <row r="612" spans="1:7" s="26" customFormat="1" ht="12.75">
      <c r="A612" s="28"/>
      <c r="B612" s="28"/>
      <c r="C612" s="28"/>
      <c r="D612" s="28"/>
      <c r="E612" s="27"/>
      <c r="F612" s="27"/>
      <c r="G612" s="27"/>
    </row>
    <row r="613" spans="1:7" s="26" customFormat="1" ht="12.75">
      <c r="A613" s="28"/>
      <c r="B613" s="28"/>
      <c r="C613" s="28"/>
      <c r="D613" s="28"/>
      <c r="E613" s="27"/>
      <c r="F613" s="27"/>
      <c r="G613" s="27"/>
    </row>
    <row r="614" spans="1:7" s="26" customFormat="1" ht="12.75">
      <c r="A614" s="28"/>
      <c r="B614" s="28"/>
      <c r="C614" s="28"/>
      <c r="D614" s="28"/>
      <c r="E614" s="27"/>
      <c r="F614" s="27"/>
      <c r="G614" s="27"/>
    </row>
    <row r="615" spans="1:7" s="26" customFormat="1" ht="12.75">
      <c r="A615" s="28"/>
      <c r="B615" s="28"/>
      <c r="C615" s="28"/>
      <c r="D615" s="28"/>
      <c r="E615" s="27"/>
      <c r="F615" s="27"/>
      <c r="G615" s="27"/>
    </row>
    <row r="616" spans="1:7" s="26" customFormat="1" ht="12.75">
      <c r="A616" s="28"/>
      <c r="B616" s="28"/>
      <c r="C616" s="28"/>
      <c r="D616" s="28"/>
      <c r="E616" s="27"/>
      <c r="F616" s="27"/>
      <c r="G616" s="27"/>
    </row>
    <row r="617" spans="1:7" s="26" customFormat="1" ht="12.75">
      <c r="A617" s="28"/>
      <c r="B617" s="28"/>
      <c r="C617" s="28"/>
      <c r="D617" s="28"/>
      <c r="E617" s="27"/>
      <c r="F617" s="27"/>
      <c r="G617" s="27"/>
    </row>
    <row r="618" spans="1:7" s="26" customFormat="1" ht="12.75">
      <c r="A618" s="28"/>
      <c r="B618" s="28"/>
      <c r="C618" s="28"/>
      <c r="D618" s="28"/>
      <c r="E618" s="27"/>
      <c r="F618" s="27"/>
      <c r="G618" s="27"/>
    </row>
    <row r="619" spans="1:7" s="26" customFormat="1" ht="12.75">
      <c r="A619" s="28"/>
      <c r="B619" s="28"/>
      <c r="C619" s="28"/>
      <c r="D619" s="28"/>
      <c r="E619" s="27"/>
      <c r="F619" s="27"/>
      <c r="G619" s="27"/>
    </row>
    <row r="620" spans="1:7" s="26" customFormat="1" ht="12.75">
      <c r="A620" s="28"/>
      <c r="B620" s="28"/>
      <c r="C620" s="28"/>
      <c r="D620" s="28"/>
      <c r="E620" s="27"/>
      <c r="F620" s="27"/>
      <c r="G620" s="27"/>
    </row>
    <row r="621" spans="1:7" s="26" customFormat="1" ht="12.75">
      <c r="A621" s="28"/>
      <c r="B621" s="28"/>
      <c r="C621" s="28"/>
      <c r="D621" s="28"/>
      <c r="E621" s="27"/>
      <c r="F621" s="27"/>
      <c r="G621" s="27"/>
    </row>
    <row r="622" spans="1:7" s="26" customFormat="1" ht="12.75">
      <c r="A622" s="28"/>
      <c r="B622" s="28"/>
      <c r="C622" s="28"/>
      <c r="D622" s="28"/>
      <c r="E622" s="27"/>
      <c r="F622" s="27"/>
      <c r="G622" s="27"/>
    </row>
    <row r="623" spans="1:7" s="26" customFormat="1" ht="12.75">
      <c r="A623" s="28"/>
      <c r="B623" s="28"/>
      <c r="C623" s="28"/>
      <c r="D623" s="28"/>
      <c r="E623" s="27"/>
      <c r="F623" s="27"/>
      <c r="G623" s="27"/>
    </row>
    <row r="624" spans="1:7" s="26" customFormat="1" ht="12.75">
      <c r="A624" s="28"/>
      <c r="B624" s="28"/>
      <c r="C624" s="28"/>
      <c r="D624" s="28"/>
      <c r="E624" s="27"/>
      <c r="F624" s="27"/>
      <c r="G624" s="27"/>
    </row>
    <row r="625" spans="1:7" s="26" customFormat="1" ht="12.75">
      <c r="A625" s="28"/>
      <c r="B625" s="28"/>
      <c r="C625" s="28"/>
      <c r="D625" s="28"/>
      <c r="E625" s="27"/>
      <c r="F625" s="27"/>
      <c r="G625" s="27"/>
    </row>
    <row r="626" spans="1:7" s="26" customFormat="1" ht="12.75">
      <c r="A626" s="28"/>
      <c r="B626" s="28"/>
      <c r="C626" s="28"/>
      <c r="D626" s="28"/>
      <c r="E626" s="27"/>
      <c r="F626" s="27"/>
      <c r="G626" s="27"/>
    </row>
    <row r="627" spans="1:7" s="26" customFormat="1" ht="12.75">
      <c r="A627" s="28"/>
      <c r="B627" s="28"/>
      <c r="C627" s="28"/>
      <c r="D627" s="28"/>
      <c r="E627" s="27"/>
      <c r="F627" s="27"/>
      <c r="G627" s="27"/>
    </row>
    <row r="628" spans="1:7" s="26" customFormat="1" ht="12.75">
      <c r="A628" s="28"/>
      <c r="B628" s="28"/>
      <c r="C628" s="28"/>
      <c r="D628" s="28"/>
      <c r="E628" s="27"/>
      <c r="F628" s="27"/>
      <c r="G628" s="27"/>
    </row>
    <row r="629" spans="1:7" s="26" customFormat="1" ht="12.75">
      <c r="A629" s="28"/>
      <c r="B629" s="28"/>
      <c r="C629" s="28"/>
      <c r="D629" s="28"/>
      <c r="E629" s="27"/>
      <c r="F629" s="27"/>
      <c r="G629" s="27"/>
    </row>
    <row r="630" spans="1:7" s="26" customFormat="1" ht="12.75">
      <c r="A630" s="28"/>
      <c r="B630" s="28"/>
      <c r="C630" s="28"/>
      <c r="D630" s="28"/>
      <c r="E630" s="27"/>
      <c r="F630" s="27"/>
      <c r="G630" s="27"/>
    </row>
    <row r="631" spans="1:7" s="26" customFormat="1" ht="12.75">
      <c r="A631" s="28"/>
      <c r="B631" s="28"/>
      <c r="C631" s="28"/>
      <c r="D631" s="28"/>
      <c r="E631" s="27"/>
      <c r="F631" s="27"/>
      <c r="G631" s="27"/>
    </row>
    <row r="632" spans="1:7" s="26" customFormat="1" ht="12.75">
      <c r="A632" s="28"/>
      <c r="B632" s="28"/>
      <c r="C632" s="28"/>
      <c r="D632" s="28"/>
      <c r="E632" s="27"/>
      <c r="F632" s="27"/>
      <c r="G632" s="27"/>
    </row>
    <row r="633" spans="1:7" s="26" customFormat="1" ht="12.75">
      <c r="A633" s="28"/>
      <c r="B633" s="28"/>
      <c r="C633" s="28"/>
      <c r="D633" s="28"/>
      <c r="E633" s="27"/>
      <c r="F633" s="27"/>
      <c r="G633" s="27"/>
    </row>
    <row r="634" spans="1:7" s="26" customFormat="1" ht="12.75">
      <c r="A634" s="28"/>
      <c r="B634" s="28"/>
      <c r="C634" s="28"/>
      <c r="D634" s="28"/>
      <c r="E634" s="27"/>
      <c r="F634" s="27"/>
      <c r="G634" s="27"/>
    </row>
    <row r="635" spans="1:7" s="26" customFormat="1" ht="12.75">
      <c r="A635" s="28"/>
      <c r="B635" s="28"/>
      <c r="C635" s="28"/>
      <c r="D635" s="28"/>
      <c r="E635" s="27"/>
      <c r="F635" s="27"/>
      <c r="G635" s="27"/>
    </row>
    <row r="636" spans="1:7" s="26" customFormat="1" ht="12.75">
      <c r="A636" s="28"/>
      <c r="B636" s="28"/>
      <c r="C636" s="28"/>
      <c r="D636" s="28"/>
      <c r="E636" s="27"/>
      <c r="F636" s="27"/>
      <c r="G636" s="27"/>
    </row>
    <row r="637" spans="1:7" s="26" customFormat="1" ht="12.75">
      <c r="A637" s="28"/>
      <c r="B637" s="28"/>
      <c r="C637" s="28"/>
      <c r="D637" s="28"/>
      <c r="E637" s="27"/>
      <c r="F637" s="27"/>
      <c r="G637" s="27"/>
    </row>
    <row r="638" spans="1:7" s="26" customFormat="1" ht="12.75">
      <c r="A638" s="28"/>
      <c r="B638" s="28"/>
      <c r="C638" s="28"/>
      <c r="D638" s="28"/>
      <c r="E638" s="27"/>
      <c r="F638" s="27"/>
      <c r="G638" s="27"/>
    </row>
    <row r="639" spans="1:7" s="26" customFormat="1" ht="12.75">
      <c r="A639" s="28"/>
      <c r="B639" s="28"/>
      <c r="C639" s="28"/>
      <c r="D639" s="28"/>
      <c r="E639" s="27"/>
      <c r="F639" s="27"/>
      <c r="G639" s="27"/>
    </row>
    <row r="640" spans="1:7" s="26" customFormat="1" ht="12.75">
      <c r="A640" s="28"/>
      <c r="B640" s="28"/>
      <c r="C640" s="28"/>
      <c r="D640" s="28"/>
      <c r="E640" s="27"/>
      <c r="F640" s="27"/>
      <c r="G640" s="27"/>
    </row>
    <row r="641" spans="1:7" s="26" customFormat="1" ht="12.75">
      <c r="A641" s="28"/>
      <c r="B641" s="28"/>
      <c r="C641" s="28"/>
      <c r="D641" s="28"/>
      <c r="E641" s="27"/>
      <c r="F641" s="27"/>
      <c r="G641" s="27"/>
    </row>
    <row r="642" spans="1:7" s="26" customFormat="1" ht="12.75">
      <c r="A642" s="28"/>
      <c r="B642" s="28"/>
      <c r="C642" s="28"/>
      <c r="D642" s="28"/>
      <c r="E642" s="27"/>
      <c r="F642" s="27"/>
      <c r="G642" s="27"/>
    </row>
  </sheetData>
  <sheetProtection/>
  <mergeCells count="1">
    <mergeCell ref="A5:E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F30" sqref="F30"/>
    </sheetView>
  </sheetViews>
  <sheetFormatPr defaultColWidth="9.00390625" defaultRowHeight="12.75"/>
  <cols>
    <col min="1" max="1" width="5.625" style="9" customWidth="1"/>
    <col min="2" max="2" width="7.875" style="9" customWidth="1"/>
    <col min="3" max="3" width="5.75390625" style="9" customWidth="1"/>
    <col min="4" max="4" width="48.00390625" style="9" customWidth="1"/>
    <col min="5" max="5" width="21.625" style="9" customWidth="1"/>
  </cols>
  <sheetData>
    <row r="1" spans="1:5" ht="12.75">
      <c r="A1" s="68"/>
      <c r="B1" s="68"/>
      <c r="C1" s="68"/>
      <c r="D1" s="68"/>
      <c r="E1" s="69" t="s">
        <v>199</v>
      </c>
    </row>
    <row r="2" spans="1:5" ht="12.75">
      <c r="A2" s="68"/>
      <c r="B2" s="68"/>
      <c r="C2" s="68"/>
      <c r="D2" s="68"/>
      <c r="E2" s="69" t="s">
        <v>441</v>
      </c>
    </row>
    <row r="3" spans="1:5" ht="12.75">
      <c r="A3" s="68"/>
      <c r="B3" s="68"/>
      <c r="C3" s="68"/>
      <c r="D3" s="68"/>
      <c r="E3" s="69" t="s">
        <v>154</v>
      </c>
    </row>
    <row r="4" spans="1:5" ht="12.75">
      <c r="A4" s="68"/>
      <c r="B4" s="68"/>
      <c r="C4" s="68"/>
      <c r="D4" s="68"/>
      <c r="E4" s="69" t="s">
        <v>442</v>
      </c>
    </row>
    <row r="5" spans="1:5" ht="20.25" customHeight="1">
      <c r="A5" s="344" t="s">
        <v>416</v>
      </c>
      <c r="B5" s="344"/>
      <c r="C5" s="344"/>
      <c r="D5" s="344"/>
      <c r="E5" s="344"/>
    </row>
    <row r="6" spans="1:5" s="9" customFormat="1" ht="28.5" customHeight="1">
      <c r="A6" s="73" t="s">
        <v>0</v>
      </c>
      <c r="B6" s="73" t="s">
        <v>1</v>
      </c>
      <c r="C6" s="108" t="s">
        <v>2</v>
      </c>
      <c r="D6" s="73" t="s">
        <v>3</v>
      </c>
      <c r="E6" s="118" t="s">
        <v>146</v>
      </c>
    </row>
    <row r="7" spans="1:5" s="9" customFormat="1" ht="18" customHeight="1">
      <c r="A7" s="41" t="s">
        <v>15</v>
      </c>
      <c r="B7" s="33"/>
      <c r="C7" s="67"/>
      <c r="D7" s="44" t="s">
        <v>16</v>
      </c>
      <c r="E7" s="75">
        <f>SUM(E8)</f>
        <v>156600</v>
      </c>
    </row>
    <row r="8" spans="1:5" s="29" customFormat="1" ht="17.25" customHeight="1">
      <c r="A8" s="79"/>
      <c r="B8" s="79">
        <v>75011</v>
      </c>
      <c r="C8" s="80"/>
      <c r="D8" s="46" t="s">
        <v>17</v>
      </c>
      <c r="E8" s="105">
        <f>E9</f>
        <v>156600</v>
      </c>
    </row>
    <row r="9" spans="1:5" s="29" customFormat="1" ht="33.75">
      <c r="A9" s="79"/>
      <c r="B9" s="98"/>
      <c r="C9" s="81" t="s">
        <v>188</v>
      </c>
      <c r="D9" s="46" t="s">
        <v>226</v>
      </c>
      <c r="E9" s="105">
        <v>156600</v>
      </c>
    </row>
    <row r="10" spans="1:5" s="9" customFormat="1" ht="24">
      <c r="A10" s="41">
        <v>751</v>
      </c>
      <c r="B10" s="43"/>
      <c r="C10" s="76"/>
      <c r="D10" s="44" t="s">
        <v>20</v>
      </c>
      <c r="E10" s="77">
        <f>SUM(E11)</f>
        <v>3952</v>
      </c>
    </row>
    <row r="11" spans="1:5" s="29" customFormat="1" ht="22.5">
      <c r="A11" s="98"/>
      <c r="B11" s="79">
        <v>75101</v>
      </c>
      <c r="C11" s="80"/>
      <c r="D11" s="46" t="s">
        <v>21</v>
      </c>
      <c r="E11" s="106">
        <f>E12</f>
        <v>3952</v>
      </c>
    </row>
    <row r="12" spans="1:5" s="29" customFormat="1" ht="33.75">
      <c r="A12" s="98"/>
      <c r="B12" s="79"/>
      <c r="C12" s="81" t="s">
        <v>188</v>
      </c>
      <c r="D12" s="46" t="s">
        <v>231</v>
      </c>
      <c r="E12" s="106">
        <v>3952</v>
      </c>
    </row>
    <row r="13" spans="1:5" s="13" customFormat="1" ht="18.75" customHeight="1">
      <c r="A13" s="145" t="s">
        <v>112</v>
      </c>
      <c r="B13" s="146"/>
      <c r="C13" s="147"/>
      <c r="D13" s="148" t="s">
        <v>113</v>
      </c>
      <c r="E13" s="149">
        <f>SUM(E14,)</f>
        <v>4782</v>
      </c>
    </row>
    <row r="14" spans="1:5" s="29" customFormat="1" ht="18.75" customHeight="1">
      <c r="A14" s="79"/>
      <c r="B14" s="94" t="s">
        <v>114</v>
      </c>
      <c r="C14" s="98"/>
      <c r="D14" s="46" t="s">
        <v>53</v>
      </c>
      <c r="E14" s="105">
        <f>SUM(E15)</f>
        <v>4782</v>
      </c>
    </row>
    <row r="15" spans="1:5" s="29" customFormat="1" ht="33.75">
      <c r="A15" s="98"/>
      <c r="B15" s="79"/>
      <c r="C15" s="144">
        <v>2310</v>
      </c>
      <c r="D15" s="46" t="s">
        <v>248</v>
      </c>
      <c r="E15" s="83">
        <v>4782</v>
      </c>
    </row>
    <row r="16" spans="1:5" s="49" customFormat="1" ht="20.25" customHeight="1">
      <c r="A16" s="41" t="s">
        <v>163</v>
      </c>
      <c r="B16" s="43"/>
      <c r="C16" s="76"/>
      <c r="D16" s="44" t="s">
        <v>195</v>
      </c>
      <c r="E16" s="75">
        <f>SUM(E17,E19,E22,E26,E24)</f>
        <v>7964296</v>
      </c>
    </row>
    <row r="17" spans="1:5" s="29" customFormat="1" ht="33.75">
      <c r="A17" s="79"/>
      <c r="B17" s="59">
        <v>85212</v>
      </c>
      <c r="C17" s="91"/>
      <c r="D17" s="89" t="s">
        <v>370</v>
      </c>
      <c r="E17" s="103">
        <f>SUM(E18)</f>
        <v>6551300</v>
      </c>
    </row>
    <row r="18" spans="1:5" s="29" customFormat="1" ht="33.75">
      <c r="A18" s="79"/>
      <c r="B18" s="59"/>
      <c r="C18" s="91">
        <v>2010</v>
      </c>
      <c r="D18" s="46" t="s">
        <v>226</v>
      </c>
      <c r="E18" s="103">
        <v>6551300</v>
      </c>
    </row>
    <row r="19" spans="1:5" s="29" customFormat="1" ht="45">
      <c r="A19" s="79"/>
      <c r="B19" s="98">
        <v>85213</v>
      </c>
      <c r="C19" s="80"/>
      <c r="D19" s="89" t="s">
        <v>355</v>
      </c>
      <c r="E19" s="103">
        <f>SUM(E20:E21)</f>
        <v>49134</v>
      </c>
    </row>
    <row r="20" spans="1:5" s="29" customFormat="1" ht="33.75">
      <c r="A20" s="79"/>
      <c r="B20" s="98"/>
      <c r="C20" s="80">
        <v>2010</v>
      </c>
      <c r="D20" s="46" t="s">
        <v>226</v>
      </c>
      <c r="E20" s="103">
        <v>12000</v>
      </c>
    </row>
    <row r="21" spans="1:5" s="29" customFormat="1" ht="22.5">
      <c r="A21" s="79"/>
      <c r="B21" s="98"/>
      <c r="C21" s="80">
        <v>2030</v>
      </c>
      <c r="D21" s="89" t="s">
        <v>227</v>
      </c>
      <c r="E21" s="103">
        <v>37134</v>
      </c>
    </row>
    <row r="22" spans="1:5" s="29" customFormat="1" ht="22.5">
      <c r="A22" s="79"/>
      <c r="B22" s="79" t="s">
        <v>164</v>
      </c>
      <c r="C22" s="80"/>
      <c r="D22" s="46" t="s">
        <v>238</v>
      </c>
      <c r="E22" s="105">
        <f>SUM(E23:E23)</f>
        <v>539695</v>
      </c>
    </row>
    <row r="23" spans="1:5" s="29" customFormat="1" ht="22.5">
      <c r="A23" s="79"/>
      <c r="B23" s="79"/>
      <c r="C23" s="81">
        <v>2030</v>
      </c>
      <c r="D23" s="89" t="s">
        <v>227</v>
      </c>
      <c r="E23" s="105">
        <v>539695</v>
      </c>
    </row>
    <row r="24" spans="1:5" s="29" customFormat="1" ht="20.25" customHeight="1">
      <c r="A24" s="79"/>
      <c r="B24" s="79">
        <v>85216</v>
      </c>
      <c r="C24" s="81"/>
      <c r="D24" s="89" t="s">
        <v>378</v>
      </c>
      <c r="E24" s="105">
        <f>SUM(E25)</f>
        <v>449868</v>
      </c>
    </row>
    <row r="25" spans="1:5" s="29" customFormat="1" ht="22.5" customHeight="1">
      <c r="A25" s="79"/>
      <c r="B25" s="79"/>
      <c r="C25" s="81">
        <v>2030</v>
      </c>
      <c r="D25" s="89" t="s">
        <v>227</v>
      </c>
      <c r="E25" s="105">
        <v>449868</v>
      </c>
    </row>
    <row r="26" spans="1:5" s="29" customFormat="1" ht="19.5" customHeight="1">
      <c r="A26" s="79"/>
      <c r="B26" s="79" t="s">
        <v>165</v>
      </c>
      <c r="C26" s="80"/>
      <c r="D26" s="46" t="s">
        <v>60</v>
      </c>
      <c r="E26" s="105">
        <f>E27</f>
        <v>374299</v>
      </c>
    </row>
    <row r="27" spans="1:5" s="29" customFormat="1" ht="22.5">
      <c r="A27" s="79"/>
      <c r="B27" s="79"/>
      <c r="C27" s="81">
        <v>2030</v>
      </c>
      <c r="D27" s="89" t="s">
        <v>227</v>
      </c>
      <c r="E27" s="105">
        <v>374299</v>
      </c>
    </row>
    <row r="28" spans="1:5" s="9" customFormat="1" ht="21" customHeight="1">
      <c r="A28" s="41" t="s">
        <v>65</v>
      </c>
      <c r="B28" s="33"/>
      <c r="C28" s="67"/>
      <c r="D28" s="44" t="s">
        <v>71</v>
      </c>
      <c r="E28" s="75">
        <f>SUM(E29)</f>
        <v>60000</v>
      </c>
    </row>
    <row r="29" spans="1:5" s="29" customFormat="1" ht="18" customHeight="1">
      <c r="A29" s="79"/>
      <c r="B29" s="79" t="s">
        <v>66</v>
      </c>
      <c r="C29" s="80"/>
      <c r="D29" s="46" t="s">
        <v>67</v>
      </c>
      <c r="E29" s="105">
        <f>E30</f>
        <v>60000</v>
      </c>
    </row>
    <row r="30" spans="1:5" s="29" customFormat="1" ht="33.75">
      <c r="A30" s="79"/>
      <c r="B30" s="79"/>
      <c r="C30" s="81">
        <v>2320</v>
      </c>
      <c r="D30" s="46" t="s">
        <v>228</v>
      </c>
      <c r="E30" s="105">
        <v>60000</v>
      </c>
    </row>
    <row r="31" spans="1:5" s="29" customFormat="1" ht="19.5" customHeight="1">
      <c r="A31" s="125"/>
      <c r="B31" s="126"/>
      <c r="C31" s="127"/>
      <c r="D31" s="110" t="s">
        <v>70</v>
      </c>
      <c r="E31" s="112">
        <f>SUM(E28,E16,E10,E7,E13,)</f>
        <v>8189630</v>
      </c>
    </row>
    <row r="32" spans="1:3" ht="12.75">
      <c r="A32" s="68"/>
      <c r="B32" s="68"/>
      <c r="C32" s="68"/>
    </row>
    <row r="35" ht="12.75">
      <c r="E35" s="114"/>
    </row>
  </sheetData>
  <sheetProtection/>
  <mergeCells count="1">
    <mergeCell ref="A5:E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6.00390625" style="9" customWidth="1"/>
    <col min="2" max="2" width="7.75390625" style="9" customWidth="1"/>
    <col min="3" max="3" width="7.125" style="9" customWidth="1"/>
    <col min="4" max="4" width="45.625" style="9" customWidth="1"/>
    <col min="5" max="5" width="44.75390625" style="9" customWidth="1"/>
    <col min="6" max="6" width="14.00390625" style="9" customWidth="1"/>
    <col min="7" max="7" width="20.125" style="9" customWidth="1"/>
  </cols>
  <sheetData>
    <row r="1" ht="12.75">
      <c r="G1" s="29" t="s">
        <v>273</v>
      </c>
    </row>
    <row r="2" ht="12.75">
      <c r="G2" s="29" t="s">
        <v>441</v>
      </c>
    </row>
    <row r="3" ht="12.75">
      <c r="G3" s="29" t="s">
        <v>154</v>
      </c>
    </row>
    <row r="4" ht="12.75">
      <c r="G4" s="29" t="s">
        <v>442</v>
      </c>
    </row>
    <row r="5" spans="1:7" ht="21" customHeight="1">
      <c r="A5" s="345" t="s">
        <v>417</v>
      </c>
      <c r="B5" s="345"/>
      <c r="C5" s="345"/>
      <c r="D5" s="345"/>
      <c r="E5" s="345"/>
      <c r="F5" s="345"/>
      <c r="G5" s="345"/>
    </row>
    <row r="6" spans="1:7" ht="18.75" customHeight="1">
      <c r="A6" s="349" t="s">
        <v>371</v>
      </c>
      <c r="B6" s="349"/>
      <c r="C6" s="349"/>
      <c r="D6" s="349"/>
      <c r="E6" s="349"/>
      <c r="F6" s="349"/>
      <c r="G6" s="349"/>
    </row>
    <row r="7" spans="1:7" s="136" customFormat="1" ht="29.25" customHeight="1">
      <c r="A7" s="6" t="s">
        <v>0</v>
      </c>
      <c r="B7" s="6" t="s">
        <v>1</v>
      </c>
      <c r="C7" s="6" t="s">
        <v>2</v>
      </c>
      <c r="D7" s="6" t="s">
        <v>274</v>
      </c>
      <c r="E7" s="6" t="s">
        <v>275</v>
      </c>
      <c r="F7" s="6" t="s">
        <v>375</v>
      </c>
      <c r="G7" s="10" t="s">
        <v>276</v>
      </c>
    </row>
    <row r="8" spans="1:7" s="174" customFormat="1" ht="19.5" customHeight="1">
      <c r="A8" s="160">
        <v>801</v>
      </c>
      <c r="B8" s="4">
        <v>80104</v>
      </c>
      <c r="C8" s="5">
        <v>2510</v>
      </c>
      <c r="D8" s="236" t="s">
        <v>277</v>
      </c>
      <c r="E8" s="240" t="s">
        <v>278</v>
      </c>
      <c r="F8" s="236" t="s">
        <v>376</v>
      </c>
      <c r="G8" s="153">
        <v>3632917</v>
      </c>
    </row>
    <row r="9" spans="1:7" s="174" customFormat="1" ht="16.5" customHeight="1">
      <c r="A9" s="160">
        <v>801</v>
      </c>
      <c r="B9" s="160">
        <v>80146</v>
      </c>
      <c r="C9" s="4">
        <v>2510</v>
      </c>
      <c r="D9" s="237" t="s">
        <v>277</v>
      </c>
      <c r="E9" s="292" t="s">
        <v>279</v>
      </c>
      <c r="F9" s="237" t="s">
        <v>376</v>
      </c>
      <c r="G9" s="255">
        <v>15642</v>
      </c>
    </row>
    <row r="10" spans="1:7" s="174" customFormat="1" ht="24">
      <c r="A10" s="4">
        <v>853</v>
      </c>
      <c r="B10" s="4">
        <v>85311</v>
      </c>
      <c r="C10" s="4">
        <v>2710</v>
      </c>
      <c r="D10" s="236" t="s">
        <v>287</v>
      </c>
      <c r="E10" s="306" t="s">
        <v>350</v>
      </c>
      <c r="F10" s="310" t="s">
        <v>377</v>
      </c>
      <c r="G10" s="305">
        <v>10704</v>
      </c>
    </row>
    <row r="11" spans="1:7" s="174" customFormat="1" ht="24">
      <c r="A11" s="4">
        <v>854</v>
      </c>
      <c r="B11" s="4">
        <v>85495</v>
      </c>
      <c r="C11" s="4">
        <v>2320</v>
      </c>
      <c r="D11" s="236" t="s">
        <v>286</v>
      </c>
      <c r="E11" s="307" t="s">
        <v>428</v>
      </c>
      <c r="F11" s="308" t="s">
        <v>377</v>
      </c>
      <c r="G11" s="309">
        <v>199150</v>
      </c>
    </row>
    <row r="12" spans="1:7" s="174" customFormat="1" ht="16.5" customHeight="1">
      <c r="A12" s="4">
        <v>854</v>
      </c>
      <c r="B12" s="4">
        <v>85495</v>
      </c>
      <c r="C12" s="4">
        <v>2320</v>
      </c>
      <c r="D12" s="236" t="s">
        <v>287</v>
      </c>
      <c r="E12" s="240" t="s">
        <v>288</v>
      </c>
      <c r="F12" s="236" t="s">
        <v>377</v>
      </c>
      <c r="G12" s="305">
        <v>37095</v>
      </c>
    </row>
    <row r="13" spans="1:7" s="174" customFormat="1" ht="18.75" customHeight="1">
      <c r="A13" s="160" t="s">
        <v>65</v>
      </c>
      <c r="B13" s="4">
        <v>92109</v>
      </c>
      <c r="C13" s="5">
        <v>2480</v>
      </c>
      <c r="D13" s="236" t="s">
        <v>282</v>
      </c>
      <c r="E13" s="240" t="s">
        <v>283</v>
      </c>
      <c r="F13" s="236" t="s">
        <v>376</v>
      </c>
      <c r="G13" s="153">
        <v>753300</v>
      </c>
    </row>
    <row r="14" spans="1:7" s="174" customFormat="1" ht="24">
      <c r="A14" s="160">
        <v>921</v>
      </c>
      <c r="B14" s="160" t="s">
        <v>66</v>
      </c>
      <c r="C14" s="5">
        <v>2480</v>
      </c>
      <c r="D14" s="240" t="s">
        <v>284</v>
      </c>
      <c r="E14" s="240" t="s">
        <v>406</v>
      </c>
      <c r="F14" s="236" t="s">
        <v>376</v>
      </c>
      <c r="G14" s="153">
        <f>60000</f>
        <v>60000</v>
      </c>
    </row>
    <row r="15" spans="1:7" s="174" customFormat="1" ht="24" customHeight="1">
      <c r="A15" s="160">
        <v>921</v>
      </c>
      <c r="B15" s="160">
        <v>92116</v>
      </c>
      <c r="C15" s="5">
        <v>2480</v>
      </c>
      <c r="D15" s="240" t="s">
        <v>284</v>
      </c>
      <c r="E15" s="240" t="s">
        <v>283</v>
      </c>
      <c r="F15" s="236" t="s">
        <v>376</v>
      </c>
      <c r="G15" s="153">
        <v>1120352</v>
      </c>
    </row>
    <row r="16" spans="1:7" s="174" customFormat="1" ht="16.5" customHeight="1">
      <c r="A16" s="160">
        <v>921</v>
      </c>
      <c r="B16" s="160" t="s">
        <v>143</v>
      </c>
      <c r="C16" s="4">
        <v>2480</v>
      </c>
      <c r="D16" s="239" t="s">
        <v>285</v>
      </c>
      <c r="E16" s="240" t="s">
        <v>283</v>
      </c>
      <c r="F16" s="236" t="s">
        <v>376</v>
      </c>
      <c r="G16" s="153">
        <v>650000</v>
      </c>
    </row>
    <row r="17" spans="1:7" s="174" customFormat="1" ht="19.5" customHeight="1">
      <c r="A17" s="293"/>
      <c r="B17" s="294"/>
      <c r="C17" s="295"/>
      <c r="D17" s="238"/>
      <c r="E17" s="296"/>
      <c r="F17" s="297" t="s">
        <v>70</v>
      </c>
      <c r="G17" s="298">
        <f>SUM(G8:G16)</f>
        <v>6479160</v>
      </c>
    </row>
    <row r="18" spans="1:7" s="174" customFormat="1" ht="21" customHeight="1">
      <c r="A18" s="346" t="s">
        <v>372</v>
      </c>
      <c r="B18" s="347"/>
      <c r="C18" s="347"/>
      <c r="D18" s="347"/>
      <c r="E18" s="347"/>
      <c r="F18" s="347"/>
      <c r="G18" s="348"/>
    </row>
    <row r="19" spans="1:8" s="218" customFormat="1" ht="27" customHeight="1">
      <c r="A19" s="301" t="s">
        <v>4</v>
      </c>
      <c r="B19" s="301" t="s">
        <v>379</v>
      </c>
      <c r="C19" s="302">
        <v>2830</v>
      </c>
      <c r="D19" s="303" t="s">
        <v>381</v>
      </c>
      <c r="E19" s="303" t="s">
        <v>382</v>
      </c>
      <c r="F19" s="304" t="s">
        <v>377</v>
      </c>
      <c r="G19" s="305">
        <v>45000</v>
      </c>
      <c r="H19" s="254"/>
    </row>
    <row r="20" spans="1:7" s="174" customFormat="1" ht="24">
      <c r="A20" s="160">
        <v>801</v>
      </c>
      <c r="B20" s="4">
        <v>80101</v>
      </c>
      <c r="C20" s="5">
        <v>2590</v>
      </c>
      <c r="D20" s="240" t="s">
        <v>280</v>
      </c>
      <c r="E20" s="240" t="s">
        <v>373</v>
      </c>
      <c r="F20" s="236" t="s">
        <v>376</v>
      </c>
      <c r="G20" s="305">
        <v>746055</v>
      </c>
    </row>
    <row r="21" spans="1:7" s="174" customFormat="1" ht="24">
      <c r="A21" s="160">
        <v>801</v>
      </c>
      <c r="B21" s="293">
        <v>80103</v>
      </c>
      <c r="C21" s="4">
        <v>2590</v>
      </c>
      <c r="D21" s="306" t="s">
        <v>281</v>
      </c>
      <c r="E21" s="240" t="s">
        <v>374</v>
      </c>
      <c r="F21" s="236" t="s">
        <v>376</v>
      </c>
      <c r="G21" s="305">
        <v>41492</v>
      </c>
    </row>
    <row r="22" spans="1:7" s="174" customFormat="1" ht="24.75" customHeight="1">
      <c r="A22" s="160">
        <v>801</v>
      </c>
      <c r="B22" s="293">
        <v>80110</v>
      </c>
      <c r="C22" s="4">
        <v>2590</v>
      </c>
      <c r="D22" s="306" t="s">
        <v>422</v>
      </c>
      <c r="E22" s="240" t="s">
        <v>331</v>
      </c>
      <c r="F22" s="238" t="s">
        <v>376</v>
      </c>
      <c r="G22" s="305">
        <v>263533</v>
      </c>
    </row>
    <row r="23" spans="1:7" ht="28.5" customHeight="1">
      <c r="A23" s="311">
        <v>921</v>
      </c>
      <c r="B23" s="311">
        <v>92120</v>
      </c>
      <c r="C23" s="311">
        <v>2720</v>
      </c>
      <c r="D23" s="312" t="s">
        <v>386</v>
      </c>
      <c r="E23" s="312" t="s">
        <v>387</v>
      </c>
      <c r="F23" s="313" t="s">
        <v>377</v>
      </c>
      <c r="G23" s="314">
        <v>7500</v>
      </c>
    </row>
    <row r="24" spans="1:7" ht="19.5" customHeight="1">
      <c r="A24" s="315"/>
      <c r="B24" s="315"/>
      <c r="C24" s="315"/>
      <c r="D24" s="315"/>
      <c r="E24" s="315"/>
      <c r="F24" s="326" t="s">
        <v>70</v>
      </c>
      <c r="G24" s="316">
        <f>SUM(G19:G23)</f>
        <v>1103580</v>
      </c>
    </row>
    <row r="25" spans="1:7" ht="12.75">
      <c r="A25" s="174"/>
      <c r="B25" s="174"/>
      <c r="C25" s="174"/>
      <c r="D25" s="174"/>
      <c r="E25" s="350" t="s">
        <v>411</v>
      </c>
      <c r="F25" s="350"/>
      <c r="G25" s="317">
        <f>SUM(G17,G24)</f>
        <v>7582740</v>
      </c>
    </row>
  </sheetData>
  <sheetProtection/>
  <mergeCells count="4">
    <mergeCell ref="A5:G5"/>
    <mergeCell ref="A18:G18"/>
    <mergeCell ref="A6:G6"/>
    <mergeCell ref="E25:F25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E46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6.25390625" style="9" customWidth="1"/>
    <col min="2" max="2" width="7.25390625" style="9" bestFit="1" customWidth="1"/>
    <col min="3" max="3" width="5.75390625" style="9" customWidth="1"/>
    <col min="4" max="4" width="46.375" style="9" customWidth="1"/>
    <col min="5" max="5" width="21.75390625" style="0" customWidth="1"/>
  </cols>
  <sheetData>
    <row r="1" ht="12.75">
      <c r="E1" s="69" t="s">
        <v>234</v>
      </c>
    </row>
    <row r="2" spans="4:5" ht="12.75">
      <c r="D2" s="9" t="s">
        <v>223</v>
      </c>
      <c r="E2" s="69" t="s">
        <v>441</v>
      </c>
    </row>
    <row r="3" spans="4:5" ht="12.75">
      <c r="D3" s="9" t="s">
        <v>221</v>
      </c>
      <c r="E3" s="69" t="s">
        <v>154</v>
      </c>
    </row>
    <row r="4" ht="12.75">
      <c r="E4" s="69" t="s">
        <v>442</v>
      </c>
    </row>
    <row r="5" spans="1:5" ht="44.25" customHeight="1">
      <c r="A5" s="345" t="s">
        <v>418</v>
      </c>
      <c r="B5" s="345"/>
      <c r="C5" s="345"/>
      <c r="D5" s="345"/>
      <c r="E5" s="345"/>
    </row>
    <row r="6" spans="1:5" s="9" customFormat="1" ht="24.75" customHeight="1">
      <c r="A6" s="14" t="s">
        <v>0</v>
      </c>
      <c r="B6" s="14" t="s">
        <v>1</v>
      </c>
      <c r="C6" s="14" t="s">
        <v>2</v>
      </c>
      <c r="D6" s="20" t="s">
        <v>3</v>
      </c>
      <c r="E6" s="117" t="s">
        <v>146</v>
      </c>
    </row>
    <row r="7" spans="1:5" s="29" customFormat="1" ht="21" customHeight="1">
      <c r="A7" s="39" t="s">
        <v>15</v>
      </c>
      <c r="B7" s="6"/>
      <c r="C7" s="25"/>
      <c r="D7" s="37" t="s">
        <v>16</v>
      </c>
      <c r="E7" s="50">
        <f>SUM(E8)</f>
        <v>156600</v>
      </c>
    </row>
    <row r="8" spans="1:5" s="29" customFormat="1" ht="21" customHeight="1">
      <c r="A8" s="85"/>
      <c r="B8" s="85">
        <v>75011</v>
      </c>
      <c r="C8" s="92"/>
      <c r="D8" s="89" t="s">
        <v>17</v>
      </c>
      <c r="E8" s="104">
        <f>SUM(E9:E13)</f>
        <v>156600</v>
      </c>
    </row>
    <row r="9" spans="1:5" s="29" customFormat="1" ht="21" customHeight="1">
      <c r="A9" s="85"/>
      <c r="B9" s="59"/>
      <c r="C9" s="86">
        <v>4010</v>
      </c>
      <c r="D9" s="89" t="s">
        <v>87</v>
      </c>
      <c r="E9" s="104">
        <v>105300</v>
      </c>
    </row>
    <row r="10" spans="1:5" s="29" customFormat="1" ht="21" customHeight="1">
      <c r="A10" s="85"/>
      <c r="B10" s="59"/>
      <c r="C10" s="86">
        <v>4040</v>
      </c>
      <c r="D10" s="89" t="s">
        <v>88</v>
      </c>
      <c r="E10" s="104">
        <v>22400</v>
      </c>
    </row>
    <row r="11" spans="1:5" s="29" customFormat="1" ht="21" customHeight="1">
      <c r="A11" s="85"/>
      <c r="B11" s="59"/>
      <c r="C11" s="86">
        <v>4110</v>
      </c>
      <c r="D11" s="89" t="s">
        <v>89</v>
      </c>
      <c r="E11" s="104">
        <v>16500</v>
      </c>
    </row>
    <row r="12" spans="1:5" s="29" customFormat="1" ht="21" customHeight="1">
      <c r="A12" s="85"/>
      <c r="B12" s="59"/>
      <c r="C12" s="86">
        <v>4120</v>
      </c>
      <c r="D12" s="89" t="s">
        <v>90</v>
      </c>
      <c r="E12" s="104">
        <v>3100</v>
      </c>
    </row>
    <row r="13" spans="1:5" s="29" customFormat="1" ht="21" customHeight="1">
      <c r="A13" s="85"/>
      <c r="B13" s="59"/>
      <c r="C13" s="87">
        <v>4440</v>
      </c>
      <c r="D13" s="89" t="s">
        <v>91</v>
      </c>
      <c r="E13" s="104">
        <v>9300</v>
      </c>
    </row>
    <row r="14" spans="1:5" s="29" customFormat="1" ht="24">
      <c r="A14" s="39">
        <v>751</v>
      </c>
      <c r="B14" s="6"/>
      <c r="C14" s="25"/>
      <c r="D14" s="37" t="s">
        <v>20</v>
      </c>
      <c r="E14" s="50">
        <f>E15</f>
        <v>3952</v>
      </c>
    </row>
    <row r="15" spans="1:5" s="29" customFormat="1" ht="22.5">
      <c r="A15" s="59"/>
      <c r="B15" s="85">
        <v>75101</v>
      </c>
      <c r="C15" s="92"/>
      <c r="D15" s="89" t="s">
        <v>21</v>
      </c>
      <c r="E15" s="104">
        <f>SUM(E16:E18)</f>
        <v>3952</v>
      </c>
    </row>
    <row r="16" spans="1:5" s="29" customFormat="1" ht="21" customHeight="1">
      <c r="A16" s="59"/>
      <c r="B16" s="85"/>
      <c r="C16" s="86">
        <v>4010</v>
      </c>
      <c r="D16" s="16" t="s">
        <v>87</v>
      </c>
      <c r="E16" s="104">
        <v>3360</v>
      </c>
    </row>
    <row r="17" spans="1:5" s="29" customFormat="1" ht="21.75" customHeight="1">
      <c r="A17" s="59"/>
      <c r="B17" s="85"/>
      <c r="C17" s="86">
        <v>4110</v>
      </c>
      <c r="D17" s="16" t="s">
        <v>89</v>
      </c>
      <c r="E17" s="104">
        <v>510</v>
      </c>
    </row>
    <row r="18" spans="1:5" s="29" customFormat="1" ht="24" customHeight="1">
      <c r="A18" s="59"/>
      <c r="B18" s="85"/>
      <c r="C18" s="86">
        <v>4120</v>
      </c>
      <c r="D18" s="16" t="s">
        <v>90</v>
      </c>
      <c r="E18" s="104">
        <v>82</v>
      </c>
    </row>
    <row r="19" spans="1:213" s="29" customFormat="1" ht="21" customHeight="1">
      <c r="A19" s="39">
        <v>852</v>
      </c>
      <c r="B19" s="6"/>
      <c r="C19" s="25"/>
      <c r="D19" s="37" t="s">
        <v>195</v>
      </c>
      <c r="E19" s="50">
        <f>SUM(E20,E27,)</f>
        <v>6563300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</row>
    <row r="20" spans="1:213" s="29" customFormat="1" ht="33.75">
      <c r="A20" s="109"/>
      <c r="B20" s="59">
        <v>85212</v>
      </c>
      <c r="C20" s="91"/>
      <c r="D20" s="89" t="s">
        <v>370</v>
      </c>
      <c r="E20" s="104">
        <f>SUM(E21:E26)</f>
        <v>6551300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</row>
    <row r="21" spans="1:213" s="29" customFormat="1" ht="21" customHeight="1">
      <c r="A21" s="109"/>
      <c r="B21" s="59"/>
      <c r="C21" s="91">
        <v>3110</v>
      </c>
      <c r="D21" s="89" t="s">
        <v>115</v>
      </c>
      <c r="E21" s="83">
        <f>6354761-50000</f>
        <v>6304761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</row>
    <row r="22" spans="1:213" s="29" customFormat="1" ht="21" customHeight="1">
      <c r="A22" s="109"/>
      <c r="B22" s="59"/>
      <c r="C22" s="59">
        <v>4010</v>
      </c>
      <c r="D22" s="16" t="s">
        <v>87</v>
      </c>
      <c r="E22" s="83">
        <v>147564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</row>
    <row r="23" spans="1:213" s="29" customFormat="1" ht="21" customHeight="1">
      <c r="A23" s="109"/>
      <c r="B23" s="59"/>
      <c r="C23" s="59">
        <v>4040</v>
      </c>
      <c r="D23" s="16" t="s">
        <v>88</v>
      </c>
      <c r="E23" s="83">
        <v>15400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</row>
    <row r="24" spans="1:213" s="29" customFormat="1" ht="21" customHeight="1">
      <c r="A24" s="109"/>
      <c r="B24" s="59"/>
      <c r="C24" s="59">
        <v>4110</v>
      </c>
      <c r="D24" s="16" t="s">
        <v>89</v>
      </c>
      <c r="E24" s="83">
        <f>24700+50000</f>
        <v>74700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</row>
    <row r="25" spans="1:213" s="29" customFormat="1" ht="21" customHeight="1">
      <c r="A25" s="109"/>
      <c r="B25" s="59"/>
      <c r="C25" s="59">
        <v>4120</v>
      </c>
      <c r="D25" s="16" t="s">
        <v>90</v>
      </c>
      <c r="E25" s="83">
        <v>4000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</row>
    <row r="26" spans="1:213" s="29" customFormat="1" ht="21" customHeight="1">
      <c r="A26" s="109"/>
      <c r="B26" s="59"/>
      <c r="C26" s="59">
        <v>4440</v>
      </c>
      <c r="D26" s="16" t="s">
        <v>91</v>
      </c>
      <c r="E26" s="83">
        <v>4875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</row>
    <row r="27" spans="1:213" s="29" customFormat="1" ht="45">
      <c r="A27" s="85"/>
      <c r="B27" s="59">
        <v>85213</v>
      </c>
      <c r="C27" s="92"/>
      <c r="D27" s="89" t="s">
        <v>351</v>
      </c>
      <c r="E27" s="104">
        <f>SUM(E28)</f>
        <v>12000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</row>
    <row r="28" spans="1:213" s="29" customFormat="1" ht="21" customHeight="1">
      <c r="A28" s="85"/>
      <c r="B28" s="59"/>
      <c r="C28" s="92">
        <v>4130</v>
      </c>
      <c r="D28" s="89" t="s">
        <v>123</v>
      </c>
      <c r="E28" s="104">
        <v>12000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</row>
    <row r="29" spans="1:213" ht="21" customHeight="1">
      <c r="A29" s="12"/>
      <c r="B29" s="12"/>
      <c r="C29" s="12"/>
      <c r="D29" s="20" t="s">
        <v>70</v>
      </c>
      <c r="E29" s="50">
        <f>SUM(E19,E14,E7,)</f>
        <v>6723852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</row>
    <row r="31" ht="12.75">
      <c r="E31" s="29"/>
    </row>
    <row r="32" ht="12.75">
      <c r="E32" s="138"/>
    </row>
    <row r="33" ht="12.75">
      <c r="E33" s="29"/>
    </row>
    <row r="34" ht="12.75">
      <c r="E34" s="138"/>
    </row>
    <row r="35" ht="12.75">
      <c r="E35" s="29"/>
    </row>
    <row r="36" ht="12.75">
      <c r="E36" s="29"/>
    </row>
    <row r="37" ht="12.75">
      <c r="E37" s="138"/>
    </row>
    <row r="38" ht="12.75">
      <c r="E38" s="138"/>
    </row>
    <row r="39" ht="12.75">
      <c r="E39" s="29"/>
    </row>
    <row r="40" ht="12.75">
      <c r="E40" s="29"/>
    </row>
    <row r="41" ht="12.75">
      <c r="E41" s="138"/>
    </row>
    <row r="42" ht="12.75">
      <c r="E42" s="29"/>
    </row>
    <row r="43" ht="12.75">
      <c r="E43" s="29"/>
    </row>
    <row r="44" ht="12.75">
      <c r="E44" s="29"/>
    </row>
    <row r="45" ht="12.75">
      <c r="E45" s="29"/>
    </row>
    <row r="46" ht="12.75">
      <c r="E46" s="29"/>
    </row>
  </sheetData>
  <sheetProtection/>
  <mergeCells count="1">
    <mergeCell ref="A5:E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70">
      <selection activeCell="M32" sqref="M32"/>
    </sheetView>
  </sheetViews>
  <sheetFormatPr defaultColWidth="9.00390625" defaultRowHeight="12.75"/>
  <cols>
    <col min="1" max="1" width="5.625" style="9" customWidth="1"/>
    <col min="2" max="2" width="8.25390625" style="9" customWidth="1"/>
    <col min="3" max="3" width="6.75390625" style="9" customWidth="1"/>
    <col min="4" max="4" width="51.00390625" style="9" customWidth="1"/>
    <col min="5" max="5" width="12.25390625" style="0" hidden="1" customWidth="1"/>
    <col min="6" max="6" width="11.875" style="0" hidden="1" customWidth="1"/>
    <col min="7" max="7" width="11.25390625" style="0" hidden="1" customWidth="1"/>
    <col min="8" max="8" width="21.125" style="0" customWidth="1"/>
  </cols>
  <sheetData>
    <row r="1" spans="5:8" ht="12.75">
      <c r="E1" s="69"/>
      <c r="F1" s="69"/>
      <c r="G1" s="69"/>
      <c r="H1" s="69" t="s">
        <v>249</v>
      </c>
    </row>
    <row r="2" spans="5:8" ht="12.75">
      <c r="E2" s="69"/>
      <c r="F2" s="69"/>
      <c r="G2" s="69"/>
      <c r="H2" s="69" t="s">
        <v>441</v>
      </c>
    </row>
    <row r="3" spans="5:8" ht="12.75">
      <c r="E3" s="69"/>
      <c r="F3" s="69"/>
      <c r="G3" s="69"/>
      <c r="H3" s="69" t="s">
        <v>154</v>
      </c>
    </row>
    <row r="4" spans="5:8" ht="12.75">
      <c r="E4" s="69"/>
      <c r="F4" s="69"/>
      <c r="G4" s="69"/>
      <c r="H4" s="69" t="s">
        <v>442</v>
      </c>
    </row>
    <row r="5" spans="1:4" ht="17.25" customHeight="1">
      <c r="A5" s="351" t="s">
        <v>413</v>
      </c>
      <c r="B5" s="351"/>
      <c r="C5" s="351"/>
      <c r="D5" s="351"/>
    </row>
    <row r="6" spans="1:8" s="9" customFormat="1" ht="24" customHeight="1">
      <c r="A6" s="7" t="s">
        <v>0</v>
      </c>
      <c r="B6" s="6" t="s">
        <v>1</v>
      </c>
      <c r="C6" s="25" t="s">
        <v>2</v>
      </c>
      <c r="D6" s="6" t="s">
        <v>3</v>
      </c>
      <c r="E6" s="117" t="s">
        <v>146</v>
      </c>
      <c r="F6" s="117" t="s">
        <v>209</v>
      </c>
      <c r="G6" s="117" t="s">
        <v>208</v>
      </c>
      <c r="H6" s="117" t="s">
        <v>146</v>
      </c>
    </row>
    <row r="7" spans="1:8" s="8" customFormat="1" ht="21" customHeight="1">
      <c r="A7" s="36" t="s">
        <v>77</v>
      </c>
      <c r="B7" s="6"/>
      <c r="C7" s="25"/>
      <c r="D7" s="23" t="s">
        <v>78</v>
      </c>
      <c r="E7" s="48">
        <f>E8</f>
        <v>469300</v>
      </c>
      <c r="F7" s="48">
        <f>F8</f>
        <v>-100000</v>
      </c>
      <c r="G7" s="48">
        <f>G8</f>
        <v>1540000</v>
      </c>
      <c r="H7" s="48">
        <f>SUM(E7:G7)</f>
        <v>1909300</v>
      </c>
    </row>
    <row r="8" spans="1:8" s="29" customFormat="1" ht="21" customHeight="1">
      <c r="A8" s="84"/>
      <c r="B8" s="85" t="s">
        <v>79</v>
      </c>
      <c r="C8" s="92"/>
      <c r="D8" s="16" t="s">
        <v>80</v>
      </c>
      <c r="E8" s="66">
        <f>SUM(E9,)</f>
        <v>469300</v>
      </c>
      <c r="F8" s="66">
        <f>SUM(F9,)</f>
        <v>-100000</v>
      </c>
      <c r="G8" s="66">
        <f>SUM(G9,)</f>
        <v>1540000</v>
      </c>
      <c r="H8" s="327">
        <f aca="true" t="shared" si="0" ref="H8:H89">SUM(E8:G8)</f>
        <v>1909300</v>
      </c>
    </row>
    <row r="9" spans="1:8" s="29" customFormat="1" ht="21" customHeight="1">
      <c r="A9" s="90"/>
      <c r="B9" s="59"/>
      <c r="C9" s="92">
        <v>6050</v>
      </c>
      <c r="D9" s="16" t="s">
        <v>76</v>
      </c>
      <c r="E9" s="66">
        <f>SUM(E10:E19)</f>
        <v>469300</v>
      </c>
      <c r="F9" s="66">
        <f>SUM(F10:F19)</f>
        <v>-100000</v>
      </c>
      <c r="G9" s="66">
        <f>SUM(G10:G19)</f>
        <v>1540000</v>
      </c>
      <c r="H9" s="327">
        <f t="shared" si="0"/>
        <v>1909300</v>
      </c>
    </row>
    <row r="10" spans="1:8" s="223" customFormat="1" ht="21.75" customHeight="1">
      <c r="A10" s="328"/>
      <c r="B10" s="221"/>
      <c r="C10" s="222"/>
      <c r="D10" s="207" t="s">
        <v>388</v>
      </c>
      <c r="E10" s="224">
        <v>6300</v>
      </c>
      <c r="F10" s="224"/>
      <c r="G10" s="224"/>
      <c r="H10" s="329">
        <f t="shared" si="0"/>
        <v>6300</v>
      </c>
    </row>
    <row r="11" spans="1:8" s="223" customFormat="1" ht="21" customHeight="1">
      <c r="A11" s="328"/>
      <c r="B11" s="221"/>
      <c r="C11" s="222"/>
      <c r="D11" s="207" t="s">
        <v>394</v>
      </c>
      <c r="E11" s="224">
        <v>13000</v>
      </c>
      <c r="F11" s="224"/>
      <c r="G11" s="224"/>
      <c r="H11" s="329">
        <f t="shared" si="0"/>
        <v>13000</v>
      </c>
    </row>
    <row r="12" spans="1:8" s="223" customFormat="1" ht="21" customHeight="1">
      <c r="A12" s="328"/>
      <c r="B12" s="221"/>
      <c r="C12" s="222"/>
      <c r="D12" s="207" t="s">
        <v>446</v>
      </c>
      <c r="E12" s="224">
        <v>0</v>
      </c>
      <c r="F12" s="224"/>
      <c r="G12" s="332">
        <v>10000</v>
      </c>
      <c r="H12" s="329">
        <f t="shared" si="0"/>
        <v>10000</v>
      </c>
    </row>
    <row r="13" spans="1:8" s="223" customFormat="1" ht="21" customHeight="1">
      <c r="A13" s="328"/>
      <c r="B13" s="221"/>
      <c r="C13" s="222"/>
      <c r="D13" s="207" t="s">
        <v>395</v>
      </c>
      <c r="E13" s="224">
        <v>250000</v>
      </c>
      <c r="F13" s="224"/>
      <c r="G13" s="224"/>
      <c r="H13" s="329">
        <f t="shared" si="0"/>
        <v>250000</v>
      </c>
    </row>
    <row r="14" spans="1:8" s="223" customFormat="1" ht="33.75">
      <c r="A14" s="328"/>
      <c r="B14" s="221"/>
      <c r="C14" s="222"/>
      <c r="D14" s="207" t="s">
        <v>458</v>
      </c>
      <c r="E14" s="224">
        <v>0</v>
      </c>
      <c r="F14" s="224"/>
      <c r="G14" s="332">
        <v>500000</v>
      </c>
      <c r="H14" s="329">
        <f t="shared" si="0"/>
        <v>500000</v>
      </c>
    </row>
    <row r="15" spans="1:8" s="223" customFormat="1" ht="22.5">
      <c r="A15" s="328"/>
      <c r="B15" s="221"/>
      <c r="C15" s="222"/>
      <c r="D15" s="207" t="s">
        <v>448</v>
      </c>
      <c r="E15" s="224">
        <v>0</v>
      </c>
      <c r="F15" s="224"/>
      <c r="G15" s="332">
        <v>30000</v>
      </c>
      <c r="H15" s="329">
        <f t="shared" si="0"/>
        <v>30000</v>
      </c>
    </row>
    <row r="16" spans="1:8" s="223" customFormat="1" ht="33.75">
      <c r="A16" s="328"/>
      <c r="B16" s="221"/>
      <c r="C16" s="222"/>
      <c r="D16" s="207" t="s">
        <v>439</v>
      </c>
      <c r="E16" s="224">
        <v>0</v>
      </c>
      <c r="F16" s="224"/>
      <c r="G16" s="332">
        <v>500000</v>
      </c>
      <c r="H16" s="329">
        <f t="shared" si="0"/>
        <v>500000</v>
      </c>
    </row>
    <row r="17" spans="1:8" s="223" customFormat="1" ht="21" customHeight="1">
      <c r="A17" s="328"/>
      <c r="B17" s="221"/>
      <c r="C17" s="222"/>
      <c r="D17" s="207" t="s">
        <v>440</v>
      </c>
      <c r="E17" s="224">
        <v>0</v>
      </c>
      <c r="F17" s="224"/>
      <c r="G17" s="332">
        <v>500000</v>
      </c>
      <c r="H17" s="329">
        <f t="shared" si="0"/>
        <v>500000</v>
      </c>
    </row>
    <row r="18" spans="1:8" s="223" customFormat="1" ht="22.5">
      <c r="A18" s="328"/>
      <c r="B18" s="221"/>
      <c r="C18" s="222"/>
      <c r="D18" s="207" t="s">
        <v>396</v>
      </c>
      <c r="E18" s="224">
        <v>100000</v>
      </c>
      <c r="F18" s="224"/>
      <c r="G18" s="224"/>
      <c r="H18" s="329">
        <f t="shared" si="0"/>
        <v>100000</v>
      </c>
    </row>
    <row r="19" spans="1:8" s="223" customFormat="1" ht="21.75" customHeight="1" hidden="1">
      <c r="A19" s="328"/>
      <c r="B19" s="221"/>
      <c r="C19" s="222"/>
      <c r="D19" s="207" t="s">
        <v>397</v>
      </c>
      <c r="E19" s="224">
        <v>100000</v>
      </c>
      <c r="F19" s="332">
        <v>-100000</v>
      </c>
      <c r="G19" s="224"/>
      <c r="H19" s="329">
        <f t="shared" si="0"/>
        <v>0</v>
      </c>
    </row>
    <row r="20" spans="1:8" s="13" customFormat="1" ht="21" customHeight="1">
      <c r="A20" s="36" t="s">
        <v>8</v>
      </c>
      <c r="B20" s="6"/>
      <c r="C20" s="25"/>
      <c r="D20" s="23" t="s">
        <v>9</v>
      </c>
      <c r="E20" s="21">
        <f aca="true" t="shared" si="1" ref="E20:G21">SUM(E21)</f>
        <v>500000</v>
      </c>
      <c r="F20" s="21">
        <f t="shared" si="1"/>
        <v>-200000</v>
      </c>
      <c r="G20" s="21">
        <f t="shared" si="1"/>
        <v>0</v>
      </c>
      <c r="H20" s="48">
        <f t="shared" si="0"/>
        <v>300000</v>
      </c>
    </row>
    <row r="21" spans="1:8" s="29" customFormat="1" ht="21" customHeight="1">
      <c r="A21" s="84"/>
      <c r="B21" s="85">
        <v>70095</v>
      </c>
      <c r="C21" s="92"/>
      <c r="D21" s="16" t="s">
        <v>6</v>
      </c>
      <c r="E21" s="97">
        <f t="shared" si="1"/>
        <v>500000</v>
      </c>
      <c r="F21" s="97">
        <f t="shared" si="1"/>
        <v>-200000</v>
      </c>
      <c r="G21" s="97">
        <f t="shared" si="1"/>
        <v>0</v>
      </c>
      <c r="H21" s="327">
        <f t="shared" si="0"/>
        <v>300000</v>
      </c>
    </row>
    <row r="22" spans="1:8" s="29" customFormat="1" ht="21" customHeight="1">
      <c r="A22" s="84"/>
      <c r="B22" s="85"/>
      <c r="C22" s="86">
        <v>6050</v>
      </c>
      <c r="D22" s="16" t="s">
        <v>76</v>
      </c>
      <c r="E22" s="97">
        <f>SUM(E23:E23)</f>
        <v>500000</v>
      </c>
      <c r="F22" s="97">
        <f>SUM(F23:F23)</f>
        <v>-200000</v>
      </c>
      <c r="G22" s="97">
        <f>SUM(G23:G23)</f>
        <v>0</v>
      </c>
      <c r="H22" s="327">
        <f t="shared" si="0"/>
        <v>300000</v>
      </c>
    </row>
    <row r="23" spans="1:8" s="29" customFormat="1" ht="21" customHeight="1">
      <c r="A23" s="55"/>
      <c r="B23" s="54"/>
      <c r="C23" s="56"/>
      <c r="D23" s="57" t="s">
        <v>398</v>
      </c>
      <c r="E23" s="107">
        <v>500000</v>
      </c>
      <c r="F23" s="337">
        <v>-200000</v>
      </c>
      <c r="G23" s="107"/>
      <c r="H23" s="327">
        <f t="shared" si="0"/>
        <v>300000</v>
      </c>
    </row>
    <row r="24" spans="1:8" s="263" customFormat="1" ht="21" customHeight="1">
      <c r="A24" s="288">
        <v>710</v>
      </c>
      <c r="B24" s="289"/>
      <c r="C24" s="290"/>
      <c r="D24" s="44" t="s">
        <v>83</v>
      </c>
      <c r="E24" s="262">
        <f aca="true" t="shared" si="2" ref="E24:G26">SUM(E25)</f>
        <v>0</v>
      </c>
      <c r="F24" s="262">
        <f t="shared" si="2"/>
        <v>0</v>
      </c>
      <c r="G24" s="262">
        <f t="shared" si="2"/>
        <v>20000</v>
      </c>
      <c r="H24" s="333">
        <f t="shared" si="0"/>
        <v>20000</v>
      </c>
    </row>
    <row r="25" spans="1:8" s="199" customFormat="1" ht="21" customHeight="1">
      <c r="A25" s="201"/>
      <c r="B25" s="209">
        <v>71035</v>
      </c>
      <c r="C25" s="210"/>
      <c r="D25" s="46" t="s">
        <v>14</v>
      </c>
      <c r="E25" s="259">
        <f t="shared" si="2"/>
        <v>0</v>
      </c>
      <c r="F25" s="259">
        <f t="shared" si="2"/>
        <v>0</v>
      </c>
      <c r="G25" s="259">
        <f t="shared" si="2"/>
        <v>20000</v>
      </c>
      <c r="H25" s="327">
        <f t="shared" si="0"/>
        <v>20000</v>
      </c>
    </row>
    <row r="26" spans="1:8" s="199" customFormat="1" ht="21" customHeight="1">
      <c r="A26" s="201"/>
      <c r="B26" s="209"/>
      <c r="C26" s="210">
        <v>6050</v>
      </c>
      <c r="D26" s="16" t="s">
        <v>76</v>
      </c>
      <c r="E26" s="259">
        <f t="shared" si="2"/>
        <v>0</v>
      </c>
      <c r="F26" s="259">
        <f t="shared" si="2"/>
        <v>0</v>
      </c>
      <c r="G26" s="259">
        <f t="shared" si="2"/>
        <v>20000</v>
      </c>
      <c r="H26" s="327">
        <f t="shared" si="0"/>
        <v>20000</v>
      </c>
    </row>
    <row r="27" spans="1:8" s="29" customFormat="1" ht="22.5" customHeight="1">
      <c r="A27" s="55"/>
      <c r="B27" s="54"/>
      <c r="C27" s="56"/>
      <c r="D27" s="57" t="s">
        <v>455</v>
      </c>
      <c r="E27" s="107">
        <v>0</v>
      </c>
      <c r="F27" s="107">
        <v>0</v>
      </c>
      <c r="G27" s="337">
        <v>20000</v>
      </c>
      <c r="H27" s="327">
        <f t="shared" si="0"/>
        <v>20000</v>
      </c>
    </row>
    <row r="28" spans="1:8" s="263" customFormat="1" ht="21" customHeight="1">
      <c r="A28" s="288">
        <v>750</v>
      </c>
      <c r="B28" s="289"/>
      <c r="C28" s="290"/>
      <c r="D28" s="291" t="s">
        <v>86</v>
      </c>
      <c r="E28" s="262">
        <f aca="true" t="shared" si="3" ref="E28:G30">SUM(E29)</f>
        <v>150000</v>
      </c>
      <c r="F28" s="262">
        <f t="shared" si="3"/>
        <v>-100000</v>
      </c>
      <c r="G28" s="262">
        <f t="shared" si="3"/>
        <v>0</v>
      </c>
      <c r="H28" s="48">
        <f t="shared" si="0"/>
        <v>50000</v>
      </c>
    </row>
    <row r="29" spans="1:8" s="199" customFormat="1" ht="21" customHeight="1">
      <c r="A29" s="201"/>
      <c r="B29" s="209">
        <v>75023</v>
      </c>
      <c r="C29" s="210"/>
      <c r="D29" s="211" t="s">
        <v>19</v>
      </c>
      <c r="E29" s="259">
        <f t="shared" si="3"/>
        <v>150000</v>
      </c>
      <c r="F29" s="259">
        <f t="shared" si="3"/>
        <v>-100000</v>
      </c>
      <c r="G29" s="259">
        <f t="shared" si="3"/>
        <v>0</v>
      </c>
      <c r="H29" s="327">
        <f t="shared" si="0"/>
        <v>50000</v>
      </c>
    </row>
    <row r="30" spans="1:8" s="199" customFormat="1" ht="21" customHeight="1">
      <c r="A30" s="201"/>
      <c r="B30" s="209"/>
      <c r="C30" s="210">
        <v>6050</v>
      </c>
      <c r="D30" s="16" t="s">
        <v>76</v>
      </c>
      <c r="E30" s="259">
        <f t="shared" si="3"/>
        <v>150000</v>
      </c>
      <c r="F30" s="259">
        <f t="shared" si="3"/>
        <v>-100000</v>
      </c>
      <c r="G30" s="259">
        <f t="shared" si="3"/>
        <v>0</v>
      </c>
      <c r="H30" s="327">
        <f t="shared" si="0"/>
        <v>50000</v>
      </c>
    </row>
    <row r="31" spans="1:8" s="29" customFormat="1" ht="21" customHeight="1">
      <c r="A31" s="55"/>
      <c r="B31" s="54"/>
      <c r="C31" s="56"/>
      <c r="D31" s="57" t="s">
        <v>408</v>
      </c>
      <c r="E31" s="107">
        <v>150000</v>
      </c>
      <c r="F31" s="337">
        <v>-100000</v>
      </c>
      <c r="G31" s="107"/>
      <c r="H31" s="327">
        <f t="shared" si="0"/>
        <v>50000</v>
      </c>
    </row>
    <row r="32" spans="1:8" s="49" customFormat="1" ht="23.25" customHeight="1">
      <c r="A32" s="36">
        <v>754</v>
      </c>
      <c r="B32" s="6"/>
      <c r="C32" s="15"/>
      <c r="D32" s="23" t="s">
        <v>23</v>
      </c>
      <c r="E32" s="50">
        <f>SUM(E33,E39)</f>
        <v>25000</v>
      </c>
      <c r="F32" s="50">
        <f>SUM(F33,F39)</f>
        <v>0</v>
      </c>
      <c r="G32" s="50">
        <f>SUM(G33,G39)</f>
        <v>290000</v>
      </c>
      <c r="H32" s="50">
        <f>SUM(H33,H39)</f>
        <v>315000</v>
      </c>
    </row>
    <row r="33" spans="1:8" s="29" customFormat="1" ht="21" customHeight="1">
      <c r="A33" s="84"/>
      <c r="B33" s="94">
        <v>75412</v>
      </c>
      <c r="C33" s="98"/>
      <c r="D33" s="46" t="s">
        <v>103</v>
      </c>
      <c r="E33" s="104">
        <f>SUM(E34,E37)</f>
        <v>25000</v>
      </c>
      <c r="F33" s="104">
        <f>SUM(F34,F37)</f>
        <v>0</v>
      </c>
      <c r="G33" s="104">
        <f>SUM(G34,G37)</f>
        <v>220000</v>
      </c>
      <c r="H33" s="104">
        <f>SUM(H34,H37)</f>
        <v>245000</v>
      </c>
    </row>
    <row r="34" spans="1:8" s="29" customFormat="1" ht="21" customHeight="1">
      <c r="A34" s="85"/>
      <c r="B34" s="79"/>
      <c r="C34" s="98">
        <v>6050</v>
      </c>
      <c r="D34" s="16" t="s">
        <v>76</v>
      </c>
      <c r="E34" s="104">
        <f>SUM(E35:E36)</f>
        <v>0</v>
      </c>
      <c r="F34" s="104">
        <f>SUM(F35:F36)</f>
        <v>0</v>
      </c>
      <c r="G34" s="104">
        <f>SUM(G35:G36)</f>
        <v>220000</v>
      </c>
      <c r="H34" s="104">
        <f>SUM(H35:H36)</f>
        <v>220000</v>
      </c>
    </row>
    <row r="35" spans="1:8" s="223" customFormat="1" ht="26.25" customHeight="1">
      <c r="A35" s="287"/>
      <c r="B35" s="330"/>
      <c r="C35" s="331"/>
      <c r="D35" s="342" t="s">
        <v>450</v>
      </c>
      <c r="E35" s="224">
        <v>0</v>
      </c>
      <c r="F35" s="224"/>
      <c r="G35" s="224">
        <v>200000</v>
      </c>
      <c r="H35" s="329">
        <f t="shared" si="0"/>
        <v>200000</v>
      </c>
    </row>
    <row r="36" spans="1:8" s="223" customFormat="1" ht="21" customHeight="1">
      <c r="A36" s="220"/>
      <c r="B36" s="330"/>
      <c r="C36" s="334"/>
      <c r="D36" s="342" t="s">
        <v>443</v>
      </c>
      <c r="E36" s="224">
        <v>0</v>
      </c>
      <c r="F36" s="224"/>
      <c r="G36" s="224">
        <v>20000</v>
      </c>
      <c r="H36" s="329">
        <f t="shared" si="0"/>
        <v>20000</v>
      </c>
    </row>
    <row r="37" spans="1:8" s="29" customFormat="1" ht="22.5" customHeight="1">
      <c r="A37" s="84"/>
      <c r="B37" s="59"/>
      <c r="C37" s="87">
        <v>6060</v>
      </c>
      <c r="D37" s="16" t="s">
        <v>99</v>
      </c>
      <c r="E37" s="104">
        <f>SUM(E38)</f>
        <v>25000</v>
      </c>
      <c r="F37" s="104">
        <f>SUM(F38)</f>
        <v>0</v>
      </c>
      <c r="G37" s="104">
        <f>SUM(G38)</f>
        <v>0</v>
      </c>
      <c r="H37" s="327">
        <f t="shared" si="0"/>
        <v>25000</v>
      </c>
    </row>
    <row r="38" spans="1:8" s="32" customFormat="1" ht="19.5" customHeight="1">
      <c r="A38" s="55"/>
      <c r="B38" s="54"/>
      <c r="C38" s="56"/>
      <c r="D38" s="57" t="s">
        <v>399</v>
      </c>
      <c r="E38" s="107">
        <v>25000</v>
      </c>
      <c r="F38" s="107"/>
      <c r="G38" s="107"/>
      <c r="H38" s="327">
        <f t="shared" si="0"/>
        <v>25000</v>
      </c>
    </row>
    <row r="39" spans="1:8" s="199" customFormat="1" ht="21" customHeight="1">
      <c r="A39" s="201"/>
      <c r="B39" s="209">
        <v>75495</v>
      </c>
      <c r="C39" s="210"/>
      <c r="D39" s="16" t="s">
        <v>6</v>
      </c>
      <c r="E39" s="259">
        <f>SUM(E40)</f>
        <v>0</v>
      </c>
      <c r="F39" s="259">
        <f aca="true" t="shared" si="4" ref="F39:H40">SUM(F40)</f>
        <v>0</v>
      </c>
      <c r="G39" s="259">
        <f t="shared" si="4"/>
        <v>70000</v>
      </c>
      <c r="H39" s="259">
        <f t="shared" si="4"/>
        <v>70000</v>
      </c>
    </row>
    <row r="40" spans="1:8" s="199" customFormat="1" ht="21" customHeight="1">
      <c r="A40" s="201"/>
      <c r="B40" s="209"/>
      <c r="C40" s="210">
        <v>6050</v>
      </c>
      <c r="D40" s="16" t="s">
        <v>76</v>
      </c>
      <c r="E40" s="259">
        <f>SUM(E41)</f>
        <v>0</v>
      </c>
      <c r="F40" s="259">
        <f t="shared" si="4"/>
        <v>0</v>
      </c>
      <c r="G40" s="259">
        <f t="shared" si="4"/>
        <v>70000</v>
      </c>
      <c r="H40" s="259">
        <f t="shared" si="4"/>
        <v>70000</v>
      </c>
    </row>
    <row r="41" spans="1:8" s="223" customFormat="1" ht="33.75">
      <c r="A41" s="220"/>
      <c r="B41" s="221"/>
      <c r="C41" s="285"/>
      <c r="D41" s="207" t="s">
        <v>449</v>
      </c>
      <c r="E41" s="224">
        <v>0</v>
      </c>
      <c r="F41" s="224"/>
      <c r="G41" s="224">
        <v>70000</v>
      </c>
      <c r="H41" s="329">
        <f>SUM(E41:G41)</f>
        <v>70000</v>
      </c>
    </row>
    <row r="42" spans="1:8" s="49" customFormat="1" ht="21" customHeight="1">
      <c r="A42" s="36">
        <v>758</v>
      </c>
      <c r="B42" s="6"/>
      <c r="C42" s="15"/>
      <c r="D42" s="23" t="s">
        <v>48</v>
      </c>
      <c r="E42" s="50">
        <f aca="true" t="shared" si="5" ref="E42:G43">SUM(E43)</f>
        <v>216000</v>
      </c>
      <c r="F42" s="50">
        <f t="shared" si="5"/>
        <v>0</v>
      </c>
      <c r="G42" s="50">
        <f t="shared" si="5"/>
        <v>0</v>
      </c>
      <c r="H42" s="48">
        <f t="shared" si="0"/>
        <v>216000</v>
      </c>
    </row>
    <row r="43" spans="1:8" s="29" customFormat="1" ht="21" customHeight="1">
      <c r="A43" s="84"/>
      <c r="B43" s="59">
        <v>75818</v>
      </c>
      <c r="C43" s="87"/>
      <c r="D43" s="16" t="s">
        <v>110</v>
      </c>
      <c r="E43" s="104">
        <f t="shared" si="5"/>
        <v>216000</v>
      </c>
      <c r="F43" s="104">
        <f t="shared" si="5"/>
        <v>0</v>
      </c>
      <c r="G43" s="104">
        <f t="shared" si="5"/>
        <v>0</v>
      </c>
      <c r="H43" s="327">
        <f t="shared" si="0"/>
        <v>216000</v>
      </c>
    </row>
    <row r="44" spans="1:8" s="29" customFormat="1" ht="21" customHeight="1">
      <c r="A44" s="84"/>
      <c r="B44" s="59"/>
      <c r="C44" s="87">
        <v>6800</v>
      </c>
      <c r="D44" s="16" t="s">
        <v>306</v>
      </c>
      <c r="E44" s="104">
        <f>SUM(E45:E47)</f>
        <v>216000</v>
      </c>
      <c r="F44" s="104">
        <f>SUM(F45:F47)</f>
        <v>0</v>
      </c>
      <c r="G44" s="104">
        <f>SUM(G45:G47)</f>
        <v>0</v>
      </c>
      <c r="H44" s="327">
        <f t="shared" si="0"/>
        <v>216000</v>
      </c>
    </row>
    <row r="45" spans="1:8" s="223" customFormat="1" ht="21.75" customHeight="1">
      <c r="A45" s="220"/>
      <c r="B45" s="221"/>
      <c r="C45" s="285"/>
      <c r="D45" s="207" t="s">
        <v>401</v>
      </c>
      <c r="E45" s="224">
        <v>100000</v>
      </c>
      <c r="F45" s="224"/>
      <c r="G45" s="224"/>
      <c r="H45" s="329">
        <f t="shared" si="0"/>
        <v>100000</v>
      </c>
    </row>
    <row r="46" spans="1:8" s="223" customFormat="1" ht="33.75">
      <c r="A46" s="220"/>
      <c r="B46" s="221"/>
      <c r="C46" s="285"/>
      <c r="D46" s="207" t="s">
        <v>452</v>
      </c>
      <c r="E46" s="224">
        <v>100000</v>
      </c>
      <c r="F46" s="224"/>
      <c r="G46" s="224"/>
      <c r="H46" s="329">
        <f t="shared" si="0"/>
        <v>100000</v>
      </c>
    </row>
    <row r="47" spans="1:8" s="223" customFormat="1" ht="21" customHeight="1">
      <c r="A47" s="220"/>
      <c r="B47" s="221"/>
      <c r="C47" s="285"/>
      <c r="D47" s="207" t="s">
        <v>400</v>
      </c>
      <c r="E47" s="224">
        <v>16000</v>
      </c>
      <c r="F47" s="224"/>
      <c r="G47" s="224"/>
      <c r="H47" s="329">
        <f t="shared" si="0"/>
        <v>16000</v>
      </c>
    </row>
    <row r="48" spans="1:8" s="49" customFormat="1" ht="21" customHeight="1">
      <c r="A48" s="36">
        <v>801</v>
      </c>
      <c r="B48" s="6"/>
      <c r="C48" s="15"/>
      <c r="D48" s="23" t="s">
        <v>113</v>
      </c>
      <c r="E48" s="21">
        <f>SUM(,E55,E49,E61)</f>
        <v>6592300</v>
      </c>
      <c r="F48" s="21">
        <f>SUM(,F55,F49,F61)</f>
        <v>-861184</v>
      </c>
      <c r="G48" s="21">
        <f>SUM(,G55,G49,G61)</f>
        <v>0</v>
      </c>
      <c r="H48" s="48">
        <f t="shared" si="0"/>
        <v>5731116</v>
      </c>
    </row>
    <row r="49" spans="1:8" s="199" customFormat="1" ht="21" customHeight="1">
      <c r="A49" s="201"/>
      <c r="B49" s="209">
        <v>80101</v>
      </c>
      <c r="C49" s="210"/>
      <c r="D49" s="211" t="s">
        <v>53</v>
      </c>
      <c r="E49" s="212">
        <f>SUM(E50,E52,)</f>
        <v>670300</v>
      </c>
      <c r="F49" s="212">
        <f>SUM(F50,F52,)</f>
        <v>-110000</v>
      </c>
      <c r="G49" s="212">
        <f>SUM(G50,G52,)</f>
        <v>0</v>
      </c>
      <c r="H49" s="327">
        <f t="shared" si="0"/>
        <v>560300</v>
      </c>
    </row>
    <row r="50" spans="1:8" s="199" customFormat="1" ht="21" customHeight="1">
      <c r="A50" s="201"/>
      <c r="B50" s="209"/>
      <c r="C50" s="210">
        <v>6050</v>
      </c>
      <c r="D50" s="16" t="s">
        <v>76</v>
      </c>
      <c r="E50" s="212">
        <f>SUM(E51)</f>
        <v>660000</v>
      </c>
      <c r="F50" s="212">
        <f>SUM(F51)</f>
        <v>-110000</v>
      </c>
      <c r="G50" s="212">
        <f>SUM(G51)</f>
        <v>0</v>
      </c>
      <c r="H50" s="327">
        <f t="shared" si="0"/>
        <v>550000</v>
      </c>
    </row>
    <row r="51" spans="1:8" s="223" customFormat="1" ht="21" customHeight="1">
      <c r="A51" s="220"/>
      <c r="B51" s="221"/>
      <c r="C51" s="207"/>
      <c r="D51" s="207" t="s">
        <v>385</v>
      </c>
      <c r="E51" s="208">
        <v>660000</v>
      </c>
      <c r="F51" s="208">
        <v>-110000</v>
      </c>
      <c r="G51" s="208"/>
      <c r="H51" s="329">
        <f t="shared" si="0"/>
        <v>550000</v>
      </c>
    </row>
    <row r="52" spans="1:8" s="199" customFormat="1" ht="21" customHeight="1">
      <c r="A52" s="201"/>
      <c r="B52" s="209"/>
      <c r="C52" s="210">
        <v>6060</v>
      </c>
      <c r="D52" s="16" t="s">
        <v>99</v>
      </c>
      <c r="E52" s="212">
        <f>SUM(E53:E54)</f>
        <v>10300</v>
      </c>
      <c r="F52" s="212">
        <f>SUM(F53:F54)</f>
        <v>0</v>
      </c>
      <c r="G52" s="212">
        <f>SUM(G53:G54)</f>
        <v>0</v>
      </c>
      <c r="H52" s="327">
        <f t="shared" si="0"/>
        <v>10300</v>
      </c>
    </row>
    <row r="53" spans="1:8" s="223" customFormat="1" ht="21" customHeight="1">
      <c r="A53" s="220"/>
      <c r="B53" s="221"/>
      <c r="C53" s="285"/>
      <c r="D53" s="207" t="s">
        <v>453</v>
      </c>
      <c r="E53" s="208">
        <v>5800</v>
      </c>
      <c r="F53" s="208"/>
      <c r="G53" s="208"/>
      <c r="H53" s="329">
        <f t="shared" si="0"/>
        <v>5800</v>
      </c>
    </row>
    <row r="54" spans="1:8" s="223" customFormat="1" ht="21.75" customHeight="1">
      <c r="A54" s="220"/>
      <c r="B54" s="221"/>
      <c r="C54" s="285"/>
      <c r="D54" s="207" t="s">
        <v>454</v>
      </c>
      <c r="E54" s="208">
        <v>4500</v>
      </c>
      <c r="F54" s="208"/>
      <c r="G54" s="208"/>
      <c r="H54" s="329">
        <f t="shared" si="0"/>
        <v>4500</v>
      </c>
    </row>
    <row r="55" spans="1:8" s="29" customFormat="1" ht="21" customHeight="1">
      <c r="A55" s="84"/>
      <c r="B55" s="59">
        <v>80110</v>
      </c>
      <c r="C55" s="87"/>
      <c r="D55" s="16" t="s">
        <v>54</v>
      </c>
      <c r="E55" s="97">
        <f>SUM(E56)</f>
        <v>5918000</v>
      </c>
      <c r="F55" s="97">
        <f>SUM(F56)</f>
        <v>-751184</v>
      </c>
      <c r="G55" s="97">
        <f>SUM(G56)</f>
        <v>0</v>
      </c>
      <c r="H55" s="327">
        <f t="shared" si="0"/>
        <v>5166816</v>
      </c>
    </row>
    <row r="56" spans="1:8" s="29" customFormat="1" ht="21" customHeight="1">
      <c r="A56" s="84"/>
      <c r="B56" s="59"/>
      <c r="C56" s="87">
        <v>6050</v>
      </c>
      <c r="D56" s="16" t="s">
        <v>76</v>
      </c>
      <c r="E56" s="97">
        <f>SUM(E57:E60)</f>
        <v>5918000</v>
      </c>
      <c r="F56" s="97">
        <f>SUM(F57:F60)</f>
        <v>-751184</v>
      </c>
      <c r="G56" s="97">
        <f>SUM(G57:G60)</f>
        <v>0</v>
      </c>
      <c r="H56" s="327">
        <f t="shared" si="0"/>
        <v>5166816</v>
      </c>
    </row>
    <row r="57" spans="1:8" s="223" customFormat="1" ht="21.75" customHeight="1">
      <c r="A57" s="220"/>
      <c r="B57" s="221"/>
      <c r="C57" s="285"/>
      <c r="D57" s="207" t="s">
        <v>383</v>
      </c>
      <c r="E57" s="208">
        <v>4350000</v>
      </c>
      <c r="F57" s="208">
        <v>-138184</v>
      </c>
      <c r="G57" s="208"/>
      <c r="H57" s="329">
        <f t="shared" si="0"/>
        <v>4211816</v>
      </c>
    </row>
    <row r="58" spans="1:8" s="223" customFormat="1" ht="21" customHeight="1">
      <c r="A58" s="220"/>
      <c r="B58" s="221"/>
      <c r="C58" s="285"/>
      <c r="D58" s="207" t="s">
        <v>384</v>
      </c>
      <c r="E58" s="208">
        <v>868000</v>
      </c>
      <c r="F58" s="208">
        <v>-213000</v>
      </c>
      <c r="G58" s="208"/>
      <c r="H58" s="329">
        <f t="shared" si="0"/>
        <v>655000</v>
      </c>
    </row>
    <row r="59" spans="1:8" s="223" customFormat="1" ht="21" customHeight="1">
      <c r="A59" s="220"/>
      <c r="B59" s="221"/>
      <c r="C59" s="285"/>
      <c r="D59" s="207" t="s">
        <v>392</v>
      </c>
      <c r="E59" s="208">
        <v>600000</v>
      </c>
      <c r="F59" s="208">
        <v>-400000</v>
      </c>
      <c r="G59" s="208"/>
      <c r="H59" s="329">
        <f t="shared" si="0"/>
        <v>200000</v>
      </c>
    </row>
    <row r="60" spans="1:8" s="223" customFormat="1" ht="24" customHeight="1">
      <c r="A60" s="220"/>
      <c r="B60" s="221"/>
      <c r="C60" s="285"/>
      <c r="D60" s="207" t="s">
        <v>393</v>
      </c>
      <c r="E60" s="208">
        <v>100000</v>
      </c>
      <c r="F60" s="208"/>
      <c r="G60" s="208"/>
      <c r="H60" s="329">
        <f t="shared" si="0"/>
        <v>100000</v>
      </c>
    </row>
    <row r="61" spans="1:8" s="199" customFormat="1" ht="21" customHeight="1">
      <c r="A61" s="201"/>
      <c r="B61" s="209">
        <v>80148</v>
      </c>
      <c r="C61" s="210"/>
      <c r="D61" s="211" t="s">
        <v>295</v>
      </c>
      <c r="E61" s="212">
        <f aca="true" t="shared" si="6" ref="E61:G62">SUM(E62)</f>
        <v>4000</v>
      </c>
      <c r="F61" s="212">
        <f t="shared" si="6"/>
        <v>0</v>
      </c>
      <c r="G61" s="212">
        <f t="shared" si="6"/>
        <v>0</v>
      </c>
      <c r="H61" s="327">
        <f t="shared" si="0"/>
        <v>4000</v>
      </c>
    </row>
    <row r="62" spans="1:8" s="199" customFormat="1" ht="25.5" customHeight="1">
      <c r="A62" s="201"/>
      <c r="B62" s="209"/>
      <c r="C62" s="210">
        <v>6060</v>
      </c>
      <c r="D62" s="16" t="s">
        <v>99</v>
      </c>
      <c r="E62" s="212">
        <f t="shared" si="6"/>
        <v>4000</v>
      </c>
      <c r="F62" s="212">
        <f t="shared" si="6"/>
        <v>0</v>
      </c>
      <c r="G62" s="212">
        <f t="shared" si="6"/>
        <v>0</v>
      </c>
      <c r="H62" s="327">
        <f t="shared" si="0"/>
        <v>4000</v>
      </c>
    </row>
    <row r="63" spans="1:8" s="32" customFormat="1" ht="21" customHeight="1">
      <c r="A63" s="55"/>
      <c r="B63" s="54"/>
      <c r="C63" s="56"/>
      <c r="D63" s="57" t="s">
        <v>423</v>
      </c>
      <c r="E63" s="58">
        <v>4000</v>
      </c>
      <c r="F63" s="58"/>
      <c r="G63" s="58"/>
      <c r="H63" s="327">
        <f t="shared" si="0"/>
        <v>4000</v>
      </c>
    </row>
    <row r="64" spans="1:8" s="49" customFormat="1" ht="21" customHeight="1" hidden="1">
      <c r="A64" s="36">
        <v>854</v>
      </c>
      <c r="B64" s="6"/>
      <c r="C64" s="15"/>
      <c r="D64" s="23" t="s">
        <v>61</v>
      </c>
      <c r="E64" s="50">
        <f>SUM(E65,)</f>
        <v>100000</v>
      </c>
      <c r="F64" s="50">
        <f>SUM(F65,)</f>
        <v>-100000</v>
      </c>
      <c r="G64" s="50">
        <f>SUM(G65,)</f>
        <v>0</v>
      </c>
      <c r="H64" s="48">
        <f t="shared" si="0"/>
        <v>0</v>
      </c>
    </row>
    <row r="65" spans="1:8" s="29" customFormat="1" ht="22.5" hidden="1">
      <c r="A65" s="84"/>
      <c r="B65" s="59">
        <v>85412</v>
      </c>
      <c r="C65" s="87"/>
      <c r="D65" s="46" t="s">
        <v>167</v>
      </c>
      <c r="E65" s="104">
        <f>SUM(E66)</f>
        <v>100000</v>
      </c>
      <c r="F65" s="104">
        <f>SUM(F66)</f>
        <v>-100000</v>
      </c>
      <c r="G65" s="104">
        <f>SUM(G66)</f>
        <v>0</v>
      </c>
      <c r="H65" s="327">
        <f t="shared" si="0"/>
        <v>0</v>
      </c>
    </row>
    <row r="66" spans="1:8" s="29" customFormat="1" ht="21" customHeight="1" hidden="1">
      <c r="A66" s="84"/>
      <c r="B66" s="59"/>
      <c r="C66" s="87">
        <v>6050</v>
      </c>
      <c r="D66" s="16" t="s">
        <v>76</v>
      </c>
      <c r="E66" s="104">
        <f>SUM(E67:E67)</f>
        <v>100000</v>
      </c>
      <c r="F66" s="104">
        <f>SUM(F67:F67)</f>
        <v>-100000</v>
      </c>
      <c r="G66" s="104">
        <f>SUM(G67:G67)</f>
        <v>0</v>
      </c>
      <c r="H66" s="327">
        <f t="shared" si="0"/>
        <v>0</v>
      </c>
    </row>
    <row r="67" spans="1:8" s="32" customFormat="1" ht="21" customHeight="1" hidden="1">
      <c r="A67" s="55"/>
      <c r="B67" s="54"/>
      <c r="C67" s="56"/>
      <c r="D67" s="57" t="s">
        <v>402</v>
      </c>
      <c r="E67" s="107">
        <v>100000</v>
      </c>
      <c r="F67" s="107">
        <v>-100000</v>
      </c>
      <c r="G67" s="107"/>
      <c r="H67" s="327">
        <f t="shared" si="0"/>
        <v>0</v>
      </c>
    </row>
    <row r="68" spans="1:8" s="49" customFormat="1" ht="21" customHeight="1">
      <c r="A68" s="36" t="s">
        <v>130</v>
      </c>
      <c r="B68" s="6"/>
      <c r="C68" s="25"/>
      <c r="D68" s="23" t="s">
        <v>63</v>
      </c>
      <c r="E68" s="21">
        <f>SUM(E69,E77)</f>
        <v>140000</v>
      </c>
      <c r="F68" s="21">
        <f>SUM(F69,F77)</f>
        <v>0</v>
      </c>
      <c r="G68" s="21">
        <f>SUM(G69,G77)</f>
        <v>735000</v>
      </c>
      <c r="H68" s="21">
        <f>SUM(H69,H77)</f>
        <v>875000</v>
      </c>
    </row>
    <row r="69" spans="1:8" s="29" customFormat="1" ht="21" customHeight="1">
      <c r="A69" s="84"/>
      <c r="B69" s="85" t="s">
        <v>131</v>
      </c>
      <c r="C69" s="92"/>
      <c r="D69" s="16" t="s">
        <v>64</v>
      </c>
      <c r="E69" s="97">
        <f>SUM(E75,E70)</f>
        <v>140000</v>
      </c>
      <c r="F69" s="97">
        <f>SUM(F75,F70)</f>
        <v>0</v>
      </c>
      <c r="G69" s="97">
        <f>SUM(G75,G70)</f>
        <v>720000</v>
      </c>
      <c r="H69" s="327">
        <f t="shared" si="0"/>
        <v>860000</v>
      </c>
    </row>
    <row r="70" spans="1:8" s="29" customFormat="1" ht="21" customHeight="1">
      <c r="A70" s="84"/>
      <c r="B70" s="85"/>
      <c r="C70" s="92">
        <v>6050</v>
      </c>
      <c r="D70" s="16" t="s">
        <v>76</v>
      </c>
      <c r="E70" s="97">
        <f>SUM(E71:E74)</f>
        <v>0</v>
      </c>
      <c r="F70" s="97">
        <f>SUM(F71:F74)</f>
        <v>0</v>
      </c>
      <c r="G70" s="97">
        <f>SUM(G71:G74)</f>
        <v>720000</v>
      </c>
      <c r="H70" s="327">
        <f t="shared" si="0"/>
        <v>720000</v>
      </c>
    </row>
    <row r="71" spans="1:8" s="223" customFormat="1" ht="36.75" customHeight="1">
      <c r="A71" s="220"/>
      <c r="B71" s="287"/>
      <c r="C71" s="222"/>
      <c r="D71" s="207" t="s">
        <v>438</v>
      </c>
      <c r="E71" s="208">
        <v>0</v>
      </c>
      <c r="F71" s="208"/>
      <c r="G71" s="208">
        <v>400000</v>
      </c>
      <c r="H71" s="329">
        <f t="shared" si="0"/>
        <v>400000</v>
      </c>
    </row>
    <row r="72" spans="1:8" s="223" customFormat="1" ht="22.5">
      <c r="A72" s="220"/>
      <c r="B72" s="287"/>
      <c r="C72" s="222"/>
      <c r="D72" s="207" t="s">
        <v>459</v>
      </c>
      <c r="E72" s="208">
        <v>0</v>
      </c>
      <c r="F72" s="208"/>
      <c r="G72" s="208">
        <v>65000</v>
      </c>
      <c r="H72" s="329">
        <f t="shared" si="0"/>
        <v>65000</v>
      </c>
    </row>
    <row r="73" spans="1:8" s="223" customFormat="1" ht="22.5" customHeight="1">
      <c r="A73" s="220"/>
      <c r="B73" s="287"/>
      <c r="C73" s="222"/>
      <c r="D73" s="207" t="s">
        <v>437</v>
      </c>
      <c r="E73" s="208">
        <v>0</v>
      </c>
      <c r="F73" s="208"/>
      <c r="G73" s="208">
        <v>250000</v>
      </c>
      <c r="H73" s="329">
        <f t="shared" si="0"/>
        <v>250000</v>
      </c>
    </row>
    <row r="74" spans="1:8" s="223" customFormat="1" ht="21" customHeight="1">
      <c r="A74" s="220"/>
      <c r="B74" s="287"/>
      <c r="C74" s="222"/>
      <c r="D74" s="207" t="s">
        <v>451</v>
      </c>
      <c r="E74" s="208">
        <v>0</v>
      </c>
      <c r="F74" s="208"/>
      <c r="G74" s="208">
        <v>5000</v>
      </c>
      <c r="H74" s="329">
        <f t="shared" si="0"/>
        <v>5000</v>
      </c>
    </row>
    <row r="75" spans="1:8" s="32" customFormat="1" ht="33.75">
      <c r="A75" s="55"/>
      <c r="B75" s="111"/>
      <c r="C75" s="85">
        <v>6010</v>
      </c>
      <c r="D75" s="16" t="s">
        <v>348</v>
      </c>
      <c r="E75" s="107">
        <f>SUM(E76)</f>
        <v>140000</v>
      </c>
      <c r="F75" s="107">
        <f>SUM(F76)</f>
        <v>0</v>
      </c>
      <c r="G75" s="107">
        <f>SUM(G76)</f>
        <v>0</v>
      </c>
      <c r="H75" s="327">
        <f t="shared" si="0"/>
        <v>140000</v>
      </c>
    </row>
    <row r="76" spans="1:8" s="32" customFormat="1" ht="23.25" customHeight="1">
      <c r="A76" s="55"/>
      <c r="B76" s="111"/>
      <c r="C76" s="119"/>
      <c r="D76" s="60" t="s">
        <v>403</v>
      </c>
      <c r="E76" s="107">
        <v>140000</v>
      </c>
      <c r="F76" s="107"/>
      <c r="G76" s="107"/>
      <c r="H76" s="327">
        <f t="shared" si="0"/>
        <v>140000</v>
      </c>
    </row>
    <row r="77" spans="1:8" s="199" customFormat="1" ht="23.25" customHeight="1">
      <c r="A77" s="201"/>
      <c r="B77" s="202">
        <v>90015</v>
      </c>
      <c r="C77" s="203"/>
      <c r="D77" s="46" t="s">
        <v>138</v>
      </c>
      <c r="E77" s="259">
        <f>SUM(E78)</f>
        <v>0</v>
      </c>
      <c r="F77" s="259">
        <f>SUM(F78)</f>
        <v>0</v>
      </c>
      <c r="G77" s="259">
        <f>SUM(G78)</f>
        <v>15000</v>
      </c>
      <c r="H77" s="259">
        <f>SUM(H78)</f>
        <v>15000</v>
      </c>
    </row>
    <row r="78" spans="1:8" s="199" customFormat="1" ht="23.25" customHeight="1">
      <c r="A78" s="201"/>
      <c r="B78" s="202"/>
      <c r="C78" s="203">
        <v>6050</v>
      </c>
      <c r="D78" s="16" t="s">
        <v>76</v>
      </c>
      <c r="E78" s="259">
        <f>SUM(E79:E80)</f>
        <v>0</v>
      </c>
      <c r="F78" s="259">
        <f>SUM(F79:F80)</f>
        <v>0</v>
      </c>
      <c r="G78" s="259">
        <f>SUM(G79:G80)</f>
        <v>15000</v>
      </c>
      <c r="H78" s="259">
        <f>SUM(H79:H80)</f>
        <v>15000</v>
      </c>
    </row>
    <row r="79" spans="1:8" s="223" customFormat="1" ht="23.25" customHeight="1">
      <c r="A79" s="220"/>
      <c r="B79" s="287"/>
      <c r="C79" s="335"/>
      <c r="D79" s="336" t="s">
        <v>444</v>
      </c>
      <c r="E79" s="224">
        <v>0</v>
      </c>
      <c r="F79" s="224"/>
      <c r="G79" s="224">
        <v>5000</v>
      </c>
      <c r="H79" s="329">
        <f>SUM(E79:G79)</f>
        <v>5000</v>
      </c>
    </row>
    <row r="80" spans="1:8" s="223" customFormat="1" ht="23.25" customHeight="1">
      <c r="A80" s="220"/>
      <c r="B80" s="287"/>
      <c r="C80" s="335"/>
      <c r="D80" s="336" t="s">
        <v>445</v>
      </c>
      <c r="E80" s="224">
        <v>0</v>
      </c>
      <c r="F80" s="224"/>
      <c r="G80" s="224">
        <v>10000</v>
      </c>
      <c r="H80" s="329">
        <f>SUM(E80:G80)</f>
        <v>10000</v>
      </c>
    </row>
    <row r="81" spans="1:8" s="32" customFormat="1" ht="21" customHeight="1">
      <c r="A81" s="36">
        <v>926</v>
      </c>
      <c r="B81" s="6"/>
      <c r="C81" s="25"/>
      <c r="D81" s="23" t="s">
        <v>68</v>
      </c>
      <c r="E81" s="21">
        <f>SUM(E82,E87)</f>
        <v>2356380</v>
      </c>
      <c r="F81" s="21">
        <f>SUM(F82,F87)</f>
        <v>-850000</v>
      </c>
      <c r="G81" s="21">
        <f>SUM(G82,G87)</f>
        <v>100000</v>
      </c>
      <c r="H81" s="48">
        <f t="shared" si="0"/>
        <v>1606380</v>
      </c>
    </row>
    <row r="82" spans="1:8" s="199" customFormat="1" ht="21" customHeight="1">
      <c r="A82" s="201"/>
      <c r="B82" s="209">
        <v>92601</v>
      </c>
      <c r="C82" s="219"/>
      <c r="D82" s="280" t="s">
        <v>297</v>
      </c>
      <c r="E82" s="281">
        <f>SUM(E83)</f>
        <v>1956380</v>
      </c>
      <c r="F82" s="281">
        <f>SUM(F83)</f>
        <v>-600000</v>
      </c>
      <c r="G82" s="281">
        <f>SUM(G83)</f>
        <v>100000</v>
      </c>
      <c r="H82" s="327">
        <f t="shared" si="0"/>
        <v>1456380</v>
      </c>
    </row>
    <row r="83" spans="1:8" s="199" customFormat="1" ht="21" customHeight="1">
      <c r="A83" s="201"/>
      <c r="B83" s="209"/>
      <c r="C83" s="219">
        <v>6050</v>
      </c>
      <c r="D83" s="16" t="s">
        <v>76</v>
      </c>
      <c r="E83" s="281">
        <f>SUM(E84:E86)</f>
        <v>1956380</v>
      </c>
      <c r="F83" s="281">
        <f>SUM(F84:F86)</f>
        <v>-600000</v>
      </c>
      <c r="G83" s="281">
        <f>SUM(G84:G86)</f>
        <v>100000</v>
      </c>
      <c r="H83" s="327">
        <f t="shared" si="0"/>
        <v>1456380</v>
      </c>
    </row>
    <row r="84" spans="1:8" s="223" customFormat="1" ht="21" customHeight="1">
      <c r="A84" s="220"/>
      <c r="B84" s="221"/>
      <c r="C84" s="222"/>
      <c r="D84" s="282" t="s">
        <v>404</v>
      </c>
      <c r="E84" s="283">
        <v>70000</v>
      </c>
      <c r="F84" s="283"/>
      <c r="G84" s="283"/>
      <c r="H84" s="327">
        <f t="shared" si="0"/>
        <v>70000</v>
      </c>
    </row>
    <row r="85" spans="1:8" s="223" customFormat="1" ht="26.25" customHeight="1">
      <c r="A85" s="220"/>
      <c r="B85" s="221"/>
      <c r="C85" s="222"/>
      <c r="D85" s="282" t="s">
        <v>447</v>
      </c>
      <c r="E85" s="283">
        <v>0</v>
      </c>
      <c r="F85" s="283"/>
      <c r="G85" s="283">
        <v>100000</v>
      </c>
      <c r="H85" s="327">
        <f t="shared" si="0"/>
        <v>100000</v>
      </c>
    </row>
    <row r="86" spans="1:8" s="223" customFormat="1" ht="21" customHeight="1">
      <c r="A86" s="220"/>
      <c r="B86" s="221"/>
      <c r="C86" s="222"/>
      <c r="D86" s="282" t="s">
        <v>405</v>
      </c>
      <c r="E86" s="283">
        <v>1886380</v>
      </c>
      <c r="F86" s="283">
        <v>-600000</v>
      </c>
      <c r="G86" s="283"/>
      <c r="H86" s="327">
        <f t="shared" si="0"/>
        <v>1286380</v>
      </c>
    </row>
    <row r="87" spans="1:8" s="29" customFormat="1" ht="21" customHeight="1">
      <c r="A87" s="85"/>
      <c r="B87" s="85">
        <v>92604</v>
      </c>
      <c r="C87" s="85"/>
      <c r="D87" s="151" t="s">
        <v>210</v>
      </c>
      <c r="E87" s="152">
        <f aca="true" t="shared" si="7" ref="E87:G88">SUM(E88)</f>
        <v>400000</v>
      </c>
      <c r="F87" s="152">
        <f t="shared" si="7"/>
        <v>-250000</v>
      </c>
      <c r="G87" s="152">
        <f t="shared" si="7"/>
        <v>0</v>
      </c>
      <c r="H87" s="327">
        <f t="shared" si="0"/>
        <v>150000</v>
      </c>
    </row>
    <row r="88" spans="1:8" s="29" customFormat="1" ht="33.75">
      <c r="A88" s="85"/>
      <c r="B88" s="85"/>
      <c r="C88" s="85">
        <v>6010</v>
      </c>
      <c r="D88" s="16" t="s">
        <v>348</v>
      </c>
      <c r="E88" s="152">
        <f t="shared" si="7"/>
        <v>400000</v>
      </c>
      <c r="F88" s="152">
        <f t="shared" si="7"/>
        <v>-250000</v>
      </c>
      <c r="G88" s="152">
        <f t="shared" si="7"/>
        <v>0</v>
      </c>
      <c r="H88" s="327">
        <f t="shared" si="0"/>
        <v>150000</v>
      </c>
    </row>
    <row r="89" spans="1:8" s="223" customFormat="1" ht="21.75" customHeight="1">
      <c r="A89" s="287"/>
      <c r="B89" s="287"/>
      <c r="C89" s="287"/>
      <c r="D89" s="282" t="s">
        <v>412</v>
      </c>
      <c r="E89" s="284">
        <v>400000</v>
      </c>
      <c r="F89" s="284">
        <v>-250000</v>
      </c>
      <c r="G89" s="284"/>
      <c r="H89" s="327">
        <f t="shared" si="0"/>
        <v>150000</v>
      </c>
    </row>
    <row r="90" spans="1:8" s="9" customFormat="1" ht="21" customHeight="1">
      <c r="A90" s="12"/>
      <c r="B90" s="12"/>
      <c r="C90" s="12"/>
      <c r="D90" s="129" t="s">
        <v>70</v>
      </c>
      <c r="E90" s="64">
        <f>SUM(E81,E68,E64,E48,E42,E32,E20,E7,E28,E24)</f>
        <v>10548980</v>
      </c>
      <c r="F90" s="64">
        <f>SUM(F81,F68,F64,F48,F42,F32,F20,F7,F28,F24)</f>
        <v>-2211184</v>
      </c>
      <c r="G90" s="64">
        <f>SUM(G81,G68,G64,G48,G42,G32,G20,G7,G28,G24)</f>
        <v>2685000</v>
      </c>
      <c r="H90" s="64">
        <f>SUM(H81,H68,H64,H48,H42,H32,H20,H7,H28,H24)</f>
        <v>11022796</v>
      </c>
    </row>
    <row r="92" ht="12.75">
      <c r="F92" s="61"/>
    </row>
    <row r="93" spans="5:8" ht="12.75">
      <c r="E93" s="61"/>
      <c r="F93" s="61"/>
      <c r="G93" s="61"/>
      <c r="H93" s="61"/>
    </row>
    <row r="102" spans="5:8" ht="12.75">
      <c r="E102" t="s">
        <v>221</v>
      </c>
      <c r="F102" t="s">
        <v>221</v>
      </c>
      <c r="G102" t="s">
        <v>221</v>
      </c>
      <c r="H102" t="s">
        <v>221</v>
      </c>
    </row>
    <row r="103" spans="5:8" ht="12.75">
      <c r="E103" t="s">
        <v>222</v>
      </c>
      <c r="F103" t="s">
        <v>222</v>
      </c>
      <c r="G103" t="s">
        <v>222</v>
      </c>
      <c r="H103" t="s">
        <v>222</v>
      </c>
    </row>
  </sheetData>
  <sheetProtection/>
  <mergeCells count="1">
    <mergeCell ref="A5:D5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12" sqref="J12:J13"/>
    </sheetView>
  </sheetViews>
  <sheetFormatPr defaultColWidth="9.00390625" defaultRowHeight="12.75"/>
  <cols>
    <col min="1" max="1" width="6.75390625" style="9" customWidth="1"/>
    <col min="2" max="2" width="8.625" style="9" customWidth="1"/>
    <col min="3" max="3" width="5.875" style="9" customWidth="1"/>
    <col min="4" max="4" width="37.625" style="9" customWidth="1"/>
    <col min="5" max="5" width="20.125" style="9" customWidth="1"/>
  </cols>
  <sheetData>
    <row r="1" ht="12.75">
      <c r="E1" s="69" t="s">
        <v>235</v>
      </c>
    </row>
    <row r="2" ht="12.75">
      <c r="E2" s="69" t="s">
        <v>441</v>
      </c>
    </row>
    <row r="3" ht="12.75">
      <c r="E3" s="69" t="s">
        <v>154</v>
      </c>
    </row>
    <row r="4" ht="12.75">
      <c r="E4" s="69" t="s">
        <v>442</v>
      </c>
    </row>
    <row r="5" spans="1:5" ht="58.5" customHeight="1">
      <c r="A5" s="352" t="s">
        <v>419</v>
      </c>
      <c r="B5" s="352"/>
      <c r="C5" s="352"/>
      <c r="D5" s="352"/>
      <c r="E5" s="352"/>
    </row>
    <row r="6" spans="1:5" s="9" customFormat="1" ht="24.75" customHeight="1">
      <c r="A6" s="2" t="s">
        <v>0</v>
      </c>
      <c r="B6" s="2" t="s">
        <v>1</v>
      </c>
      <c r="C6" s="2" t="s">
        <v>2</v>
      </c>
      <c r="D6" s="2" t="s">
        <v>3</v>
      </c>
      <c r="E6" s="24" t="s">
        <v>146</v>
      </c>
    </row>
    <row r="7" spans="1:5" s="9" customFormat="1" ht="21" customHeight="1">
      <c r="A7" s="2">
        <v>801</v>
      </c>
      <c r="B7" s="2"/>
      <c r="C7" s="2"/>
      <c r="D7" s="143" t="s">
        <v>113</v>
      </c>
      <c r="E7" s="142">
        <f>SUM(E8)</f>
        <v>4782</v>
      </c>
    </row>
    <row r="8" spans="1:5" s="29" customFormat="1" ht="21" customHeight="1">
      <c r="A8" s="65"/>
      <c r="B8" s="65">
        <v>80101</v>
      </c>
      <c r="C8" s="65"/>
      <c r="D8" s="62" t="s">
        <v>53</v>
      </c>
      <c r="E8" s="187">
        <f>SUM(E9:E11)</f>
        <v>4782</v>
      </c>
    </row>
    <row r="9" spans="1:5" s="29" customFormat="1" ht="21" customHeight="1">
      <c r="A9" s="65"/>
      <c r="B9" s="65"/>
      <c r="C9" s="98">
        <v>4010</v>
      </c>
      <c r="D9" s="46" t="s">
        <v>87</v>
      </c>
      <c r="E9" s="187">
        <v>4070</v>
      </c>
    </row>
    <row r="10" spans="1:5" s="29" customFormat="1" ht="21" customHeight="1">
      <c r="A10" s="65"/>
      <c r="B10" s="65"/>
      <c r="C10" s="98">
        <v>4110</v>
      </c>
      <c r="D10" s="46" t="s">
        <v>89</v>
      </c>
      <c r="E10" s="187">
        <v>614</v>
      </c>
    </row>
    <row r="11" spans="1:5" s="29" customFormat="1" ht="21" customHeight="1">
      <c r="A11" s="65"/>
      <c r="B11" s="65"/>
      <c r="C11" s="98">
        <v>4120</v>
      </c>
      <c r="D11" s="46" t="s">
        <v>90</v>
      </c>
      <c r="E11" s="187">
        <v>98</v>
      </c>
    </row>
    <row r="12" spans="1:5" s="8" customFormat="1" ht="21" customHeight="1">
      <c r="A12" s="39" t="s">
        <v>65</v>
      </c>
      <c r="B12" s="6"/>
      <c r="C12" s="6"/>
      <c r="D12" s="23" t="s">
        <v>71</v>
      </c>
      <c r="E12" s="21">
        <f>E13</f>
        <v>60000</v>
      </c>
    </row>
    <row r="13" spans="1:5" s="29" customFormat="1" ht="21" customHeight="1">
      <c r="A13" s="85"/>
      <c r="B13" s="85" t="s">
        <v>66</v>
      </c>
      <c r="C13" s="59"/>
      <c r="D13" s="16" t="s">
        <v>67</v>
      </c>
      <c r="E13" s="97">
        <f>E14</f>
        <v>60000</v>
      </c>
    </row>
    <row r="14" spans="1:5" s="29" customFormat="1" ht="21" customHeight="1">
      <c r="A14" s="85"/>
      <c r="B14" s="85"/>
      <c r="C14" s="59">
        <v>2480</v>
      </c>
      <c r="D14" s="16" t="s">
        <v>142</v>
      </c>
      <c r="E14" s="97">
        <v>60000</v>
      </c>
    </row>
    <row r="15" spans="1:5" s="8" customFormat="1" ht="21" customHeight="1">
      <c r="A15" s="22"/>
      <c r="B15" s="22"/>
      <c r="C15" s="22"/>
      <c r="D15" s="6" t="s">
        <v>70</v>
      </c>
      <c r="E15" s="21">
        <f>SUM(E7,E12)</f>
        <v>64782</v>
      </c>
    </row>
    <row r="18" ht="12.75">
      <c r="E18" s="31"/>
    </row>
    <row r="19" ht="12.75">
      <c r="E19" s="31"/>
    </row>
    <row r="20" ht="12.75">
      <c r="E20" s="47"/>
    </row>
    <row r="21" ht="12.75">
      <c r="E21" s="31"/>
    </row>
    <row r="22" ht="12.75">
      <c r="E22" s="31"/>
    </row>
  </sheetData>
  <sheetProtection/>
  <mergeCells count="1">
    <mergeCell ref="A5:E5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J111" sqref="J111"/>
    </sheetView>
  </sheetViews>
  <sheetFormatPr defaultColWidth="9.00390625" defaultRowHeight="12.75"/>
  <cols>
    <col min="1" max="1" width="5.875" style="260" customWidth="1"/>
    <col min="2" max="2" width="8.375" style="260" customWidth="1"/>
    <col min="3" max="3" width="6.375" style="260" customWidth="1"/>
    <col min="4" max="4" width="43.375" style="258" customWidth="1"/>
    <col min="5" max="5" width="21.25390625" style="272" customWidth="1"/>
  </cols>
  <sheetData>
    <row r="1" ht="12.75">
      <c r="E1" s="69" t="s">
        <v>366</v>
      </c>
    </row>
    <row r="2" ht="12.75">
      <c r="E2" s="69" t="s">
        <v>441</v>
      </c>
    </row>
    <row r="3" ht="12.75">
      <c r="E3" s="69" t="s">
        <v>154</v>
      </c>
    </row>
    <row r="4" ht="12.75">
      <c r="E4" s="69" t="s">
        <v>442</v>
      </c>
    </row>
    <row r="5" spans="1:5" ht="18.75" customHeight="1">
      <c r="A5" s="375" t="s">
        <v>389</v>
      </c>
      <c r="B5" s="375"/>
      <c r="C5" s="375"/>
      <c r="D5" s="375"/>
      <c r="E5" s="375"/>
    </row>
    <row r="6" spans="1:5" ht="22.5" customHeight="1">
      <c r="A6" s="276" t="s">
        <v>0</v>
      </c>
      <c r="B6" s="276" t="s">
        <v>1</v>
      </c>
      <c r="C6" s="276" t="s">
        <v>2</v>
      </c>
      <c r="D6" s="276" t="s">
        <v>3</v>
      </c>
      <c r="E6" s="277" t="s">
        <v>147</v>
      </c>
    </row>
    <row r="7" spans="1:5" s="263" customFormat="1" ht="19.5" customHeight="1">
      <c r="A7" s="256">
        <v>600</v>
      </c>
      <c r="B7" s="256"/>
      <c r="C7" s="256"/>
      <c r="D7" s="266" t="s">
        <v>78</v>
      </c>
      <c r="E7" s="262">
        <v>40827</v>
      </c>
    </row>
    <row r="8" spans="1:5" s="257" customFormat="1" ht="19.5" customHeight="1">
      <c r="A8" s="264"/>
      <c r="B8" s="264">
        <v>60016</v>
      </c>
      <c r="C8" s="264"/>
      <c r="D8" s="267" t="s">
        <v>80</v>
      </c>
      <c r="E8" s="265">
        <v>40827</v>
      </c>
    </row>
    <row r="9" spans="1:5" s="199" customFormat="1" ht="19.5" customHeight="1">
      <c r="A9" s="235"/>
      <c r="B9" s="235"/>
      <c r="C9" s="235">
        <v>4210</v>
      </c>
      <c r="D9" s="268" t="s">
        <v>75</v>
      </c>
      <c r="E9" s="259">
        <v>19527</v>
      </c>
    </row>
    <row r="10" spans="1:5" s="223" customFormat="1" ht="19.5" customHeight="1">
      <c r="A10" s="261"/>
      <c r="B10" s="261"/>
      <c r="C10" s="261"/>
      <c r="D10" s="269" t="s">
        <v>322</v>
      </c>
      <c r="E10" s="224">
        <v>2473</v>
      </c>
    </row>
    <row r="11" spans="1:5" s="223" customFormat="1" ht="19.5" customHeight="1">
      <c r="A11" s="261"/>
      <c r="B11" s="261"/>
      <c r="C11" s="261"/>
      <c r="D11" s="269" t="s">
        <v>310</v>
      </c>
      <c r="E11" s="224">
        <v>2009</v>
      </c>
    </row>
    <row r="12" spans="1:5" s="223" customFormat="1" ht="19.5" customHeight="1">
      <c r="A12" s="261"/>
      <c r="B12" s="261"/>
      <c r="C12" s="261"/>
      <c r="D12" s="269" t="s">
        <v>323</v>
      </c>
      <c r="E12" s="224">
        <v>3000</v>
      </c>
    </row>
    <row r="13" spans="1:5" s="223" customFormat="1" ht="19.5" customHeight="1">
      <c r="A13" s="261"/>
      <c r="B13" s="261"/>
      <c r="C13" s="261"/>
      <c r="D13" s="269" t="s">
        <v>316</v>
      </c>
      <c r="E13" s="224">
        <v>5912</v>
      </c>
    </row>
    <row r="14" spans="1:5" s="223" customFormat="1" ht="19.5" customHeight="1">
      <c r="A14" s="261"/>
      <c r="B14" s="261"/>
      <c r="C14" s="261"/>
      <c r="D14" s="269" t="s">
        <v>317</v>
      </c>
      <c r="E14" s="224">
        <v>2080</v>
      </c>
    </row>
    <row r="15" spans="1:5" s="223" customFormat="1" ht="19.5" customHeight="1">
      <c r="A15" s="261"/>
      <c r="B15" s="261"/>
      <c r="C15" s="261"/>
      <c r="D15" s="269" t="s">
        <v>319</v>
      </c>
      <c r="E15" s="224">
        <v>1000</v>
      </c>
    </row>
    <row r="16" spans="1:5" s="223" customFormat="1" ht="19.5" customHeight="1">
      <c r="A16" s="261"/>
      <c r="B16" s="261"/>
      <c r="C16" s="261"/>
      <c r="D16" s="269" t="s">
        <v>327</v>
      </c>
      <c r="E16" s="224">
        <v>2416</v>
      </c>
    </row>
    <row r="17" spans="1:5" s="223" customFormat="1" ht="19.5" customHeight="1">
      <c r="A17" s="261"/>
      <c r="B17" s="261"/>
      <c r="C17" s="261"/>
      <c r="D17" s="269" t="s">
        <v>329</v>
      </c>
      <c r="E17" s="224">
        <v>637</v>
      </c>
    </row>
    <row r="18" spans="1:5" s="199" customFormat="1" ht="19.5" customHeight="1">
      <c r="A18" s="235"/>
      <c r="B18" s="235"/>
      <c r="C18" s="235">
        <v>4270</v>
      </c>
      <c r="D18" s="268" t="s">
        <v>81</v>
      </c>
      <c r="E18" s="259">
        <v>13800</v>
      </c>
    </row>
    <row r="19" spans="1:5" s="223" customFormat="1" ht="19.5" customHeight="1">
      <c r="A19" s="261"/>
      <c r="B19" s="261"/>
      <c r="C19" s="261"/>
      <c r="D19" s="269" t="s">
        <v>312</v>
      </c>
      <c r="E19" s="224">
        <v>7000</v>
      </c>
    </row>
    <row r="20" spans="1:5" s="223" customFormat="1" ht="19.5" customHeight="1">
      <c r="A20" s="261"/>
      <c r="B20" s="261"/>
      <c r="C20" s="261"/>
      <c r="D20" s="269" t="s">
        <v>318</v>
      </c>
      <c r="E20" s="224">
        <v>6800</v>
      </c>
    </row>
    <row r="21" spans="1:5" s="199" customFormat="1" ht="19.5" customHeight="1">
      <c r="A21" s="235"/>
      <c r="B21" s="235"/>
      <c r="C21" s="235">
        <v>4300</v>
      </c>
      <c r="D21" s="268" t="s">
        <v>82</v>
      </c>
      <c r="E21" s="259">
        <v>1200</v>
      </c>
    </row>
    <row r="22" spans="1:5" s="223" customFormat="1" ht="19.5" customHeight="1">
      <c r="A22" s="261"/>
      <c r="B22" s="261"/>
      <c r="C22" s="261"/>
      <c r="D22" s="269" t="s">
        <v>321</v>
      </c>
      <c r="E22" s="224">
        <v>1200</v>
      </c>
    </row>
    <row r="23" spans="1:5" s="199" customFormat="1" ht="19.5" customHeight="1">
      <c r="A23" s="235"/>
      <c r="B23" s="235"/>
      <c r="C23" s="235">
        <v>6050</v>
      </c>
      <c r="D23" s="268" t="s">
        <v>76</v>
      </c>
      <c r="E23" s="259">
        <v>6300</v>
      </c>
    </row>
    <row r="24" spans="1:5" s="223" customFormat="1" ht="19.5" customHeight="1">
      <c r="A24" s="261"/>
      <c r="B24" s="261"/>
      <c r="C24" s="261"/>
      <c r="D24" s="269" t="s">
        <v>318</v>
      </c>
      <c r="E24" s="224">
        <v>6300</v>
      </c>
    </row>
    <row r="25" spans="1:5" s="263" customFormat="1" ht="24">
      <c r="A25" s="256">
        <v>754</v>
      </c>
      <c r="B25" s="256"/>
      <c r="C25" s="256"/>
      <c r="D25" s="271" t="s">
        <v>23</v>
      </c>
      <c r="E25" s="262">
        <v>4600</v>
      </c>
    </row>
    <row r="26" spans="1:5" s="257" customFormat="1" ht="19.5" customHeight="1">
      <c r="A26" s="264"/>
      <c r="B26" s="264">
        <v>75412</v>
      </c>
      <c r="C26" s="264"/>
      <c r="D26" s="267" t="s">
        <v>103</v>
      </c>
      <c r="E26" s="265">
        <v>4600</v>
      </c>
    </row>
    <row r="27" spans="1:5" s="199" customFormat="1" ht="19.5" customHeight="1">
      <c r="A27" s="235"/>
      <c r="B27" s="235"/>
      <c r="C27" s="235">
        <v>3020</v>
      </c>
      <c r="D27" s="46" t="s">
        <v>224</v>
      </c>
      <c r="E27" s="259">
        <v>1200</v>
      </c>
    </row>
    <row r="28" spans="1:5" s="223" customFormat="1" ht="19.5" customHeight="1">
      <c r="A28" s="261"/>
      <c r="B28" s="261"/>
      <c r="C28" s="261"/>
      <c r="D28" s="269" t="s">
        <v>312</v>
      </c>
      <c r="E28" s="224">
        <v>600</v>
      </c>
    </row>
    <row r="29" spans="1:5" s="223" customFormat="1" ht="19.5" customHeight="1">
      <c r="A29" s="261"/>
      <c r="B29" s="261"/>
      <c r="C29" s="261"/>
      <c r="D29" s="269" t="s">
        <v>315</v>
      </c>
      <c r="E29" s="224">
        <v>300</v>
      </c>
    </row>
    <row r="30" spans="1:5" s="223" customFormat="1" ht="19.5" customHeight="1">
      <c r="A30" s="261"/>
      <c r="B30" s="261"/>
      <c r="C30" s="261"/>
      <c r="D30" s="269" t="s">
        <v>318</v>
      </c>
      <c r="E30" s="224">
        <v>300</v>
      </c>
    </row>
    <row r="31" spans="1:5" s="199" customFormat="1" ht="19.5" customHeight="1">
      <c r="A31" s="235"/>
      <c r="B31" s="235"/>
      <c r="C31" s="235">
        <v>4210</v>
      </c>
      <c r="D31" s="268" t="s">
        <v>75</v>
      </c>
      <c r="E31" s="259">
        <v>3400</v>
      </c>
    </row>
    <row r="32" spans="1:5" s="223" customFormat="1" ht="19.5" customHeight="1">
      <c r="A32" s="261"/>
      <c r="B32" s="261"/>
      <c r="C32" s="261"/>
      <c r="D32" s="269" t="s">
        <v>323</v>
      </c>
      <c r="E32" s="224">
        <v>2000</v>
      </c>
    </row>
    <row r="33" spans="1:5" s="223" customFormat="1" ht="19.5" customHeight="1">
      <c r="A33" s="261"/>
      <c r="B33" s="261"/>
      <c r="C33" s="261"/>
      <c r="D33" s="269" t="s">
        <v>316</v>
      </c>
      <c r="E33" s="224">
        <v>500</v>
      </c>
    </row>
    <row r="34" spans="1:5" s="223" customFormat="1" ht="19.5" customHeight="1">
      <c r="A34" s="261"/>
      <c r="B34" s="261"/>
      <c r="C34" s="261"/>
      <c r="D34" s="269" t="s">
        <v>318</v>
      </c>
      <c r="E34" s="224">
        <v>900</v>
      </c>
    </row>
    <row r="35" spans="1:5" s="263" customFormat="1" ht="19.5" customHeight="1">
      <c r="A35" s="256">
        <v>801</v>
      </c>
      <c r="B35" s="256"/>
      <c r="C35" s="256"/>
      <c r="D35" s="266" t="s">
        <v>113</v>
      </c>
      <c r="E35" s="262">
        <v>8068</v>
      </c>
    </row>
    <row r="36" spans="1:5" s="257" customFormat="1" ht="19.5" customHeight="1">
      <c r="A36" s="264"/>
      <c r="B36" s="264">
        <v>80101</v>
      </c>
      <c r="C36" s="264"/>
      <c r="D36" s="267" t="s">
        <v>53</v>
      </c>
      <c r="E36" s="265">
        <v>5368</v>
      </c>
    </row>
    <row r="37" spans="1:5" s="199" customFormat="1" ht="19.5" customHeight="1">
      <c r="A37" s="235"/>
      <c r="B37" s="235"/>
      <c r="C37" s="235">
        <v>4210</v>
      </c>
      <c r="D37" s="268" t="s">
        <v>75</v>
      </c>
      <c r="E37" s="259">
        <v>1968</v>
      </c>
    </row>
    <row r="38" spans="1:5" s="223" customFormat="1" ht="19.5" customHeight="1">
      <c r="A38" s="261"/>
      <c r="B38" s="261"/>
      <c r="C38" s="261"/>
      <c r="D38" s="269" t="s">
        <v>323</v>
      </c>
      <c r="E38" s="224">
        <v>1468</v>
      </c>
    </row>
    <row r="39" spans="1:5" s="223" customFormat="1" ht="19.5" customHeight="1">
      <c r="A39" s="261"/>
      <c r="B39" s="261"/>
      <c r="C39" s="261"/>
      <c r="D39" s="269" t="s">
        <v>315</v>
      </c>
      <c r="E39" s="224">
        <v>200</v>
      </c>
    </row>
    <row r="40" spans="1:5" s="223" customFormat="1" ht="19.5" customHeight="1">
      <c r="A40" s="261"/>
      <c r="B40" s="261"/>
      <c r="C40" s="261"/>
      <c r="D40" s="269" t="s">
        <v>318</v>
      </c>
      <c r="E40" s="224">
        <v>300</v>
      </c>
    </row>
    <row r="41" spans="1:5" s="199" customFormat="1" ht="19.5" customHeight="1">
      <c r="A41" s="235"/>
      <c r="B41" s="235"/>
      <c r="C41" s="235">
        <v>4240</v>
      </c>
      <c r="D41" s="268" t="s">
        <v>126</v>
      </c>
      <c r="E41" s="259">
        <v>3400</v>
      </c>
    </row>
    <row r="42" spans="1:5" s="223" customFormat="1" ht="19.5" customHeight="1">
      <c r="A42" s="261"/>
      <c r="B42" s="261"/>
      <c r="C42" s="261"/>
      <c r="D42" s="269" t="s">
        <v>311</v>
      </c>
      <c r="E42" s="224">
        <v>1500</v>
      </c>
    </row>
    <row r="43" spans="1:5" s="223" customFormat="1" ht="19.5" customHeight="1">
      <c r="A43" s="261"/>
      <c r="B43" s="261"/>
      <c r="C43" s="261"/>
      <c r="D43" s="269" t="s">
        <v>312</v>
      </c>
      <c r="E43" s="224">
        <v>400</v>
      </c>
    </row>
    <row r="44" spans="1:5" s="223" customFormat="1" ht="19.5" customHeight="1">
      <c r="A44" s="261"/>
      <c r="B44" s="261"/>
      <c r="C44" s="261"/>
      <c r="D44" s="269" t="s">
        <v>313</v>
      </c>
      <c r="E44" s="224">
        <v>1500</v>
      </c>
    </row>
    <row r="45" spans="1:5" s="257" customFormat="1" ht="19.5" customHeight="1">
      <c r="A45" s="264"/>
      <c r="B45" s="264">
        <v>80103</v>
      </c>
      <c r="C45" s="264"/>
      <c r="D45" s="267" t="s">
        <v>215</v>
      </c>
      <c r="E45" s="265">
        <v>2200</v>
      </c>
    </row>
    <row r="46" spans="1:5" s="199" customFormat="1" ht="19.5" customHeight="1">
      <c r="A46" s="235"/>
      <c r="B46" s="235"/>
      <c r="C46" s="235">
        <v>4210</v>
      </c>
      <c r="D46" s="268" t="s">
        <v>75</v>
      </c>
      <c r="E46" s="259">
        <v>1000</v>
      </c>
    </row>
    <row r="47" spans="1:5" s="223" customFormat="1" ht="19.5" customHeight="1">
      <c r="A47" s="261"/>
      <c r="B47" s="261"/>
      <c r="C47" s="261"/>
      <c r="D47" s="269" t="s">
        <v>323</v>
      </c>
      <c r="E47" s="224">
        <v>1000</v>
      </c>
    </row>
    <row r="48" spans="1:5" s="199" customFormat="1" ht="19.5" customHeight="1">
      <c r="A48" s="235"/>
      <c r="B48" s="235"/>
      <c r="C48" s="235">
        <v>4240</v>
      </c>
      <c r="D48" s="268" t="s">
        <v>126</v>
      </c>
      <c r="E48" s="259">
        <v>1200</v>
      </c>
    </row>
    <row r="49" spans="1:5" s="223" customFormat="1" ht="19.5" customHeight="1">
      <c r="A49" s="261"/>
      <c r="B49" s="261"/>
      <c r="C49" s="261"/>
      <c r="D49" s="269" t="s">
        <v>312</v>
      </c>
      <c r="E49" s="224">
        <v>400</v>
      </c>
    </row>
    <row r="50" spans="1:5" s="223" customFormat="1" ht="19.5" customHeight="1">
      <c r="A50" s="261"/>
      <c r="B50" s="261"/>
      <c r="C50" s="261"/>
      <c r="D50" s="269" t="s">
        <v>324</v>
      </c>
      <c r="E50" s="224">
        <v>800</v>
      </c>
    </row>
    <row r="51" spans="1:5" s="257" customFormat="1" ht="19.5" customHeight="1">
      <c r="A51" s="264"/>
      <c r="B51" s="264">
        <v>80110</v>
      </c>
      <c r="C51" s="264"/>
      <c r="D51" s="267" t="s">
        <v>54</v>
      </c>
      <c r="E51" s="265">
        <v>500</v>
      </c>
    </row>
    <row r="52" spans="1:5" s="199" customFormat="1" ht="19.5" customHeight="1">
      <c r="A52" s="235"/>
      <c r="B52" s="235"/>
      <c r="C52" s="235">
        <v>4210</v>
      </c>
      <c r="D52" s="268" t="s">
        <v>75</v>
      </c>
      <c r="E52" s="259">
        <v>500</v>
      </c>
    </row>
    <row r="53" spans="1:5" s="223" customFormat="1" ht="19.5" customHeight="1">
      <c r="A53" s="261"/>
      <c r="B53" s="261"/>
      <c r="C53" s="261"/>
      <c r="D53" s="269" t="s">
        <v>315</v>
      </c>
      <c r="E53" s="224">
        <v>200</v>
      </c>
    </row>
    <row r="54" spans="1:5" s="223" customFormat="1" ht="19.5" customHeight="1">
      <c r="A54" s="261"/>
      <c r="B54" s="261"/>
      <c r="C54" s="261"/>
      <c r="D54" s="269" t="s">
        <v>318</v>
      </c>
      <c r="E54" s="224">
        <v>300</v>
      </c>
    </row>
    <row r="55" spans="1:5" s="263" customFormat="1" ht="19.5" customHeight="1">
      <c r="A55" s="256">
        <v>854</v>
      </c>
      <c r="B55" s="256"/>
      <c r="C55" s="256"/>
      <c r="D55" s="266" t="s">
        <v>61</v>
      </c>
      <c r="E55" s="262">
        <v>1968</v>
      </c>
    </row>
    <row r="56" spans="1:5" s="257" customFormat="1" ht="24">
      <c r="A56" s="264"/>
      <c r="B56" s="264">
        <v>85412</v>
      </c>
      <c r="C56" s="264"/>
      <c r="D56" s="270" t="s">
        <v>330</v>
      </c>
      <c r="E56" s="265">
        <v>1968</v>
      </c>
    </row>
    <row r="57" spans="1:5" s="199" customFormat="1" ht="19.5" customHeight="1">
      <c r="A57" s="235"/>
      <c r="B57" s="235"/>
      <c r="C57" s="235">
        <v>4210</v>
      </c>
      <c r="D57" s="268" t="s">
        <v>95</v>
      </c>
      <c r="E57" s="259">
        <v>1968</v>
      </c>
    </row>
    <row r="58" spans="1:5" s="223" customFormat="1" ht="19.5" customHeight="1">
      <c r="A58" s="261"/>
      <c r="B58" s="261"/>
      <c r="C58" s="261"/>
      <c r="D58" s="269" t="s">
        <v>310</v>
      </c>
      <c r="E58" s="224">
        <v>200</v>
      </c>
    </row>
    <row r="59" spans="1:5" s="223" customFormat="1" ht="20.25" customHeight="1">
      <c r="A59" s="261"/>
      <c r="B59" s="261"/>
      <c r="C59" s="261"/>
      <c r="D59" s="269" t="s">
        <v>311</v>
      </c>
      <c r="E59" s="224">
        <v>1768</v>
      </c>
    </row>
    <row r="60" spans="1:5" s="263" customFormat="1" ht="19.5" customHeight="1">
      <c r="A60" s="256">
        <v>900</v>
      </c>
      <c r="B60" s="256"/>
      <c r="C60" s="256"/>
      <c r="D60" s="266" t="s">
        <v>63</v>
      </c>
      <c r="E60" s="262">
        <v>23056</v>
      </c>
    </row>
    <row r="61" spans="1:5" s="257" customFormat="1" ht="19.5" customHeight="1">
      <c r="A61" s="264"/>
      <c r="B61" s="264">
        <v>90003</v>
      </c>
      <c r="C61" s="264"/>
      <c r="D61" s="267" t="s">
        <v>133</v>
      </c>
      <c r="E61" s="265">
        <v>900</v>
      </c>
    </row>
    <row r="62" spans="1:5" s="199" customFormat="1" ht="19.5" customHeight="1">
      <c r="A62" s="235"/>
      <c r="B62" s="235"/>
      <c r="C62" s="235">
        <v>4300</v>
      </c>
      <c r="D62" s="268" t="s">
        <v>82</v>
      </c>
      <c r="E62" s="259">
        <v>900</v>
      </c>
    </row>
    <row r="63" spans="1:5" s="223" customFormat="1" ht="19.5" customHeight="1">
      <c r="A63" s="261"/>
      <c r="B63" s="261"/>
      <c r="C63" s="261"/>
      <c r="D63" s="269" t="s">
        <v>324</v>
      </c>
      <c r="E63" s="224">
        <v>300</v>
      </c>
    </row>
    <row r="64" spans="1:5" s="223" customFormat="1" ht="19.5" customHeight="1">
      <c r="A64" s="261"/>
      <c r="B64" s="261"/>
      <c r="C64" s="261"/>
      <c r="D64" s="269" t="s">
        <v>316</v>
      </c>
      <c r="E64" s="224">
        <v>600</v>
      </c>
    </row>
    <row r="65" spans="1:5" s="257" customFormat="1" ht="19.5" customHeight="1">
      <c r="A65" s="264"/>
      <c r="B65" s="264">
        <v>90004</v>
      </c>
      <c r="C65" s="264"/>
      <c r="D65" s="267" t="s">
        <v>390</v>
      </c>
      <c r="E65" s="265">
        <v>22156</v>
      </c>
    </row>
    <row r="66" spans="1:5" s="199" customFormat="1" ht="19.5" customHeight="1">
      <c r="A66" s="235"/>
      <c r="B66" s="235"/>
      <c r="C66" s="235">
        <v>4210</v>
      </c>
      <c r="D66" s="268" t="s">
        <v>95</v>
      </c>
      <c r="E66" s="259">
        <v>15756</v>
      </c>
    </row>
    <row r="67" spans="1:5" s="223" customFormat="1" ht="19.5" customHeight="1">
      <c r="A67" s="261"/>
      <c r="B67" s="261"/>
      <c r="C67" s="261"/>
      <c r="D67" s="269" t="s">
        <v>321</v>
      </c>
      <c r="E67" s="224">
        <v>157</v>
      </c>
    </row>
    <row r="68" spans="1:5" s="223" customFormat="1" ht="19.5" customHeight="1">
      <c r="A68" s="261"/>
      <c r="B68" s="261"/>
      <c r="C68" s="261"/>
      <c r="D68" s="269" t="s">
        <v>310</v>
      </c>
      <c r="E68" s="224">
        <v>400</v>
      </c>
    </row>
    <row r="69" spans="1:5" s="223" customFormat="1" ht="19.5" customHeight="1">
      <c r="A69" s="261"/>
      <c r="B69" s="261"/>
      <c r="C69" s="261"/>
      <c r="D69" s="269" t="s">
        <v>311</v>
      </c>
      <c r="E69" s="224">
        <v>1000</v>
      </c>
    </row>
    <row r="70" spans="1:5" s="223" customFormat="1" ht="19.5" customHeight="1">
      <c r="A70" s="261"/>
      <c r="B70" s="261"/>
      <c r="C70" s="261"/>
      <c r="D70" s="269" t="s">
        <v>312</v>
      </c>
      <c r="E70" s="224">
        <v>313</v>
      </c>
    </row>
    <row r="71" spans="1:5" s="223" customFormat="1" ht="19.5" customHeight="1">
      <c r="A71" s="261"/>
      <c r="B71" s="261"/>
      <c r="C71" s="261"/>
      <c r="D71" s="269" t="s">
        <v>313</v>
      </c>
      <c r="E71" s="224">
        <v>300</v>
      </c>
    </row>
    <row r="72" spans="1:5" s="223" customFormat="1" ht="19.5" customHeight="1">
      <c r="A72" s="261"/>
      <c r="B72" s="261"/>
      <c r="C72" s="261"/>
      <c r="D72" s="269" t="s">
        <v>314</v>
      </c>
      <c r="E72" s="224">
        <v>192</v>
      </c>
    </row>
    <row r="73" spans="1:5" s="223" customFormat="1" ht="19.5" customHeight="1">
      <c r="A73" s="261"/>
      <c r="B73" s="261"/>
      <c r="C73" s="261"/>
      <c r="D73" s="269" t="s">
        <v>324</v>
      </c>
      <c r="E73" s="224">
        <v>5500</v>
      </c>
    </row>
    <row r="74" spans="1:5" s="223" customFormat="1" ht="19.5" customHeight="1">
      <c r="A74" s="261"/>
      <c r="B74" s="261"/>
      <c r="C74" s="261"/>
      <c r="D74" s="269" t="s">
        <v>316</v>
      </c>
      <c r="E74" s="224">
        <v>700</v>
      </c>
    </row>
    <row r="75" spans="1:5" s="223" customFormat="1" ht="19.5" customHeight="1">
      <c r="A75" s="261"/>
      <c r="B75" s="261"/>
      <c r="C75" s="261"/>
      <c r="D75" s="269" t="s">
        <v>318</v>
      </c>
      <c r="E75" s="224">
        <v>2242</v>
      </c>
    </row>
    <row r="76" spans="1:5" s="223" customFormat="1" ht="19.5" customHeight="1">
      <c r="A76" s="261"/>
      <c r="B76" s="261"/>
      <c r="C76" s="261"/>
      <c r="D76" s="269" t="s">
        <v>319</v>
      </c>
      <c r="E76" s="224">
        <v>800</v>
      </c>
    </row>
    <row r="77" spans="1:5" s="223" customFormat="1" ht="19.5" customHeight="1">
      <c r="A77" s="261"/>
      <c r="B77" s="261"/>
      <c r="C77" s="261"/>
      <c r="D77" s="269" t="s">
        <v>326</v>
      </c>
      <c r="E77" s="224">
        <v>1400</v>
      </c>
    </row>
    <row r="78" spans="1:5" s="223" customFormat="1" ht="19.5" customHeight="1">
      <c r="A78" s="261"/>
      <c r="B78" s="261"/>
      <c r="C78" s="261"/>
      <c r="D78" s="269" t="s">
        <v>328</v>
      </c>
      <c r="E78" s="224">
        <v>2752</v>
      </c>
    </row>
    <row r="79" spans="1:5" s="199" customFormat="1" ht="19.5" customHeight="1">
      <c r="A79" s="235"/>
      <c r="B79" s="235"/>
      <c r="C79" s="235">
        <v>4300</v>
      </c>
      <c r="D79" s="268" t="s">
        <v>82</v>
      </c>
      <c r="E79" s="259">
        <v>6400</v>
      </c>
    </row>
    <row r="80" spans="1:5" s="223" customFormat="1" ht="19.5" customHeight="1">
      <c r="A80" s="261"/>
      <c r="B80" s="261"/>
      <c r="C80" s="261"/>
      <c r="D80" s="269" t="s">
        <v>310</v>
      </c>
      <c r="E80" s="224">
        <v>500</v>
      </c>
    </row>
    <row r="81" spans="1:5" s="223" customFormat="1" ht="19.5" customHeight="1">
      <c r="A81" s="261"/>
      <c r="B81" s="261"/>
      <c r="C81" s="261"/>
      <c r="D81" s="269" t="s">
        <v>311</v>
      </c>
      <c r="E81" s="224">
        <v>500</v>
      </c>
    </row>
    <row r="82" spans="1:5" s="223" customFormat="1" ht="19.5" customHeight="1">
      <c r="A82" s="261"/>
      <c r="B82" s="261"/>
      <c r="C82" s="261"/>
      <c r="D82" s="269" t="s">
        <v>313</v>
      </c>
      <c r="E82" s="224">
        <v>300</v>
      </c>
    </row>
    <row r="83" spans="1:5" s="223" customFormat="1" ht="19.5" customHeight="1">
      <c r="A83" s="261"/>
      <c r="B83" s="261"/>
      <c r="C83" s="261"/>
      <c r="D83" s="269" t="s">
        <v>314</v>
      </c>
      <c r="E83" s="224">
        <v>1000</v>
      </c>
    </row>
    <row r="84" spans="1:5" s="223" customFormat="1" ht="19.5" customHeight="1">
      <c r="A84" s="261"/>
      <c r="B84" s="261"/>
      <c r="C84" s="261"/>
      <c r="D84" s="269" t="s">
        <v>315</v>
      </c>
      <c r="E84" s="224">
        <v>3000</v>
      </c>
    </row>
    <row r="85" spans="1:5" s="223" customFormat="1" ht="19.5" customHeight="1">
      <c r="A85" s="261"/>
      <c r="B85" s="261"/>
      <c r="C85" s="261"/>
      <c r="D85" s="269" t="s">
        <v>318</v>
      </c>
      <c r="E85" s="224">
        <v>800</v>
      </c>
    </row>
    <row r="86" spans="1:5" s="223" customFormat="1" ht="19.5" customHeight="1">
      <c r="A86" s="261"/>
      <c r="B86" s="261"/>
      <c r="C86" s="261"/>
      <c r="D86" s="269" t="s">
        <v>319</v>
      </c>
      <c r="E86" s="224">
        <v>300</v>
      </c>
    </row>
    <row r="87" spans="1:5" s="263" customFormat="1" ht="19.5" customHeight="1">
      <c r="A87" s="256">
        <v>921</v>
      </c>
      <c r="B87" s="256"/>
      <c r="C87" s="256"/>
      <c r="D87" s="266" t="s">
        <v>140</v>
      </c>
      <c r="E87" s="262">
        <v>55906</v>
      </c>
    </row>
    <row r="88" spans="1:5" s="257" customFormat="1" ht="19.5" customHeight="1">
      <c r="A88" s="264"/>
      <c r="B88" s="264">
        <v>92109</v>
      </c>
      <c r="C88" s="264"/>
      <c r="D88" s="267" t="s">
        <v>160</v>
      </c>
      <c r="E88" s="265">
        <v>55906</v>
      </c>
    </row>
    <row r="89" spans="1:5" s="199" customFormat="1" ht="19.5" customHeight="1">
      <c r="A89" s="235"/>
      <c r="B89" s="235"/>
      <c r="C89" s="235">
        <v>4210</v>
      </c>
      <c r="D89" s="268" t="s">
        <v>95</v>
      </c>
      <c r="E89" s="259">
        <v>26426</v>
      </c>
    </row>
    <row r="90" spans="1:5" s="223" customFormat="1" ht="19.5" customHeight="1">
      <c r="A90" s="261"/>
      <c r="B90" s="261"/>
      <c r="C90" s="261"/>
      <c r="D90" s="269" t="s">
        <v>322</v>
      </c>
      <c r="E90" s="224">
        <v>2000</v>
      </c>
    </row>
    <row r="91" spans="1:5" s="223" customFormat="1" ht="19.5" customHeight="1">
      <c r="A91" s="261"/>
      <c r="B91" s="261"/>
      <c r="C91" s="261"/>
      <c r="D91" s="269" t="s">
        <v>311</v>
      </c>
      <c r="E91" s="224">
        <v>2000</v>
      </c>
    </row>
    <row r="92" spans="1:5" s="223" customFormat="1" ht="19.5" customHeight="1">
      <c r="A92" s="261"/>
      <c r="B92" s="261"/>
      <c r="C92" s="261"/>
      <c r="D92" s="269" t="s">
        <v>313</v>
      </c>
      <c r="E92" s="224">
        <v>1726</v>
      </c>
    </row>
    <row r="93" spans="1:5" s="223" customFormat="1" ht="19.5" customHeight="1">
      <c r="A93" s="261"/>
      <c r="B93" s="261"/>
      <c r="C93" s="261"/>
      <c r="D93" s="269" t="s">
        <v>324</v>
      </c>
      <c r="E93" s="224">
        <v>2218</v>
      </c>
    </row>
    <row r="94" spans="1:5" s="223" customFormat="1" ht="19.5" customHeight="1">
      <c r="A94" s="261"/>
      <c r="B94" s="261"/>
      <c r="C94" s="261"/>
      <c r="D94" s="269" t="s">
        <v>315</v>
      </c>
      <c r="E94" s="224">
        <v>3194</v>
      </c>
    </row>
    <row r="95" spans="1:5" s="223" customFormat="1" ht="19.5" customHeight="1">
      <c r="A95" s="261"/>
      <c r="B95" s="261"/>
      <c r="C95" s="261"/>
      <c r="D95" s="269" t="s">
        <v>325</v>
      </c>
      <c r="E95" s="224">
        <v>11799</v>
      </c>
    </row>
    <row r="96" spans="1:5" s="223" customFormat="1" ht="19.5" customHeight="1">
      <c r="A96" s="261"/>
      <c r="B96" s="261"/>
      <c r="C96" s="261"/>
      <c r="D96" s="269" t="s">
        <v>326</v>
      </c>
      <c r="E96" s="224">
        <v>1451</v>
      </c>
    </row>
    <row r="97" spans="1:5" s="223" customFormat="1" ht="19.5" customHeight="1">
      <c r="A97" s="261"/>
      <c r="B97" s="261"/>
      <c r="C97" s="261"/>
      <c r="D97" s="269" t="s">
        <v>320</v>
      </c>
      <c r="E97" s="224">
        <v>2038</v>
      </c>
    </row>
    <row r="98" spans="1:5" s="199" customFormat="1" ht="19.5" customHeight="1">
      <c r="A98" s="235"/>
      <c r="B98" s="235"/>
      <c r="C98" s="235">
        <v>4270</v>
      </c>
      <c r="D98" s="268" t="s">
        <v>81</v>
      </c>
      <c r="E98" s="259">
        <v>29250</v>
      </c>
    </row>
    <row r="99" spans="1:5" s="223" customFormat="1" ht="19.5" customHeight="1">
      <c r="A99" s="261"/>
      <c r="B99" s="261"/>
      <c r="C99" s="261"/>
      <c r="D99" s="269" t="s">
        <v>321</v>
      </c>
      <c r="E99" s="224">
        <v>19600</v>
      </c>
    </row>
    <row r="100" spans="1:5" s="223" customFormat="1" ht="19.5" customHeight="1">
      <c r="A100" s="261"/>
      <c r="B100" s="261"/>
      <c r="C100" s="261"/>
      <c r="D100" s="269" t="s">
        <v>313</v>
      </c>
      <c r="E100" s="224">
        <v>500</v>
      </c>
    </row>
    <row r="101" spans="1:5" s="223" customFormat="1" ht="19.5" customHeight="1">
      <c r="A101" s="261"/>
      <c r="B101" s="261"/>
      <c r="C101" s="261"/>
      <c r="D101" s="269" t="s">
        <v>314</v>
      </c>
      <c r="E101" s="224">
        <v>5150</v>
      </c>
    </row>
    <row r="102" spans="1:5" s="223" customFormat="1" ht="19.5" customHeight="1">
      <c r="A102" s="261"/>
      <c r="B102" s="261"/>
      <c r="C102" s="261"/>
      <c r="D102" s="269" t="s">
        <v>326</v>
      </c>
      <c r="E102" s="224">
        <v>2000</v>
      </c>
    </row>
    <row r="103" spans="1:5" s="223" customFormat="1" ht="19.5" customHeight="1">
      <c r="A103" s="261"/>
      <c r="B103" s="261"/>
      <c r="C103" s="261"/>
      <c r="D103" s="269" t="s">
        <v>329</v>
      </c>
      <c r="E103" s="224">
        <v>2000</v>
      </c>
    </row>
    <row r="104" spans="1:5" s="199" customFormat="1" ht="19.5" customHeight="1">
      <c r="A104" s="235"/>
      <c r="B104" s="235"/>
      <c r="C104" s="235">
        <v>4300</v>
      </c>
      <c r="D104" s="268" t="s">
        <v>82</v>
      </c>
      <c r="E104" s="259">
        <v>230</v>
      </c>
    </row>
    <row r="105" spans="1:5" s="223" customFormat="1" ht="19.5" customHeight="1">
      <c r="A105" s="261"/>
      <c r="B105" s="261"/>
      <c r="C105" s="261"/>
      <c r="D105" s="269" t="s">
        <v>314</v>
      </c>
      <c r="E105" s="224">
        <v>230</v>
      </c>
    </row>
    <row r="106" spans="1:5" s="263" customFormat="1" ht="19.5" customHeight="1">
      <c r="A106" s="256">
        <v>926</v>
      </c>
      <c r="B106" s="256"/>
      <c r="C106" s="256"/>
      <c r="D106" s="266" t="s">
        <v>68</v>
      </c>
      <c r="E106" s="262">
        <v>10090</v>
      </c>
    </row>
    <row r="107" spans="1:5" s="257" customFormat="1" ht="19.5" customHeight="1">
      <c r="A107" s="264"/>
      <c r="B107" s="264">
        <v>92605</v>
      </c>
      <c r="C107" s="264"/>
      <c r="D107" s="267" t="s">
        <v>69</v>
      </c>
      <c r="E107" s="265">
        <v>3840</v>
      </c>
    </row>
    <row r="108" spans="1:5" s="199" customFormat="1" ht="19.5" customHeight="1">
      <c r="A108" s="235"/>
      <c r="B108" s="235"/>
      <c r="C108" s="235">
        <v>4210</v>
      </c>
      <c r="D108" s="268" t="s">
        <v>95</v>
      </c>
      <c r="E108" s="259">
        <v>2100</v>
      </c>
    </row>
    <row r="109" spans="1:5" s="223" customFormat="1" ht="19.5" customHeight="1">
      <c r="A109" s="261"/>
      <c r="B109" s="261"/>
      <c r="C109" s="261"/>
      <c r="D109" s="269" t="s">
        <v>313</v>
      </c>
      <c r="E109" s="224">
        <v>500</v>
      </c>
    </row>
    <row r="110" spans="1:5" s="223" customFormat="1" ht="19.5" customHeight="1">
      <c r="A110" s="261"/>
      <c r="B110" s="261"/>
      <c r="C110" s="261"/>
      <c r="D110" s="269" t="s">
        <v>315</v>
      </c>
      <c r="E110" s="224">
        <v>600</v>
      </c>
    </row>
    <row r="111" spans="1:5" s="223" customFormat="1" ht="19.5" customHeight="1">
      <c r="A111" s="261"/>
      <c r="B111" s="261"/>
      <c r="C111" s="261"/>
      <c r="D111" s="269" t="s">
        <v>329</v>
      </c>
      <c r="E111" s="224">
        <v>1000</v>
      </c>
    </row>
    <row r="112" spans="1:5" s="199" customFormat="1" ht="19.5" customHeight="1">
      <c r="A112" s="235"/>
      <c r="B112" s="235"/>
      <c r="C112" s="235">
        <v>4300</v>
      </c>
      <c r="D112" s="268" t="s">
        <v>82</v>
      </c>
      <c r="E112" s="259">
        <v>1740</v>
      </c>
    </row>
    <row r="113" spans="1:5" s="223" customFormat="1" ht="19.5" customHeight="1">
      <c r="A113" s="261"/>
      <c r="B113" s="261"/>
      <c r="C113" s="261"/>
      <c r="D113" s="269" t="s">
        <v>321</v>
      </c>
      <c r="E113" s="224">
        <v>600</v>
      </c>
    </row>
    <row r="114" spans="1:5" s="223" customFormat="1" ht="19.5" customHeight="1">
      <c r="A114" s="261"/>
      <c r="B114" s="261"/>
      <c r="C114" s="261"/>
      <c r="D114" s="269" t="s">
        <v>323</v>
      </c>
      <c r="E114" s="224">
        <v>640</v>
      </c>
    </row>
    <row r="115" spans="1:5" s="223" customFormat="1" ht="19.5" customHeight="1">
      <c r="A115" s="261"/>
      <c r="B115" s="261"/>
      <c r="C115" s="261"/>
      <c r="D115" s="269" t="s">
        <v>329</v>
      </c>
      <c r="E115" s="224">
        <v>500</v>
      </c>
    </row>
    <row r="116" spans="1:5" s="257" customFormat="1" ht="19.5" customHeight="1">
      <c r="A116" s="264"/>
      <c r="B116" s="264">
        <v>92695</v>
      </c>
      <c r="C116" s="264"/>
      <c r="D116" s="267" t="s">
        <v>6</v>
      </c>
      <c r="E116" s="265">
        <v>6250</v>
      </c>
    </row>
    <row r="117" spans="1:5" s="199" customFormat="1" ht="19.5" customHeight="1">
      <c r="A117" s="235"/>
      <c r="B117" s="235"/>
      <c r="C117" s="235">
        <v>4210</v>
      </c>
      <c r="D117" s="268" t="s">
        <v>95</v>
      </c>
      <c r="E117" s="259">
        <v>6250</v>
      </c>
    </row>
    <row r="118" spans="1:5" s="223" customFormat="1" ht="19.5" customHeight="1">
      <c r="A118" s="261"/>
      <c r="B118" s="261"/>
      <c r="C118" s="261"/>
      <c r="D118" s="269" t="s">
        <v>311</v>
      </c>
      <c r="E118" s="224">
        <v>1000</v>
      </c>
    </row>
    <row r="119" spans="1:5" s="223" customFormat="1" ht="19.5" customHeight="1">
      <c r="A119" s="261"/>
      <c r="B119" s="261"/>
      <c r="C119" s="261"/>
      <c r="D119" s="269" t="s">
        <v>323</v>
      </c>
      <c r="E119" s="224">
        <v>500</v>
      </c>
    </row>
    <row r="120" spans="1:5" s="223" customFormat="1" ht="19.5" customHeight="1">
      <c r="A120" s="261"/>
      <c r="B120" s="261"/>
      <c r="C120" s="261"/>
      <c r="D120" s="269" t="s">
        <v>313</v>
      </c>
      <c r="E120" s="224">
        <v>1200</v>
      </c>
    </row>
    <row r="121" spans="1:5" s="223" customFormat="1" ht="19.5" customHeight="1">
      <c r="A121" s="261"/>
      <c r="B121" s="261"/>
      <c r="C121" s="261"/>
      <c r="D121" s="269" t="s">
        <v>315</v>
      </c>
      <c r="E121" s="224">
        <v>400</v>
      </c>
    </row>
    <row r="122" spans="1:5" s="223" customFormat="1" ht="19.5" customHeight="1">
      <c r="A122" s="261"/>
      <c r="B122" s="261"/>
      <c r="C122" s="261"/>
      <c r="D122" s="269" t="s">
        <v>316</v>
      </c>
      <c r="E122" s="224">
        <v>350</v>
      </c>
    </row>
    <row r="123" spans="1:5" s="223" customFormat="1" ht="19.5" customHeight="1">
      <c r="A123" s="261"/>
      <c r="B123" s="261"/>
      <c r="C123" s="261"/>
      <c r="D123" s="269" t="s">
        <v>318</v>
      </c>
      <c r="E123" s="224">
        <v>2400</v>
      </c>
    </row>
    <row r="124" spans="1:5" s="223" customFormat="1" ht="19.5" customHeight="1">
      <c r="A124" s="261"/>
      <c r="B124" s="261"/>
      <c r="C124" s="261"/>
      <c r="D124" s="269" t="s">
        <v>319</v>
      </c>
      <c r="E124" s="224">
        <v>400</v>
      </c>
    </row>
    <row r="125" spans="1:5" s="275" customFormat="1" ht="19.5" customHeight="1">
      <c r="A125" s="376"/>
      <c r="B125" s="377"/>
      <c r="C125" s="378"/>
      <c r="D125" s="273" t="s">
        <v>70</v>
      </c>
      <c r="E125" s="274">
        <v>144515</v>
      </c>
    </row>
  </sheetData>
  <sheetProtection/>
  <mergeCells count="2">
    <mergeCell ref="A5:E5"/>
    <mergeCell ref="A125:C125"/>
  </mergeCells>
  <printOptions/>
  <pageMargins left="0.7086614173228347" right="0.7086614173228347" top="0.7480314960629921" bottom="0.7480314960629921" header="0.31496062992125984" footer="0.31496062992125984"/>
  <pageSetup horizontalDpi="150" verticalDpi="15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1">
      <selection activeCell="K36" sqref="K36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9.875" style="9" customWidth="1"/>
    <col min="5" max="5" width="21.25390625" style="0" customWidth="1"/>
  </cols>
  <sheetData>
    <row r="1" ht="12.75">
      <c r="E1" s="69" t="s">
        <v>250</v>
      </c>
    </row>
    <row r="2" ht="12.75">
      <c r="E2" s="69" t="s">
        <v>441</v>
      </c>
    </row>
    <row r="3" ht="12.75">
      <c r="E3" s="69" t="s">
        <v>154</v>
      </c>
    </row>
    <row r="4" ht="12.75">
      <c r="E4" s="69" t="s">
        <v>442</v>
      </c>
    </row>
    <row r="5" spans="1:4" ht="66.75" customHeight="1">
      <c r="A5" s="356" t="s">
        <v>369</v>
      </c>
      <c r="B5" s="356"/>
      <c r="C5" s="356"/>
      <c r="D5" s="356"/>
    </row>
    <row r="6" spans="1:5" ht="32.25" customHeight="1">
      <c r="A6" s="357" t="s">
        <v>425</v>
      </c>
      <c r="B6" s="357"/>
      <c r="C6" s="357"/>
      <c r="D6" s="357"/>
      <c r="E6" s="357"/>
    </row>
    <row r="7" spans="1:11" s="130" customFormat="1" ht="24.75" customHeight="1">
      <c r="A7" s="2" t="s">
        <v>0</v>
      </c>
      <c r="B7" s="2" t="s">
        <v>1</v>
      </c>
      <c r="C7" s="2" t="s">
        <v>2</v>
      </c>
      <c r="D7" s="2" t="s">
        <v>3</v>
      </c>
      <c r="E7" s="117" t="s">
        <v>146</v>
      </c>
      <c r="I7" s="195"/>
      <c r="J7" s="195"/>
      <c r="K7" s="195"/>
    </row>
    <row r="8" spans="1:11" s="30" customFormat="1" ht="36">
      <c r="A8" s="2">
        <v>756</v>
      </c>
      <c r="B8" s="2"/>
      <c r="C8" s="2"/>
      <c r="D8" s="52" t="s">
        <v>28</v>
      </c>
      <c r="E8" s="38">
        <f>SUM(E9)</f>
        <v>330000</v>
      </c>
      <c r="I8" s="195"/>
      <c r="J8" s="195"/>
      <c r="K8" s="195"/>
    </row>
    <row r="9" spans="1:11" s="133" customFormat="1" ht="33.75">
      <c r="A9" s="65"/>
      <c r="B9" s="59">
        <v>75618</v>
      </c>
      <c r="C9" s="65"/>
      <c r="D9" s="53" t="s">
        <v>152</v>
      </c>
      <c r="E9" s="122">
        <f>SUM(E10)</f>
        <v>330000</v>
      </c>
      <c r="I9" s="195"/>
      <c r="J9" s="195"/>
      <c r="K9" s="195"/>
    </row>
    <row r="10" spans="1:11" s="133" customFormat="1" ht="23.25" customHeight="1">
      <c r="A10" s="65"/>
      <c r="B10" s="65"/>
      <c r="C10" s="134" t="s">
        <v>187</v>
      </c>
      <c r="D10" s="89" t="s">
        <v>240</v>
      </c>
      <c r="E10" s="122">
        <v>330000</v>
      </c>
      <c r="I10" s="196"/>
      <c r="J10" s="196"/>
      <c r="K10" s="196"/>
    </row>
    <row r="11" spans="1:11" s="1" customFormat="1" ht="21" customHeight="1">
      <c r="A11" s="51"/>
      <c r="B11" s="51"/>
      <c r="C11" s="51"/>
      <c r="D11" s="2" t="s">
        <v>70</v>
      </c>
      <c r="E11" s="38">
        <f>SUM(E8)</f>
        <v>330000</v>
      </c>
      <c r="I11" s="196"/>
      <c r="J11" s="196"/>
      <c r="K11" s="196"/>
    </row>
    <row r="12" spans="1:11" ht="33" customHeight="1">
      <c r="A12" s="353" t="s">
        <v>424</v>
      </c>
      <c r="B12" s="353"/>
      <c r="C12" s="353"/>
      <c r="D12" s="353"/>
      <c r="E12" s="353"/>
      <c r="I12" s="196"/>
      <c r="J12" s="196"/>
      <c r="K12" s="196"/>
    </row>
    <row r="13" spans="1:11" s="136" customFormat="1" ht="23.25" customHeight="1">
      <c r="A13" s="2" t="s">
        <v>0</v>
      </c>
      <c r="B13" s="2" t="s">
        <v>1</v>
      </c>
      <c r="C13" s="2" t="s">
        <v>2</v>
      </c>
      <c r="D13" s="2" t="s">
        <v>3</v>
      </c>
      <c r="E13" s="117" t="s">
        <v>146</v>
      </c>
      <c r="I13" s="197"/>
      <c r="J13" s="197"/>
      <c r="K13" s="197"/>
    </row>
    <row r="14" spans="1:11" s="136" customFormat="1" ht="23.25" customHeight="1">
      <c r="A14" s="41" t="s">
        <v>47</v>
      </c>
      <c r="B14" s="42"/>
      <c r="C14" s="43"/>
      <c r="D14" s="44" t="s">
        <v>48</v>
      </c>
      <c r="E14" s="142">
        <f>SUM(E15)</f>
        <v>108500</v>
      </c>
      <c r="I14" s="197"/>
      <c r="J14" s="197"/>
      <c r="K14" s="197"/>
    </row>
    <row r="15" spans="1:11" s="241" customFormat="1" ht="23.25" customHeight="1">
      <c r="A15" s="79"/>
      <c r="B15" s="94" t="s">
        <v>109</v>
      </c>
      <c r="C15" s="98"/>
      <c r="D15" s="46" t="s">
        <v>110</v>
      </c>
      <c r="E15" s="243">
        <f>SUM(E16)</f>
        <v>108500</v>
      </c>
      <c r="I15" s="242"/>
      <c r="J15" s="242"/>
      <c r="K15" s="242"/>
    </row>
    <row r="16" spans="1:11" s="241" customFormat="1" ht="23.25" customHeight="1">
      <c r="A16" s="79"/>
      <c r="B16" s="99"/>
      <c r="C16" s="98">
        <v>4810</v>
      </c>
      <c r="D16" s="46" t="s">
        <v>111</v>
      </c>
      <c r="E16" s="243">
        <f>40000+55000+13500</f>
        <v>108500</v>
      </c>
      <c r="I16" s="242"/>
      <c r="J16" s="242"/>
      <c r="K16" s="242"/>
    </row>
    <row r="17" spans="1:11" s="139" customFormat="1" ht="23.25" customHeight="1">
      <c r="A17" s="2">
        <v>851</v>
      </c>
      <c r="B17" s="2"/>
      <c r="C17" s="2"/>
      <c r="D17" s="140" t="s">
        <v>237</v>
      </c>
      <c r="E17" s="141">
        <f>E20+E18</f>
        <v>112403</v>
      </c>
      <c r="I17" s="198"/>
      <c r="J17" s="198"/>
      <c r="K17" s="198"/>
    </row>
    <row r="18" spans="1:11" s="139" customFormat="1" ht="19.5" customHeight="1">
      <c r="A18" s="2"/>
      <c r="B18" s="65">
        <v>85153</v>
      </c>
      <c r="C18" s="2"/>
      <c r="D18" s="62" t="s">
        <v>239</v>
      </c>
      <c r="E18" s="245">
        <f>SUM(E19:E19)</f>
        <v>5600</v>
      </c>
      <c r="I18" s="133"/>
      <c r="J18" s="133"/>
      <c r="K18" s="133"/>
    </row>
    <row r="19" spans="1:11" s="246" customFormat="1" ht="19.5" customHeight="1">
      <c r="A19" s="244"/>
      <c r="B19" s="244"/>
      <c r="C19" s="59">
        <v>4300</v>
      </c>
      <c r="D19" s="46" t="s">
        <v>82</v>
      </c>
      <c r="E19" s="245">
        <v>5600</v>
      </c>
      <c r="I19" s="247"/>
      <c r="J19" s="247"/>
      <c r="K19" s="247"/>
    </row>
    <row r="20" spans="1:11" s="29" customFormat="1" ht="21.75" customHeight="1">
      <c r="A20" s="85"/>
      <c r="B20" s="85" t="s">
        <v>122</v>
      </c>
      <c r="C20" s="59"/>
      <c r="D20" s="16" t="s">
        <v>56</v>
      </c>
      <c r="E20" s="97">
        <f>SUM(E21:E27)</f>
        <v>106803</v>
      </c>
      <c r="I20" s="196"/>
      <c r="J20" s="196"/>
      <c r="K20" s="196"/>
    </row>
    <row r="21" spans="1:11" s="29" customFormat="1" ht="20.25" customHeight="1">
      <c r="A21" s="85"/>
      <c r="B21" s="85"/>
      <c r="C21" s="59">
        <v>4110</v>
      </c>
      <c r="D21" s="46" t="s">
        <v>89</v>
      </c>
      <c r="E21" s="97">
        <v>1858</v>
      </c>
      <c r="I21" s="196"/>
      <c r="J21" s="196"/>
      <c r="K21" s="196"/>
    </row>
    <row r="22" spans="1:11" s="29" customFormat="1" ht="21.75" customHeight="1">
      <c r="A22" s="85"/>
      <c r="B22" s="59"/>
      <c r="C22" s="59">
        <v>4170</v>
      </c>
      <c r="D22" s="16" t="s">
        <v>202</v>
      </c>
      <c r="E22" s="104">
        <f>20000+17100+7500</f>
        <v>44600</v>
      </c>
      <c r="I22" s="197"/>
      <c r="J22" s="197"/>
      <c r="K22" s="197"/>
    </row>
    <row r="23" spans="1:11" s="29" customFormat="1" ht="21.75" customHeight="1">
      <c r="A23" s="85"/>
      <c r="B23" s="59"/>
      <c r="C23" s="59">
        <v>4210</v>
      </c>
      <c r="D23" s="16" t="s">
        <v>95</v>
      </c>
      <c r="E23" s="104">
        <f>7800+5000</f>
        <v>12800</v>
      </c>
      <c r="I23" s="196"/>
      <c r="J23" s="196"/>
      <c r="K23" s="196"/>
    </row>
    <row r="24" spans="1:5" s="29" customFormat="1" ht="21.75" customHeight="1">
      <c r="A24" s="85"/>
      <c r="B24" s="59"/>
      <c r="C24" s="59">
        <v>4220</v>
      </c>
      <c r="D24" s="16" t="s">
        <v>189</v>
      </c>
      <c r="E24" s="104">
        <v>13500</v>
      </c>
    </row>
    <row r="25" spans="1:5" s="29" customFormat="1" ht="20.25" customHeight="1">
      <c r="A25" s="85"/>
      <c r="B25" s="59"/>
      <c r="C25" s="59">
        <v>4300</v>
      </c>
      <c r="D25" s="16" t="s">
        <v>82</v>
      </c>
      <c r="E25" s="104">
        <f>5000+12000-5600+2400+6000+7500+4945</f>
        <v>32245</v>
      </c>
    </row>
    <row r="26" spans="1:5" s="29" customFormat="1" ht="21" customHeight="1">
      <c r="A26" s="85"/>
      <c r="B26" s="59"/>
      <c r="C26" s="59">
        <v>4410</v>
      </c>
      <c r="D26" s="46" t="s">
        <v>93</v>
      </c>
      <c r="E26" s="104">
        <v>1200</v>
      </c>
    </row>
    <row r="27" spans="1:5" s="29" customFormat="1" ht="22.5">
      <c r="A27" s="85"/>
      <c r="B27" s="59"/>
      <c r="C27" s="59">
        <v>4700</v>
      </c>
      <c r="D27" s="46" t="s">
        <v>298</v>
      </c>
      <c r="E27" s="104">
        <v>600</v>
      </c>
    </row>
    <row r="28" spans="1:5" s="9" customFormat="1" ht="21.75" customHeight="1">
      <c r="A28" s="39">
        <v>852</v>
      </c>
      <c r="B28" s="6"/>
      <c r="C28" s="6"/>
      <c r="D28" s="23" t="s">
        <v>196</v>
      </c>
      <c r="E28" s="21">
        <f>SUM(E29,)</f>
        <v>109097</v>
      </c>
    </row>
    <row r="29" spans="1:5" s="29" customFormat="1" ht="21.75" customHeight="1">
      <c r="A29" s="85"/>
      <c r="B29" s="85">
        <v>85219</v>
      </c>
      <c r="C29" s="59"/>
      <c r="D29" s="46" t="s">
        <v>60</v>
      </c>
      <c r="E29" s="97">
        <f>SUM(E30:E45)</f>
        <v>109097</v>
      </c>
    </row>
    <row r="30" spans="1:5" s="29" customFormat="1" ht="21.75" customHeight="1">
      <c r="A30" s="85"/>
      <c r="B30" s="85"/>
      <c r="C30" s="98">
        <v>4010</v>
      </c>
      <c r="D30" s="46" t="s">
        <v>87</v>
      </c>
      <c r="E30" s="104">
        <v>30333</v>
      </c>
    </row>
    <row r="31" spans="1:5" s="29" customFormat="1" ht="21.75" customHeight="1">
      <c r="A31" s="85"/>
      <c r="B31" s="85"/>
      <c r="C31" s="98">
        <v>4040</v>
      </c>
      <c r="D31" s="46" t="s">
        <v>88</v>
      </c>
      <c r="E31" s="104">
        <v>2420</v>
      </c>
    </row>
    <row r="32" spans="1:5" s="29" customFormat="1" ht="21.75" customHeight="1">
      <c r="A32" s="85"/>
      <c r="B32" s="85"/>
      <c r="C32" s="98">
        <v>4110</v>
      </c>
      <c r="D32" s="46" t="s">
        <v>89</v>
      </c>
      <c r="E32" s="104">
        <v>5008</v>
      </c>
    </row>
    <row r="33" spans="1:5" s="29" customFormat="1" ht="21.75" customHeight="1">
      <c r="A33" s="85"/>
      <c r="B33" s="85"/>
      <c r="C33" s="98">
        <v>4120</v>
      </c>
      <c r="D33" s="46" t="s">
        <v>90</v>
      </c>
      <c r="E33" s="104">
        <v>803</v>
      </c>
    </row>
    <row r="34" spans="1:5" s="29" customFormat="1" ht="21.75" customHeight="1">
      <c r="A34" s="85"/>
      <c r="B34" s="85"/>
      <c r="C34" s="98">
        <v>4210</v>
      </c>
      <c r="D34" s="16" t="s">
        <v>95</v>
      </c>
      <c r="E34" s="104">
        <v>4200</v>
      </c>
    </row>
    <row r="35" spans="1:5" s="29" customFormat="1" ht="21.75" customHeight="1">
      <c r="A35" s="85"/>
      <c r="B35" s="85"/>
      <c r="C35" s="98">
        <v>4280</v>
      </c>
      <c r="D35" s="16" t="s">
        <v>211</v>
      </c>
      <c r="E35" s="104">
        <v>150</v>
      </c>
    </row>
    <row r="36" spans="1:5" s="29" customFormat="1" ht="21.75" customHeight="1">
      <c r="A36" s="85"/>
      <c r="B36" s="85"/>
      <c r="C36" s="98">
        <v>4300</v>
      </c>
      <c r="D36" s="16" t="s">
        <v>82</v>
      </c>
      <c r="E36" s="104">
        <v>55660</v>
      </c>
    </row>
    <row r="37" spans="1:5" s="29" customFormat="1" ht="21.75" customHeight="1">
      <c r="A37" s="85"/>
      <c r="B37" s="85"/>
      <c r="C37" s="98">
        <v>4350</v>
      </c>
      <c r="D37" s="16" t="s">
        <v>218</v>
      </c>
      <c r="E37" s="104">
        <v>550</v>
      </c>
    </row>
    <row r="38" spans="1:5" s="29" customFormat="1" ht="21.75" customHeight="1">
      <c r="A38" s="85"/>
      <c r="B38" s="85"/>
      <c r="C38" s="98">
        <v>4370</v>
      </c>
      <c r="D38" s="46" t="s">
        <v>242</v>
      </c>
      <c r="E38" s="104">
        <v>2500</v>
      </c>
    </row>
    <row r="39" spans="1:5" s="29" customFormat="1" ht="26.25" customHeight="1">
      <c r="A39" s="85"/>
      <c r="B39" s="85"/>
      <c r="C39" s="98">
        <v>4400</v>
      </c>
      <c r="D39" s="46" t="s">
        <v>290</v>
      </c>
      <c r="E39" s="104">
        <v>2110</v>
      </c>
    </row>
    <row r="40" spans="1:5" s="29" customFormat="1" ht="18.75" customHeight="1">
      <c r="A40" s="85"/>
      <c r="B40" s="85"/>
      <c r="C40" s="98">
        <v>4410</v>
      </c>
      <c r="D40" s="46" t="s">
        <v>93</v>
      </c>
      <c r="E40" s="104">
        <v>200</v>
      </c>
    </row>
    <row r="41" spans="1:5" s="29" customFormat="1" ht="19.5" customHeight="1">
      <c r="A41" s="85"/>
      <c r="B41" s="85"/>
      <c r="C41" s="98">
        <v>4440</v>
      </c>
      <c r="D41" s="46" t="s">
        <v>91</v>
      </c>
      <c r="E41" s="104">
        <v>1133</v>
      </c>
    </row>
    <row r="42" spans="1:5" s="29" customFormat="1" ht="19.5" customHeight="1">
      <c r="A42" s="85"/>
      <c r="B42" s="85"/>
      <c r="C42" s="98">
        <v>4610</v>
      </c>
      <c r="D42" s="46" t="s">
        <v>191</v>
      </c>
      <c r="E42" s="104">
        <v>1200</v>
      </c>
    </row>
    <row r="43" spans="1:5" s="29" customFormat="1" ht="22.5">
      <c r="A43" s="85"/>
      <c r="B43" s="85"/>
      <c r="C43" s="98">
        <v>4700</v>
      </c>
      <c r="D43" s="46" t="s">
        <v>298</v>
      </c>
      <c r="E43" s="104">
        <v>2000</v>
      </c>
    </row>
    <row r="44" spans="1:5" s="29" customFormat="1" ht="22.5">
      <c r="A44" s="85"/>
      <c r="B44" s="85"/>
      <c r="C44" s="98">
        <v>4740</v>
      </c>
      <c r="D44" s="46" t="s">
        <v>243</v>
      </c>
      <c r="E44" s="104">
        <v>130</v>
      </c>
    </row>
    <row r="45" spans="1:5" s="29" customFormat="1" ht="22.5">
      <c r="A45" s="85"/>
      <c r="B45" s="85"/>
      <c r="C45" s="98">
        <v>4750</v>
      </c>
      <c r="D45" s="46" t="s">
        <v>307</v>
      </c>
      <c r="E45" s="104">
        <v>700</v>
      </c>
    </row>
    <row r="46" spans="1:5" s="49" customFormat="1" ht="22.5" customHeight="1">
      <c r="A46" s="135"/>
      <c r="B46" s="135"/>
      <c r="C46" s="135"/>
      <c r="D46" s="7" t="s">
        <v>70</v>
      </c>
      <c r="E46" s="21">
        <f>E28+E17+E14</f>
        <v>330000</v>
      </c>
    </row>
  </sheetData>
  <sheetProtection/>
  <mergeCells count="3">
    <mergeCell ref="A5:D5"/>
    <mergeCell ref="A6:E6"/>
    <mergeCell ref="A12:E12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2009-12-28T08:25:43Z</cp:lastPrinted>
  <dcterms:created xsi:type="dcterms:W3CDTF">2002-10-21T08:56:44Z</dcterms:created>
  <dcterms:modified xsi:type="dcterms:W3CDTF">2009-12-28T12:37:14Z</dcterms:modified>
  <cp:category/>
  <cp:version/>
  <cp:contentType/>
  <cp:contentStatus/>
</cp:coreProperties>
</file>