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firstSheet="4" activeTab="6"/>
  </bookViews>
  <sheets>
    <sheet name="dochody 2009 zał.1" sheetId="1" r:id="rId1"/>
    <sheet name="wydatki 2009 zał.2" sheetId="2" r:id="rId2"/>
    <sheet name="dot. otrzym.2007 zał.3" sheetId="3" r:id="rId3"/>
    <sheet name="zał.  dotacje przek.4" sheetId="4" r:id="rId4"/>
    <sheet name="wyd.admin." sheetId="5" r:id="rId5"/>
    <sheet name="doch.admin zał. 14" sheetId="6" r:id="rId6"/>
    <sheet name="WPI uchwała" sheetId="7" r:id="rId7"/>
  </sheets>
  <definedNames>
    <definedName name="_xlnm.Print_Titles" localSheetId="0">'dochody 2009 zał.1'!$6:$6</definedName>
    <definedName name="_xlnm.Print_Titles" localSheetId="2">'dot. otrzym.2007 zał.3'!$6:$6</definedName>
    <definedName name="_xlnm.Print_Titles" localSheetId="1">'wydatki 2009 zał.2'!$6:$6</definedName>
  </definedNames>
  <calcPr fullCalcOnLoad="1"/>
</workbook>
</file>

<file path=xl/comments2.xml><?xml version="1.0" encoding="utf-8"?>
<comments xmlns="http://schemas.openxmlformats.org/spreadsheetml/2006/main">
  <authors>
    <author>izawalniak</author>
  </authors>
  <commentList>
    <comment ref="E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57.205 wyd. soł.
</t>
        </r>
      </text>
    </comment>
    <comment ref="F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57.205 wyd. soł.
</t>
        </r>
      </text>
    </comment>
    <comment ref="G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57.205 wyd. soł.
</t>
        </r>
      </text>
    </comment>
    <comment ref="E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21.800 wyd.soł.</t>
        </r>
      </text>
    </comment>
    <comment ref="F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21.800 wyd.soł.</t>
        </r>
      </text>
    </comment>
    <comment ref="G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21.800 wyd.soł.</t>
        </r>
      </text>
    </comment>
    <comment ref="E5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wyd. soł.
</t>
        </r>
      </text>
    </comment>
    <comment ref="F5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wyd. soł.
</t>
        </r>
      </text>
    </comment>
    <comment ref="G5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wyd. soł.
</t>
        </r>
      </text>
    </comment>
    <comment ref="E5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 zł wyd. soł.
</t>
        </r>
      </text>
    </comment>
    <comment ref="F5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 zł wyd. soł.
</t>
        </r>
      </text>
    </comment>
    <comment ref="G5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 zł wyd. soł.
</t>
        </r>
      </text>
    </comment>
    <comment ref="E6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wyd.soł.</t>
        </r>
      </text>
    </comment>
    <comment ref="F6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wyd.soł.</t>
        </r>
      </text>
    </comment>
    <comment ref="G6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wyd.soł.</t>
        </r>
      </text>
    </comment>
    <comment ref="E13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22.980 wyd.soł.
</t>
        </r>
      </text>
    </comment>
    <comment ref="F13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22.980 wyd.soł.
</t>
        </r>
      </text>
    </comment>
    <comment ref="G13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22.980 wyd.soł.
</t>
        </r>
      </text>
    </comment>
    <comment ref="E13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5.500 zł wyd. soł.
</t>
        </r>
      </text>
    </comment>
    <comment ref="F13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5.500 zł wyd. soł.
</t>
        </r>
      </text>
    </comment>
    <comment ref="G13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5.500 zł wyd. soł.
</t>
        </r>
      </text>
    </comment>
    <comment ref="E16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9.000 zł wyd. soł.
</t>
        </r>
      </text>
    </comment>
    <comment ref="F16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9.000 zł wyd. soł.
</t>
        </r>
      </text>
    </comment>
    <comment ref="G16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9.000 zł wyd. soł.
</t>
        </r>
      </text>
    </comment>
    <comment ref="E22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6.800 zł wyd. soł.
</t>
        </r>
      </text>
    </comment>
    <comment ref="F22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6.800 zł wyd. soł.
</t>
        </r>
      </text>
    </comment>
    <comment ref="G22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6.800 zł wyd. soł.
</t>
        </r>
      </text>
    </comment>
    <comment ref="E22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zł wyd. soł. </t>
        </r>
      </text>
    </comment>
    <comment ref="F22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zł wyd. soł. </t>
        </r>
      </text>
    </comment>
    <comment ref="G22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zł wyd. soł. </t>
        </r>
      </text>
    </comment>
    <comment ref="E25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1.700 zł wyd. soł. </t>
        </r>
      </text>
    </comment>
    <comment ref="F25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1.700 zł wyd. soł. </t>
        </r>
      </text>
    </comment>
    <comment ref="G25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1.700 zł wyd. soł. </t>
        </r>
      </text>
    </comment>
    <comment ref="E26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zł wyd. soł.</t>
        </r>
      </text>
    </comment>
    <comment ref="F26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zł wyd. soł.</t>
        </r>
      </text>
    </comment>
    <comment ref="G26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zł wyd. soł.</t>
        </r>
      </text>
    </comment>
    <comment ref="E27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1.000 zł wyd. soł.</t>
        </r>
      </text>
    </comment>
    <comment ref="F27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1.000 zł wyd. soł.</t>
        </r>
      </text>
    </comment>
    <comment ref="G27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1.000 zł wyd. soł.</t>
        </r>
      </text>
    </comment>
    <comment ref="F328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70.000 przeniesiono do rezerwy b.
</t>
        </r>
      </text>
    </comment>
    <comment ref="F333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5000 z org. FAS do dot.na wypoczynke do rezerw b.
</t>
        </r>
      </text>
    </comment>
    <comment ref="E33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1.200 wyd. soł. Świetlica środowiskowa</t>
        </r>
      </text>
    </comment>
    <comment ref="F33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1.200 wyd. soł. Świetlica środowiskowa</t>
        </r>
      </text>
    </comment>
    <comment ref="G33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1.200 wyd. soł. Świetlica środowiskowa</t>
        </r>
      </text>
    </comment>
    <comment ref="F425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65.000 do rezerw b. </t>
        </r>
      </text>
    </comment>
    <comment ref="E42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2.390 zł wyd. soł.
</t>
        </r>
      </text>
    </comment>
    <comment ref="F42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2.390 zł wyd. soł.
</t>
        </r>
      </text>
    </comment>
    <comment ref="G42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2.390 zł wyd. soł.
</t>
        </r>
      </text>
    </comment>
    <comment ref="E42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7.500 zł wyd. soł.
</t>
        </r>
      </text>
    </comment>
    <comment ref="F427" authorId="0">
      <text>
        <r>
          <rPr>
            <b/>
            <sz val="8"/>
            <rFont val="Tahoma"/>
            <family val="0"/>
          </rPr>
          <t xml:space="preserve">izawalniak: 30.000 place zabaw
</t>
        </r>
        <r>
          <rPr>
            <sz val="8"/>
            <rFont val="Tahoma"/>
            <family val="0"/>
          </rPr>
          <t xml:space="preserve">
</t>
        </r>
      </text>
    </comment>
    <comment ref="G42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7.500 zł wyd. soł.
</t>
        </r>
      </text>
    </comment>
    <comment ref="E44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2.240 wyd. soł.
</t>
        </r>
      </text>
    </comment>
    <comment ref="F44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2.240 wyd. soł.
</t>
        </r>
      </text>
    </comment>
    <comment ref="G44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2.240 wyd. soł.
</t>
        </r>
      </text>
    </comment>
    <comment ref="E44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26.220 zł wyd. soł.
</t>
        </r>
      </text>
    </comment>
    <comment ref="F44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26.220 zł wyd. soł.
</t>
        </r>
      </text>
    </comment>
    <comment ref="G44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26.220 zł wyd. soł.
</t>
        </r>
      </text>
    </comment>
    <comment ref="E45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6.200 zł wyd. soł.</t>
        </r>
      </text>
    </comment>
    <comment ref="F45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6.200 zł wyd. soł.</t>
        </r>
      </text>
    </comment>
    <comment ref="G45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6.200 zł wyd. soł.</t>
        </r>
      </text>
    </comment>
    <comment ref="E45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3.000 zł wyd. soł.</t>
        </r>
      </text>
    </comment>
    <comment ref="F45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3.000 zł wyd. soł.</t>
        </r>
      </text>
    </comment>
    <comment ref="G45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3.000 zł wyd. soł.</t>
        </r>
      </text>
    </comment>
    <comment ref="E46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33.580 zł wyd. soł.
</t>
        </r>
      </text>
    </comment>
    <comment ref="F46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33.580 zł wyd. soł.
</t>
        </r>
      </text>
    </comment>
    <comment ref="G46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33.580 zł wyd. soł.
</t>
        </r>
      </text>
    </comment>
    <comment ref="E46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12.650 zł wyd. soł.</t>
        </r>
      </text>
    </comment>
    <comment ref="F46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12.650 zł wyd. soł.</t>
        </r>
      </text>
    </comment>
    <comment ref="G46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12.650 zł wyd. soł.</t>
        </r>
      </text>
    </comment>
    <comment ref="E47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56.770 zł wyd. soł.</t>
        </r>
      </text>
    </comment>
    <comment ref="F47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56.770 zł wyd. soł.</t>
        </r>
      </text>
    </comment>
    <comment ref="G47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56.770 zł wyd. soł.</t>
        </r>
      </text>
    </comment>
    <comment ref="E47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8.340 zł wyd. soł.</t>
        </r>
      </text>
    </comment>
    <comment ref="F47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8.340 zł wyd. soł.</t>
        </r>
      </text>
    </comment>
    <comment ref="G47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8.340 zł wyd. soł.</t>
        </r>
      </text>
    </comment>
    <comment ref="E47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1.635 wyd. soł.
</t>
        </r>
      </text>
    </comment>
    <comment ref="F47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1.635 wyd. soł.
</t>
        </r>
      </text>
    </comment>
    <comment ref="G47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1.635 wyd. soł.
</t>
        </r>
      </text>
    </comment>
    <comment ref="V49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600 por.Starostwo
</t>
        </r>
      </text>
    </comment>
    <comment ref="X49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600 por.Starostwo
</t>
        </r>
      </text>
    </comment>
    <comment ref="E49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9.590 zł wyd. soł.</t>
        </r>
      </text>
    </comment>
    <comment ref="F49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9.590 zł wyd. soł.</t>
        </r>
      </text>
    </comment>
    <comment ref="G49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9.590 zł wyd. soł.</t>
        </r>
      </text>
    </comment>
    <comment ref="V49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-600 poroz. Starostwo </t>
        </r>
      </text>
    </comment>
    <comment ref="X49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-600 poroz. Starostwo </t>
        </r>
      </text>
    </comment>
    <comment ref="E49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1.100 zł wyd. soł.</t>
        </r>
      </text>
    </comment>
    <comment ref="F49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1.100 zł wyd. soł.</t>
        </r>
      </text>
    </comment>
    <comment ref="G49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1.100 zł wyd. soł.</t>
        </r>
      </text>
    </comment>
    <comment ref="E49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4.600 zł wyd. soł.</t>
        </r>
      </text>
    </comment>
    <comment ref="F49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4.600 zł wyd. soł.</t>
        </r>
      </text>
    </comment>
    <comment ref="G49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4.600 zł wyd. soł.</t>
        </r>
      </text>
    </comment>
    <comment ref="Z49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600 por.Starostwo
</t>
        </r>
      </text>
    </comment>
    <comment ref="AB49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600 por.Starostwo
</t>
        </r>
      </text>
    </comment>
  </commentList>
</comments>
</file>

<file path=xl/sharedStrings.xml><?xml version="1.0" encoding="utf-8"?>
<sst xmlns="http://schemas.openxmlformats.org/spreadsheetml/2006/main" count="1399" uniqueCount="509">
  <si>
    <t>dział</t>
  </si>
  <si>
    <t>rozdział</t>
  </si>
  <si>
    <t>§</t>
  </si>
  <si>
    <t>nazwa</t>
  </si>
  <si>
    <t>010</t>
  </si>
  <si>
    <t>Rolnictwo i łowiectwo</t>
  </si>
  <si>
    <t>pozostała działalność</t>
  </si>
  <si>
    <t>wpływy z innych lokalnych opłat pobieranych przez jednostki samorządu terytorialnego na podstawie odrębnych ustaw</t>
  </si>
  <si>
    <t>700</t>
  </si>
  <si>
    <t>Gospodarka mieszkaniowa</t>
  </si>
  <si>
    <t>70005</t>
  </si>
  <si>
    <t>pozostałe odsetki</t>
  </si>
  <si>
    <t>wpływy z różnych dochodów</t>
  </si>
  <si>
    <t>cmentarze</t>
  </si>
  <si>
    <t>750</t>
  </si>
  <si>
    <t xml:space="preserve">Administracja publiczna </t>
  </si>
  <si>
    <t>urzędy wojewódzkie</t>
  </si>
  <si>
    <t>75023</t>
  </si>
  <si>
    <t>urzędy gmin (miast i miast na prawach powiatu)</t>
  </si>
  <si>
    <t xml:space="preserve">Urzędy naczelnych organów władzy państwowej, kontroli i ochrony prawa oraz sądownictwa </t>
  </si>
  <si>
    <t>urzędy naczelnych organów władzy państwowej, kontroli i ochrony prawa</t>
  </si>
  <si>
    <t>754</t>
  </si>
  <si>
    <t>Bezpieczeństwo publiczne i ochrona przeciwpożarowa</t>
  </si>
  <si>
    <t>75416</t>
  </si>
  <si>
    <t>straż miejska</t>
  </si>
  <si>
    <t xml:space="preserve">grzywny, mandaty i inne kary pieniężne od ludności </t>
  </si>
  <si>
    <t>756</t>
  </si>
  <si>
    <t xml:space="preserve">wpływy z podatku dochodowego od osób fizycznych </t>
  </si>
  <si>
    <t>podatek od działalności gospodarczej osób fizycznych, opłacany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</si>
  <si>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</si>
  <si>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</si>
  <si>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</si>
  <si>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</si>
  <si>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</si>
  <si>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wpływy z opłaty eksploatacyjnej</t>
  </si>
  <si>
    <t>odsetki z tytułu nieterminowych wpłat z tytułu podatków i opłat</t>
  </si>
  <si>
    <t>wpływy z opłaty targowej</t>
  </si>
  <si>
    <t>podatek od czynności cywilnoprawnych</t>
  </si>
  <si>
    <t>75618</t>
  </si>
  <si>
    <t>wpływy z innych opłat stanowiących dochody jednostek samorządu terytorialnego na podstawie ustaw</t>
  </si>
  <si>
    <t>wpływy z opłaty skarbowej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</si>
  <si>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</si>
  <si>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</si>
  <si>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</si>
  <si>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</si>
  <si>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</si>
  <si>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</si>
  <si>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</si>
  <si>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</si>
  <si>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subwencje ogólne z budżetu państwa</t>
  </si>
  <si>
    <t>różne rozliczenia finansowe</t>
  </si>
  <si>
    <t>szkoły podstawowe</t>
  </si>
  <si>
    <t>gimnazja</t>
  </si>
  <si>
    <t>Ochrona zdrowia</t>
  </si>
  <si>
    <t>przeciwdziałanie alkoholizmowi</t>
  </si>
  <si>
    <t>dochody z najmu i dzierżawy składników majątkowych Skarbu Państwa, jednostek samorządu terytorialnego lub  innych jednostek zaliczanych do sektora finansów publicznych oraz innych umów o podobnym charakterze</t>
  </si>
  <si>
    <t xml:space="preserve">zasiłki i pomoc w naturze oraz składki na ubezpieczenia społeczne </t>
  </si>
  <si>
    <t>ośrodki pomocy społecznej</t>
  </si>
  <si>
    <t>Edukacyjna opieka wychowawcza</t>
  </si>
  <si>
    <t>Gospodarka komunalna i ochrona środowiska</t>
  </si>
  <si>
    <t>gospodarka ściekowa i ochrona wód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</si>
  <si>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</si>
  <si>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</si>
  <si>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</si>
  <si>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</si>
  <si>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</si>
  <si>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</si>
  <si>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 xml:space="preserve">Kultura i ochrona dziedzictwa narodowego 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</si>
  <si>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</si>
  <si>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</si>
  <si>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</si>
  <si>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</si>
  <si>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</si>
  <si>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</si>
  <si>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</si>
  <si>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</si>
  <si>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</si>
  <si>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plany zagospodarowania przestrzennego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</si>
  <si>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</si>
  <si>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</si>
  <si>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</si>
  <si>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</si>
  <si>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</si>
  <si>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</si>
  <si>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różne wydatki na rzecz osób fizycznych</t>
  </si>
  <si>
    <t>podróże służbowe krajowe</t>
  </si>
  <si>
    <t xml:space="preserve">zakup materiałów i wyposażenia </t>
  </si>
  <si>
    <t>różne opłaty i składki</t>
  </si>
  <si>
    <t>zakup energii</t>
  </si>
  <si>
    <t>wydatki na zakupy inwestycyjne jednostek budżetowych</t>
  </si>
  <si>
    <t>ochotnicze straże pożarne</t>
  </si>
  <si>
    <t>75495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</si>
  <si>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</si>
  <si>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</si>
  <si>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</si>
  <si>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</si>
  <si>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</si>
  <si>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</si>
  <si>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85154</t>
  </si>
  <si>
    <t>składki na ubezpieczenia zdrowotne</t>
  </si>
  <si>
    <t>854</t>
  </si>
  <si>
    <t>zakup pomocy naukowych, dydaktycznych i książek</t>
  </si>
  <si>
    <t xml:space="preserve">przedszkola </t>
  </si>
  <si>
    <t>85412</t>
  </si>
  <si>
    <t>900</t>
  </si>
  <si>
    <t>90001</t>
  </si>
  <si>
    <t>90003</t>
  </si>
  <si>
    <t>oczyszczanie miast i wsi</t>
  </si>
  <si>
    <t>90004</t>
  </si>
  <si>
    <t>90015</t>
  </si>
  <si>
    <t>oświetlenie ulic, placów i dróg</t>
  </si>
  <si>
    <t>Kultura i ochrona dziedzictwa narodowego</t>
  </si>
  <si>
    <t>92109</t>
  </si>
  <si>
    <t>92118</t>
  </si>
  <si>
    <t>muzea</t>
  </si>
  <si>
    <t>926</t>
  </si>
  <si>
    <t>plan</t>
  </si>
  <si>
    <t xml:space="preserve">plan </t>
  </si>
  <si>
    <t>wpływy z różnych opłat</t>
  </si>
  <si>
    <t>Rady Miejskiej Trzcianki</t>
  </si>
  <si>
    <t>dokształcanie i doskonalenie nauczycieli</t>
  </si>
  <si>
    <t>gospodarka gruntami i nieruchomościami</t>
  </si>
  <si>
    <t>domy i ośrodki kultury, świetlice i kluby</t>
  </si>
  <si>
    <t>utrzymanie zieleni w miastach i gminach</t>
  </si>
  <si>
    <t>Dochody od osób prawnych, od osób fizycznych i od innych jednostek nieposiadających osobowości prawnej oraz wydatki związane z ich poborem</t>
  </si>
  <si>
    <t>852</t>
  </si>
  <si>
    <t>85214</t>
  </si>
  <si>
    <t>85219</t>
  </si>
  <si>
    <t>kolonie i obozy  oraz inne formy wypoczynku dzieci i młodzieży szkolnej, a także szkolenia młodzieży</t>
  </si>
  <si>
    <t>0490</t>
  </si>
  <si>
    <t>0470</t>
  </si>
  <si>
    <t>0750</t>
  </si>
  <si>
    <t>0920</t>
  </si>
  <si>
    <t>0970</t>
  </si>
  <si>
    <t>0570</t>
  </si>
  <si>
    <t>0350</t>
  </si>
  <si>
    <t>0910</t>
  </si>
  <si>
    <t>0310</t>
  </si>
  <si>
    <t>0320</t>
  </si>
  <si>
    <t>0330</t>
  </si>
  <si>
    <t>0340</t>
  </si>
  <si>
    <t>0430</t>
  </si>
  <si>
    <t>0460</t>
  </si>
  <si>
    <t>0500</t>
  </si>
  <si>
    <t>0410</t>
  </si>
  <si>
    <t>0010</t>
  </si>
  <si>
    <t>0020</t>
  </si>
  <si>
    <t>0740</t>
  </si>
  <si>
    <t>0480</t>
  </si>
  <si>
    <t>zakup środków żywności</t>
  </si>
  <si>
    <t>Towarzystwa budownictwa społecznego</t>
  </si>
  <si>
    <t>koszty postępowania sądowego i prokuratorskiego</t>
  </si>
  <si>
    <t>0690</t>
  </si>
  <si>
    <t>dochody jednostek samorządu terytorialnego związane z realizacją zadań z zakresu administracji rządowej oraz innych zadań zleconych ustawami</t>
  </si>
  <si>
    <t>część wyrównawcza subwencji ogólnej dla gmin</t>
  </si>
  <si>
    <t>75807</t>
  </si>
  <si>
    <t xml:space="preserve">Pomoc społeczna </t>
  </si>
  <si>
    <t>Pomoc społeczna</t>
  </si>
  <si>
    <t>Załącznik Nr 1</t>
  </si>
  <si>
    <t xml:space="preserve"> wydatki osobowe niezaliczone do wynagrodzeń</t>
  </si>
  <si>
    <t xml:space="preserve">wpływy z podatku rolnego, podatku leśnego, podatku od czynności cywilnoprawnych, podatków i opłat lokalnych od osób prawnych i innych jednostek organizacyjnych </t>
  </si>
  <si>
    <t>wynagrodzenia bezosobowe</t>
  </si>
  <si>
    <t>0830</t>
  </si>
  <si>
    <t>wpływy z usług</t>
  </si>
  <si>
    <t>instytucje kultury fizycznej</t>
  </si>
  <si>
    <t>odsetki od nieterminowych wpłat 
z tytułu podatków i opłat</t>
  </si>
  <si>
    <t xml:space="preserve">pozostała działalność </t>
  </si>
  <si>
    <t>oddziały przedszkolne w szkołach podstawowych</t>
  </si>
  <si>
    <t xml:space="preserve">zasiłki i pomoc w naturze oraz składki na ubezpieczenia emerytalne i rentowe </t>
  </si>
  <si>
    <t>zakup usług dostępu do sieci Internet</t>
  </si>
  <si>
    <t xml:space="preserve"> </t>
  </si>
  <si>
    <t>wpływy z opłat za zarząd, użytkowanie i użytkowanie wieczyste nieruchomości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</si>
  <si>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</si>
  <si>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</si>
  <si>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dotacje celowe otrzymane z powiatu na zadania bieżące realizowane na podstawie porozumień  między jednostkami samorządu terytorialnego</t>
  </si>
  <si>
    <t>75831</t>
  </si>
  <si>
    <t>część równoważąca subwencji ogólnej dla gmin</t>
  </si>
  <si>
    <t>zwalczanie narkomanii</t>
  </si>
  <si>
    <t xml:space="preserve">do Uchwały Nr </t>
  </si>
  <si>
    <t xml:space="preserve">z dnia </t>
  </si>
  <si>
    <t>wpływy z opłat za wydawanie zezwoleń na sprzedaż alkoholu</t>
  </si>
  <si>
    <t>0760</t>
  </si>
  <si>
    <t>opłaty z tytułu zakupu usług telekomunikacyjnych telefonii stacjonarnej</t>
  </si>
  <si>
    <t>zakup materiałów papierniczych do sprzętu drukarskiego i urządzeń kesrograficznych</t>
  </si>
  <si>
    <t xml:space="preserve">pomoc materialna dla uczniów </t>
  </si>
  <si>
    <t>dotacje celowe otrzymane z gminy na zadania bieżące realizowane na podstawie porozumień  (umów) między jednostkami samorządu terytorialnego</t>
  </si>
  <si>
    <t>L.p.</t>
  </si>
  <si>
    <t>Nazwa programu lub zadania z kontraktu</t>
  </si>
  <si>
    <t>Cel</t>
  </si>
  <si>
    <t>Jendostka organizacyjna odpowiedzialna za realizację lub koordynująca</t>
  </si>
  <si>
    <t>Okres realizacji                               (w latach)</t>
  </si>
  <si>
    <t>Łączne nakłady finansowe</t>
  </si>
  <si>
    <t>1.</t>
  </si>
  <si>
    <t>Urząd Miejski Trzcianki</t>
  </si>
  <si>
    <t>3.</t>
  </si>
  <si>
    <t>4.</t>
  </si>
  <si>
    <t>Załacznik Nr 4</t>
  </si>
  <si>
    <t>Nazwa jednostki</t>
  </si>
  <si>
    <t>Zakres dotacji</t>
  </si>
  <si>
    <t>Kwota dotacji</t>
  </si>
  <si>
    <t>Gminne Przedszkola Publiczne</t>
  </si>
  <si>
    <t>prowadzenie przedszkoli</t>
  </si>
  <si>
    <t>dokształcanie i doskonalenie zawodowe nauczycieli</t>
  </si>
  <si>
    <t xml:space="preserve">Katolicka Szkoła Podstawowa im. św. Siostry Faustyny w Trzciance  </t>
  </si>
  <si>
    <t>prowadzenie szkoły</t>
  </si>
  <si>
    <t>Oddział Przedszkolny przy Katolickiej Szkole Podstawowej św. Siostry Faustyny w Trzciance</t>
  </si>
  <si>
    <t>prowadzenie oddziału przedszkolnego</t>
  </si>
  <si>
    <t>Trzcianecki Dom Kultury</t>
  </si>
  <si>
    <t>działalność instytucji kultury</t>
  </si>
  <si>
    <t>Biblioteka Publiczna Miasta i Gminy im. Kazimiery Iłłakowiczówny</t>
  </si>
  <si>
    <t>działalność instytucji kultury - porozumienie</t>
  </si>
  <si>
    <t>Muzeum Ziemi Nadnoteckiej im. Wiktora Stachowiaka</t>
  </si>
  <si>
    <t>realizacja programów o charakterze profilaktyczno - edukacyjnym</t>
  </si>
  <si>
    <t xml:space="preserve">organizacja wypoczynku </t>
  </si>
  <si>
    <t xml:space="preserve">Starostwo Powiatowe </t>
  </si>
  <si>
    <t>Starostwo Powiatowe</t>
  </si>
  <si>
    <t>utrzymanie pracownika ZNP</t>
  </si>
  <si>
    <t>opłaty za administrowanie i czynsze za budynki, lokale i pomieszczenia garażowe</t>
  </si>
  <si>
    <t>01095</t>
  </si>
  <si>
    <t>0770</t>
  </si>
  <si>
    <t>wpływy z tytułu odpłatnego nabycia prawa własności oraz prawa użytkowania wieczystego nieruchomości</t>
  </si>
  <si>
    <t>wpływy z dywidend</t>
  </si>
  <si>
    <t>prowadzenie świetlic wychowawczych</t>
  </si>
  <si>
    <t>stołówki szkolne</t>
  </si>
  <si>
    <t>obiekty sportowe</t>
  </si>
  <si>
    <t>szkolenia pracowników niebędących członkami korpusu służby cywilnej</t>
  </si>
  <si>
    <t>wpływy z tytułu przekształcenia prawa użytkowania wieczystego przysługującego osobom fizycznym 
w prawo własności</t>
  </si>
  <si>
    <t>rekompensaty utraconych dochodów w podatkach
 i opłatach lokalnych</t>
  </si>
  <si>
    <t>rezerwa na inwestycje i zakupy inwestycyjne</t>
  </si>
  <si>
    <t>Wydatki na wieloletnie programy inwestycyjne w latach 2009 - 2011</t>
  </si>
  <si>
    <t>zakup akcesoriów komputerowych, w tym programów  i licencji</t>
  </si>
  <si>
    <t>1) Zakłady budżetowe</t>
  </si>
  <si>
    <t xml:space="preserve">2) Niepubliczne jednostki systemu oświaty </t>
  </si>
  <si>
    <t xml:space="preserve">3) Samorządowe instytucje kultury </t>
  </si>
  <si>
    <t xml:space="preserve">5) Dotacje celowe na realizację porozumień  </t>
  </si>
  <si>
    <t>II.Dotacje na zadania inwestycyjne</t>
  </si>
  <si>
    <t>dotacja celowa z budżetu na finansowanie lub dofinansowanie zadań zleconych do realizacji stowarzyszeniom</t>
  </si>
  <si>
    <t xml:space="preserve">Publiczne Gimnazjum Katolickie </t>
  </si>
  <si>
    <t>prowadzenie gimnazjum</t>
  </si>
  <si>
    <t>0370</t>
  </si>
  <si>
    <t>opłata od posiadania psów</t>
  </si>
  <si>
    <t>Pozostałe zadania w zakresie polityki społecznej</t>
  </si>
  <si>
    <t>wydatki na zakup i objęcie akcji, wniesienie wkładów do spółek prawa handlowego oraz na uzupełnienie funduszy statutowych banków państwowych i innych instytucji finansowych</t>
  </si>
  <si>
    <t>Parafia Rzymskokatolicka  pw. Trójcy Świętej w Róży Wielkiej</t>
  </si>
  <si>
    <t>4) Jednostki niezaliczane do sektora finansów publicznych</t>
  </si>
  <si>
    <t>Ochotnicze Straże Pożarne</t>
  </si>
  <si>
    <t>dofinansowanie działalności Warsztatów Terapii Zajęciowej</t>
  </si>
  <si>
    <t>6) Dotacje na pomoc finansową</t>
  </si>
  <si>
    <t>doposażenie jednostek</t>
  </si>
  <si>
    <t xml:space="preserve">wpływy z podatku rolnego, podatku leśnego,podatku od spadków i darowizn, podatku od czynności cywilnoprawnych oraz podatków i opłat lokalnych od osób fizycznych </t>
  </si>
  <si>
    <t>składki na ubezpieczenie zdrowotne opłacane za osoby pobierające niektóre świadczenia z pomocy społecznej, niektóre świadczenia rodzinne oraz za osoby uczestniczące w zajęciach w centrum integracji społecznej</t>
  </si>
  <si>
    <t>2.</t>
  </si>
  <si>
    <t>Wykupy nieruchomości (obowiązkowe wykupy działek pod drogi)</t>
  </si>
  <si>
    <t>2009-2010</t>
  </si>
  <si>
    <t>2009-2011</t>
  </si>
  <si>
    <t>Modernizacja dróg gminnych</t>
  </si>
  <si>
    <t xml:space="preserve">lata finansowania </t>
  </si>
  <si>
    <t>budowa bazy rekreacyjno - sportowej</t>
  </si>
  <si>
    <t>ochrona środowiska, uzbrojenia terenów</t>
  </si>
  <si>
    <t>poprawa stanu nawierzchni dróg i chodników</t>
  </si>
  <si>
    <t>Dotacje na zadania bieżące</t>
  </si>
  <si>
    <t>5.</t>
  </si>
  <si>
    <t>wykup nieruchomości i działek po zmianach w planie</t>
  </si>
  <si>
    <t>zmiany</t>
  </si>
  <si>
    <t>zmiana</t>
  </si>
  <si>
    <t>prace konserwatorskie i roboty budowlane przy kościele zabytkowym p.w. Matki Bożej Królowej Polski w Łomnicy</t>
  </si>
  <si>
    <t>2008-2009</t>
  </si>
  <si>
    <t xml:space="preserve">Budowa kanalizacji sanitarnej w Trzciance </t>
  </si>
  <si>
    <t>plan po zmianach</t>
  </si>
  <si>
    <t>utrzymanie hali sportowo-widowiskowej przy L.O. 
w Trzciance</t>
  </si>
  <si>
    <t>Załącznik Nr 1 do Uchwały Nr XXIV/174/08</t>
  </si>
  <si>
    <t>Rady Miejskiej Trzcianki z dnia 18 grudnia 2008 r.</t>
  </si>
  <si>
    <t>Załącznik Nr 1 do Zarządzenia Nr 26/09</t>
  </si>
  <si>
    <t>Burmistrza Trzcianki z dnia 27 lutego 2009 r. zmieniający</t>
  </si>
  <si>
    <t>Załącznik Nr 4 do Zarządzenia Nr 26/09</t>
  </si>
  <si>
    <t>Załącznik Nr 4 do Uchwały Nr XXIV/174/08</t>
  </si>
  <si>
    <t>Zakres i kwoty dotacji dla zakładów budżetowych, niepublicznych jednostek oświaty, samorządowych instytucji kultury, jednostek niezaliczanych do sektora finansów publicznych oraz na realizację porozumień zawartych między jednostami samorządu terytorialnego - plan po zmianach na rok 2009</t>
  </si>
  <si>
    <t>Dochody budżetu gminy Trzcianka - plan po zmianach na rok 2009</t>
  </si>
  <si>
    <t>Stowarzyszenie "Pomagajmy Dzieciom"</t>
  </si>
  <si>
    <t>Caritas Parafii p.w. Św. Jana Chrzciciela                    w Trzciance</t>
  </si>
  <si>
    <t>MKS MDK</t>
  </si>
  <si>
    <t>MKS LUBUSZANIN</t>
  </si>
  <si>
    <t>Klub Sportów Motorowych i Motorowodnych</t>
  </si>
  <si>
    <t>UKS "Fortuna Biała"</t>
  </si>
  <si>
    <t>UKS "Relax" przy SP Nr 2</t>
  </si>
  <si>
    <t>UKS "Dysk" przy SP Nr 3</t>
  </si>
  <si>
    <t>UKS "Forma" przy Gimnazjum Nr 1</t>
  </si>
  <si>
    <t>UKS "Kajak" przy Gimnazjum Nr 1</t>
  </si>
  <si>
    <t>LKS "Zuch" Rychlik</t>
  </si>
  <si>
    <t>Trzcianeckie LZS</t>
  </si>
  <si>
    <t>Stowarzyszenie Przyjażni Niesłyszącym</t>
  </si>
  <si>
    <t>Sekcja Olimpiad Specjalnych "Olimpijczyk"</t>
  </si>
  <si>
    <t>Polska Federacja Podnoszenia Ciężarów "Masters"</t>
  </si>
  <si>
    <t>PTSS "Sprawni - Razem"</t>
  </si>
  <si>
    <t xml:space="preserve">ZHP </t>
  </si>
  <si>
    <t>TSD SPORT</t>
  </si>
  <si>
    <t>dotacja celowa z budżetu na finansowanie lub dofinansowanie zadań zleconych do realizacji pozostałym jednostkom niezaliczanym do sektora finansów publicznych</t>
  </si>
  <si>
    <t xml:space="preserve">Burmistrza Trzcianki z dnia 27 lutego 2009 r. </t>
  </si>
  <si>
    <t>świadczenia rodzinne, świadczenia z funduszu alimentacyjnego oraz składki na ubezpieczenia emerytalne i rentowe z ubezpieczenia społecznego</t>
  </si>
  <si>
    <t>0960</t>
  </si>
  <si>
    <t>otrzymane spadki, zapisy i darowizny w postaci pienieżnej</t>
  </si>
  <si>
    <t>pozostałe zadania w zakresie kultury</t>
  </si>
  <si>
    <t>porozumienie Starostwo</t>
  </si>
  <si>
    <t>zm.subw.ośw.</t>
  </si>
  <si>
    <t>darowizna</t>
  </si>
  <si>
    <t>01009</t>
  </si>
  <si>
    <t>udziały os.fiz.</t>
  </si>
  <si>
    <t>85212.201</t>
  </si>
  <si>
    <t>85213.2010</t>
  </si>
  <si>
    <t>85214.2010</t>
  </si>
  <si>
    <t>85214.2030</t>
  </si>
  <si>
    <t>Rejonowy Związek Spółek Wodnych w Trzciance</t>
  </si>
  <si>
    <t>dotacja na konserwację i remonty rowó malioracyjncyh będących własnością gminy Trzcianka</t>
  </si>
  <si>
    <t>Załącznik Nr 1 do Uchwały Nr XXVIII/181/09</t>
  </si>
  <si>
    <t>Rady Miejskiej Trzcianki z dnia 23 marca 2009 r. zmieniający</t>
  </si>
  <si>
    <t>Załącznik Nr 4 do Uchwały Nr XXVIII/181/09</t>
  </si>
  <si>
    <t xml:space="preserve">Rady Miejskiej Trzcianki z dnia 23 marca 2009 r. </t>
  </si>
  <si>
    <t>wybory do Parlamentu Europejskiego</t>
  </si>
  <si>
    <t>Rady Miejskiej Trzcianki z dnia 30 kwietnia 2009 r. zmieniający</t>
  </si>
  <si>
    <t>Załącznik Nr 1 do Uchwały Nr XXIX/191/09</t>
  </si>
  <si>
    <t xml:space="preserve">Rady Miejskiej Trzcianki z dnia 30 kwietnia 2009 r. </t>
  </si>
  <si>
    <t>Załącznik Nr 1 do Zarządzenia Nr 49/09</t>
  </si>
  <si>
    <t>Burmistrza Trzcianki z dnia 11 maja 2009 r. zmieniający</t>
  </si>
  <si>
    <t xml:space="preserve">Burmistrza Trzcianki z dnia 11 maja 2009 r. </t>
  </si>
  <si>
    <t>Burmistrza Trzcianki z dnia 19 maja 2009 r. zmieniający</t>
  </si>
  <si>
    <t>Załącznik Nr 1 do Zarządzenia Nr 59/09</t>
  </si>
  <si>
    <t xml:space="preserve">Burmistrza Trzcianki z dnia 19 maja 2009 r. </t>
  </si>
  <si>
    <t xml:space="preserve">Rady Miejskiej Trzcianki z dnia 18 grudnia 2008 r. </t>
  </si>
  <si>
    <t>dotacja celowa na pomoc finansową udzielaną między jednostkami samorzadu terytorialnego na dofinansowanie własnych zadań bieżących</t>
  </si>
  <si>
    <t>Komendy powiatowe Państwowej Straży Pożarnej</t>
  </si>
  <si>
    <t>dotacje celowe przekazane dla powiatu na inwestycje i zakupy inwestycyjne realizowane na podstawie porozumień (umów) między jednostkami samorządu terytorialnego</t>
  </si>
  <si>
    <t>Gmina Piła</t>
  </si>
  <si>
    <t xml:space="preserve">usługi w zakresie profilaktyki świadczone przez Ośrodek Profilaktyki i Rozwiązywania Problemów Alkoholowych w Pile </t>
  </si>
  <si>
    <t>Razem plan dotacji I. + II.</t>
  </si>
  <si>
    <t>Załącznik Nr 3 do Uchwały Nr XXX/199/09</t>
  </si>
  <si>
    <t>Rady Miejskiej Trzcianki z dnia 28 maja 2009 r. zmieniający</t>
  </si>
  <si>
    <t>Załącznik Nr 1 do Uchwała Nr XXX/199/09</t>
  </si>
  <si>
    <t>Załącznik Nr 8 do Uchwały Nr XXX/199/09</t>
  </si>
  <si>
    <t>Burmistrza Trzcianki z dnia 5 czerwca 2009 r. zmieniający</t>
  </si>
  <si>
    <t xml:space="preserve">Rady Miejskiej Trzcianki z dnia 28 maja 2009 r. </t>
  </si>
  <si>
    <t>Załącznik Nr 1 do Zarządzenia Nr 72/09</t>
  </si>
  <si>
    <t xml:space="preserve">Burmistrza Trzcianki z dnia 5 czerwca 2009 r. </t>
  </si>
  <si>
    <t>drogi publiczne wojewódzkie</t>
  </si>
  <si>
    <t>dotacja celowa na pomoc finansową udzieloną między jednostkami samorzadu terytorialnego na dofinansowanie własnych zadań inwestycyjnych i zakupów inwestycyjnych</t>
  </si>
  <si>
    <t xml:space="preserve">środki na dofinansowanie własnych zadań bieżących gmin (związków gmin), powiatów (związków powiatów), samorzadów województw, pozyskane z innych źródeł </t>
  </si>
  <si>
    <t>Województwo Wielkopolskie</t>
  </si>
  <si>
    <t>dotacja na pomoc finansową dla Województwa Wielkopolskiego na wspólne sfinansowanie budowy sygnalizacji świetlnej w ciągu drogi wojewódzkiej nr 180 relacji Kocień Wielki - Piła w miejscowości Trzcianka</t>
  </si>
  <si>
    <t>80101.0970</t>
  </si>
  <si>
    <t>80110.0970</t>
  </si>
  <si>
    <t>85395. 2708,9</t>
  </si>
  <si>
    <t>Rady Miejskiej Trzcianki z dnia 25 czerwca 2009 r. zmieniający</t>
  </si>
  <si>
    <t>Załącznik Nr 3 do Uchwały Nr XXXI/209/09</t>
  </si>
  <si>
    <t>dotacja na zakup samochodu dla Państwowej Straży Pożarnej w Czarnkowie (Jednostka Ratowniczo Gaśnicza w Trzciance)</t>
  </si>
  <si>
    <t>Załącznik Nr 1 do Uchwały Nr XXXI/209/09</t>
  </si>
  <si>
    <t>wpływy do budżetu nadwyżki dochodów własnych lub środków obrotowych</t>
  </si>
  <si>
    <t xml:space="preserve">Rady Miejskiej Trzcianki z dnia 25 czerwca 2009 r. </t>
  </si>
  <si>
    <t>Załącznik Nr 1 do Zarządzenie Nr 91/09</t>
  </si>
  <si>
    <t>Burmistrza Trzcianki z dnia 30 czerwca 2009 r. zmieniający</t>
  </si>
  <si>
    <t>Załącznik Nr 4 do Zarządzenia Nr 91/09</t>
  </si>
  <si>
    <t xml:space="preserve">Burmistrza Trzcianki z dnia 30 czerwca 2009 r. </t>
  </si>
  <si>
    <t>Załącznik Nr 3 do Zarządzenia Nr 26/09</t>
  </si>
  <si>
    <t>Załącznik Nr 3 do Uchwały Nr XXVIII/181/09</t>
  </si>
  <si>
    <t>Załącznik Nr 3 do Uchwały Nr XXIX/191/09</t>
  </si>
  <si>
    <t>Załącznik Nr 3 do Zarządzenia Nr 49/09</t>
  </si>
  <si>
    <t>Załącznik Nr 3 do Zarządzenia Nr 59/09</t>
  </si>
  <si>
    <t xml:space="preserve">Załącznik Nr 3 do zarządzenia Nr 72/09 </t>
  </si>
  <si>
    <t>Załącznik Nr 3 do Zarządzenie Nr 101/09</t>
  </si>
  <si>
    <t>Burmistrza Trzcianki z dnia 4 sierpnia 2009 r. zmieniający</t>
  </si>
  <si>
    <t>Załącznik Nr 3 do Uchwały Nr XXIV/174/08</t>
  </si>
  <si>
    <t>Załącznik Nr 3 do Zarzadzenia Nr 91/09</t>
  </si>
  <si>
    <t xml:space="preserve">Dotacje otrzymywane do budżetu - plan po zmianach na rok 2009                                    </t>
  </si>
  <si>
    <t>plan po zmianie</t>
  </si>
  <si>
    <t>dotacje celowe otrzymane z budżetu państwa na realizację zadań bieżących 
z zakresu administracji rządowej oraz innych zadań zleconych gminie (związkom gmin) ustawami</t>
  </si>
  <si>
    <t>2010</t>
  </si>
  <si>
    <t>dotacje celowe otrzymane z budżetu państwa na realizację zadań bieżących 
z zakresu administracji rządowej oraz innych zadań zleconych gminie (zwiazkom gmin) ustawami</t>
  </si>
  <si>
    <t>dotacje celowe otrzymane 
z budżetu państwa na realizację własnych zadań bieżących gmin (związków gmin)</t>
  </si>
  <si>
    <t>zasiłki i pomoc w naturze oraz składki na ubezpieczenia emerytalne i rentowe</t>
  </si>
  <si>
    <t>dotacje celowe otrzymane z budżetu państwa na realizację zadań bieżących z zakresu administracji rządowej oraz innych zadań zleconych gminie(zwiazkom gmin) ustawami</t>
  </si>
  <si>
    <t xml:space="preserve">Burmistrza Trzcianki z dnia 4 sierpnia 2009 r. </t>
  </si>
  <si>
    <t>Załącznik Nr 2</t>
  </si>
  <si>
    <t>Załącznik Nr 2 do Zarządzenia Nr 26/09</t>
  </si>
  <si>
    <t>Załącznik Nr 2 do Uchwały Nr XXVIII/181/09</t>
  </si>
  <si>
    <t>Załącznik Nr 2 do Uchwały Nr XXIX/191/09</t>
  </si>
  <si>
    <t>Załącznik Nr 2 do Zarządzenia Nr 49/09</t>
  </si>
  <si>
    <t>Załącznik Nr 2 do Zarządzenia Nr 59/09</t>
  </si>
  <si>
    <t>Załącznik Nr 2 do Uchwały Nr XXX/199/09</t>
  </si>
  <si>
    <t xml:space="preserve">Załącznik Nr 2 do Zarządzenie Nr 72/09 </t>
  </si>
  <si>
    <t>Załącznik Nr 2 do Uchwały Nr XXXI/209/09</t>
  </si>
  <si>
    <t>Załącznik Nr 2 do Zarządzenie Nr 101/09</t>
  </si>
  <si>
    <t>Burmistrza Trzcianki z dnia 5 czerwiec 2009 r. zmieniający</t>
  </si>
  <si>
    <t>Załącznik Nr 2 do Uchwały Nr XXIV/174/08</t>
  </si>
  <si>
    <t>Załącznik Nr 2 do Zarzadzenia Nr 91/09</t>
  </si>
  <si>
    <t xml:space="preserve">Burmistrza Trzcianki z dnia 5 czerwiec 2009 r. </t>
  </si>
  <si>
    <t xml:space="preserve">Burmistrza Trzcianki  z dnia 30 czerwca 2009 r. </t>
  </si>
  <si>
    <t xml:space="preserve">Wydatki  budżetu gminy Trzcianka - plan po zmianach na rok 2009 </t>
  </si>
  <si>
    <t>01030</t>
  </si>
  <si>
    <t>izby rolnicze</t>
  </si>
  <si>
    <t>wpłaty gmin na rzecz izb rolniczych w wysokości 2% uzyskanych wpływów z podatku rolnego</t>
  </si>
  <si>
    <t>01041</t>
  </si>
  <si>
    <t xml:space="preserve">Program Rozwoju Obszarów Wiejskich 2007-2013 </t>
  </si>
  <si>
    <t>Spółki wodne</t>
  </si>
  <si>
    <t>zakup akcesoriów komputerowych, w tym programów i licencji</t>
  </si>
  <si>
    <t>różne jednostki obsługi gospodarki mieszkaniowej</t>
  </si>
  <si>
    <t>opłaty na rzecz budżetu państwa</t>
  </si>
  <si>
    <t>dopłaty w spółkach prawa handlowego</t>
  </si>
  <si>
    <t>710</t>
  </si>
  <si>
    <t>71004</t>
  </si>
  <si>
    <t>zakup usług medycznych</t>
  </si>
  <si>
    <t>75022</t>
  </si>
  <si>
    <t>rady gmin (miast i miast na prawach powiatu)</t>
  </si>
  <si>
    <t>podróże służbowe zagraniczne</t>
  </si>
  <si>
    <t>zakup materiałów papierniczych do sprzętu drukarskiego i urządzeń kserograficznych</t>
  </si>
  <si>
    <t>zakup usług dostepu do sieci Internet</t>
  </si>
  <si>
    <t>opłaty z tytułu zakupu usług telekomunikacyjnych telefonii komórkowej</t>
  </si>
  <si>
    <t>promocja jednostek samorządu terytorialnego</t>
  </si>
  <si>
    <t>zakup akcesoriów komputerowych, w tym programów
 i licencji</t>
  </si>
  <si>
    <t>Urzędy naczelnych organów władzy państwowej, kontroli i ochrony prawa oraz sądownictwa</t>
  </si>
  <si>
    <t>składki na ubezpieczenie społeczne</t>
  </si>
  <si>
    <t>składki na fundusz pracy</t>
  </si>
  <si>
    <t>75412</t>
  </si>
  <si>
    <t>Dochody od osób prawnych, od osób fizycznych i od innych jednostek nieposiadających osobowości prawnej oraz wydatki związane 
z ich poborem</t>
  </si>
  <si>
    <t>pobór podatków, opłat i niepodatkowych należności budżetowych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</si>
  <si>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</si>
  <si>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</si>
  <si>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</si>
  <si>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</si>
  <si>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</si>
  <si>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odsetki i dyskonto od skarbowych papierów wartościowych,  kredytów i pożyczek oraz innych instrumentów finansowych, związanych z obsługą długu krajowego</t>
  </si>
  <si>
    <t>75818</t>
  </si>
  <si>
    <t xml:space="preserve">dotacja podmiotowa z budżetu dla niepublicznej jednostki systemu oświaty </t>
  </si>
  <si>
    <t>wydatki osobowe niezaliczone do wynagrodzeń</t>
  </si>
  <si>
    <t>zakup leków, wyrobów medycznych i produktów biobójczych</t>
  </si>
  <si>
    <t>zakup usług zdrowotnych</t>
  </si>
  <si>
    <t>zakup usług obejmujących wykonanie ekspertyz, analiz i opinii</t>
  </si>
  <si>
    <t>odsetki od nieterminowych wpłat z tytułu pozostałych popdatków i opłat</t>
  </si>
  <si>
    <t>odpisy na zakłdowy fundusz świadczeń socjalnych</t>
  </si>
  <si>
    <t>80104</t>
  </si>
  <si>
    <t xml:space="preserve">dotacja podmiotowa z budżetu dla zakładu budżetowego </t>
  </si>
  <si>
    <t xml:space="preserve">80110 </t>
  </si>
  <si>
    <t>dotacja podmiotowa z budżetu dla publicznej jednostki systemu oświaty prowadzonej przez osobe prawną inną niż jadnostka samorządu terytorialnego lub przez osobę fizyczną</t>
  </si>
  <si>
    <t>80113</t>
  </si>
  <si>
    <t>dowożenie uczniów do szkół</t>
  </si>
  <si>
    <t>851</t>
  </si>
  <si>
    <t>świadczenia rodzinne, świadczenia 
z funduszu alimentacyjnego oraz składki na ubezpieczenia emerytalne i rentowe z ubezpieczenia społecznego</t>
  </si>
  <si>
    <t>dodatki mieszkaniowe</t>
  </si>
  <si>
    <t>usługi opiekuńcze i specjalistyczne usługi opiekuńcze</t>
  </si>
  <si>
    <t>85295</t>
  </si>
  <si>
    <t xml:space="preserve">rehabilitacja zawodowa i społeczna </t>
  </si>
  <si>
    <t>dotacja celowa na pomoc finansową udzielaną między jednostkami samorządu terytorialnego na dofinansowanie własnych zadań bieżących</t>
  </si>
  <si>
    <t>świetlice szkolne</t>
  </si>
  <si>
    <t>stypendia dla uczniów</t>
  </si>
  <si>
    <t>inne formy pomocy dla uczniów</t>
  </si>
  <si>
    <t>dotacje celowe przekazane dla powiatu na zadania bieżące realizowane na podstawie porozumień (umów) między jednostkami samorządu terytorialnego</t>
  </si>
  <si>
    <t>różne opłaty i skałdki</t>
  </si>
  <si>
    <t>gospodarka odpadami</t>
  </si>
  <si>
    <t>90013</t>
  </si>
  <si>
    <t>schroniska dla zwierząt</t>
  </si>
  <si>
    <t>90095</t>
  </si>
  <si>
    <t>dotacja podmiotowa z budżetu dla samorządowej instytucji kultury</t>
  </si>
  <si>
    <t>ochrona zabytków i opieka nad zabytkami</t>
  </si>
  <si>
    <t>dotacje celowe z budżetu na finansowanie lub dofinansowanie prac remontowych lub konserwatorskich obiektów zabytkowych, przekazane jednostkom niezaliczonym do sektora finansów publicznych</t>
  </si>
  <si>
    <t>stypendia różne</t>
  </si>
  <si>
    <t>wynagrodzenie bezosobowe</t>
  </si>
  <si>
    <t xml:space="preserve">Załącznik Nr 1 do Zarządzenia  Nr 101/09    </t>
  </si>
  <si>
    <t xml:space="preserve">Burmistrza Trzcianki z dnia 4 września 2009 r. </t>
  </si>
  <si>
    <t>0360</t>
  </si>
  <si>
    <t>podatek od spadków i darowizn</t>
  </si>
  <si>
    <t>0400</t>
  </si>
  <si>
    <t>Załącznik Nr 6 do Uchwały Nr XXVIII/181/09</t>
  </si>
  <si>
    <t>Załącznik Nr 5 do Uchwały Nr XXIX/191/09</t>
  </si>
  <si>
    <t>Załącznik Nr 4 do Zarządzenia Nr 59/09</t>
  </si>
  <si>
    <t>Załącznik Nr 5 do uchwały Nr XXX/199/09</t>
  </si>
  <si>
    <t>Załącznik Nr 4 do zarządzenia Nr 72/09</t>
  </si>
  <si>
    <t>Załącznik Nr 4 do Zarządzenie Nr 101/09</t>
  </si>
  <si>
    <t xml:space="preserve">                   </t>
  </si>
  <si>
    <t>Załącznik Nr 5 do Uchwały Nr XXXI/209/09</t>
  </si>
  <si>
    <t>Rady Miejskiej Trzcianki z dnia 30 kwietnia 2009 r.</t>
  </si>
  <si>
    <t>Rady Miejskiej Trzcianki z dnia 25 czerwca 2009 r.</t>
  </si>
  <si>
    <t>Wydatki związane z realizacją zadań z zakresu administracji rządowej i innych zadań zleconych ustawami - plan po zmianach na rok 2009</t>
  </si>
  <si>
    <t>plan po  zmianach</t>
  </si>
  <si>
    <t>składki na ubezpieczenie zdrowotne opłacane za osoby pobierające niektóre świadczenia z pomocy społecznej, niektóre świadczenia rodzinne oraz  za osoby uczestniczące w zajęciach w centrum integracji społecznej</t>
  </si>
  <si>
    <t xml:space="preserve">zmiana </t>
  </si>
  <si>
    <t>Rozbudowa gimnazjum i sali sportowej przy Gimnazjum w Siedlisku - plan</t>
  </si>
  <si>
    <t>Rozbudowa gimnazjum i sali sportowej przy Gimnazjum w Siedlisku - plan po zmianie</t>
  </si>
  <si>
    <t xml:space="preserve">Załącznik Nr 1 do Uchwały  Nr XXXII/217/09 </t>
  </si>
  <si>
    <t>Załącznik Nr 2 do Uchwały  Nr XXXII/217/09</t>
  </si>
  <si>
    <t>Rady Miejskiej Trzcianki z dnia 10 września 2009 r. zmieniający</t>
  </si>
  <si>
    <t>Załącznik Nr 3 do Uchwały Nr XXXII/217/09</t>
  </si>
  <si>
    <t>Załącznik Nr 4 do  Nr XXXII/217/09</t>
  </si>
  <si>
    <t>Załącznik Nr 5 do Uchwały Nr XXXII/217/09</t>
  </si>
  <si>
    <t xml:space="preserve">Rady Miejskiej Trzcianki z dnia 10 września 2009 r. </t>
  </si>
  <si>
    <t>wpływy z opłaty produktowej</t>
  </si>
  <si>
    <t>Załącznik Nr 14 do Uchwały Nr XXIV/174/08</t>
  </si>
  <si>
    <t>Dochody związane z realizacją zadań z zakresu administracji rządowej i innych zadań zleconych ustawami - plan po zmianach na rok 2009</t>
  </si>
  <si>
    <t>plan 
po zmianach</t>
  </si>
  <si>
    <t xml:space="preserve">modernizacja dróg gminnych - plan </t>
  </si>
  <si>
    <t>modernizacja dróg gminnych - plan po zmianie</t>
  </si>
  <si>
    <t>Rady Miejskiej Trzcianki z dnia 24 września 2009 r. zmieniający</t>
  </si>
  <si>
    <t>Załącznik Nr 1 do Uchwały  Nr XXXIII/224/09</t>
  </si>
  <si>
    <t>Załącznik Nr 2 do Uchwały  Nr XXXIII/224/09</t>
  </si>
  <si>
    <t>Załącznik Nr 3 do Uchwały Nr XXXIII/224/09</t>
  </si>
  <si>
    <t>Załącznik Nr 4 do  Uchwały Nr XXXIII/224/09</t>
  </si>
  <si>
    <t>Załącznik Nr 5 do Uchwały Nr XXXIII/224/09</t>
  </si>
  <si>
    <t>Załącznik Nr 6 do Uchwały Nr XXXIII/224/09</t>
  </si>
  <si>
    <t>Termomodernizacja obiektów oświatowych i kultury (Gimnazjum Nr 1, SP 3)</t>
  </si>
  <si>
    <t>6.</t>
  </si>
  <si>
    <t>Budowa pływalni</t>
  </si>
  <si>
    <t>Urząd Miejski 
Trzcianki</t>
  </si>
  <si>
    <t xml:space="preserve">Załącznik Nr 7 do Uchwały Nr XXXIII/224/09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</si>
</sst>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52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2"/>
    </font>
    <font>
      <sz val="9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2"/>
    </font>
    <font>
      <sz val="9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wrapText="1" indent="1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vertical="center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vertical="center" wrapText="1" inden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/>
    </xf>
    <xf numFmtId="0" fontId="2" fillId="33" borderId="12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 quotePrefix="1">
      <alignment horizontal="center" vertical="center"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 quotePrefix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 vertical="center" wrapText="1" indent="1"/>
    </xf>
    <xf numFmtId="0" fontId="0" fillId="0" borderId="0" xfId="0" applyFont="1" applyAlignment="1">
      <alignment/>
    </xf>
    <xf numFmtId="0" fontId="3" fillId="0" borderId="12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164" fontId="7" fillId="0" borderId="0" xfId="0" applyNumberFormat="1" applyFont="1" applyFill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0" fontId="6" fillId="0" borderId="12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4" fontId="2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 indent="1"/>
    </xf>
    <xf numFmtId="4" fontId="2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 quotePrefix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indent="1"/>
    </xf>
    <xf numFmtId="0" fontId="4" fillId="0" borderId="15" xfId="0" applyFont="1" applyFill="1" applyBorder="1" applyAlignment="1">
      <alignment horizontal="left" vertical="center" indent="1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0" fillId="0" borderId="0" xfId="0" applyFont="1" applyAlignment="1">
      <alignment/>
    </xf>
    <xf numFmtId="4" fontId="2" fillId="0" borderId="11" xfId="0" applyNumberFormat="1" applyFont="1" applyFill="1" applyBorder="1" applyAlignment="1" quotePrefix="1">
      <alignment horizontal="right" vertical="center" wrapText="1"/>
    </xf>
    <xf numFmtId="0" fontId="13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4" fontId="2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4" fontId="4" fillId="0" borderId="11" xfId="0" applyNumberFormat="1" applyFont="1" applyFill="1" applyBorder="1" applyAlignment="1" quotePrefix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4" fontId="2" fillId="0" borderId="1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 quotePrefix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vertical="center" wrapText="1" indent="1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2" fillId="0" borderId="12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 quotePrefix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 indent="1"/>
    </xf>
    <xf numFmtId="164" fontId="5" fillId="33" borderId="10" xfId="0" applyNumberFormat="1" applyFont="1" applyFill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 wrapText="1"/>
    </xf>
    <xf numFmtId="164" fontId="3" fillId="33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 quotePrefix="1">
      <alignment horizontal="center" vertical="center" wrapText="1"/>
    </xf>
    <xf numFmtId="164" fontId="6" fillId="33" borderId="10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 quotePrefix="1">
      <alignment horizontal="center" vertical="center"/>
    </xf>
    <xf numFmtId="0" fontId="50" fillId="33" borderId="10" xfId="0" applyFont="1" applyFill="1" applyBorder="1" applyAlignment="1" quotePrefix="1">
      <alignment horizontal="center" vertical="center"/>
    </xf>
    <xf numFmtId="0" fontId="50" fillId="0" borderId="0" xfId="0" applyFont="1" applyAlignment="1">
      <alignment/>
    </xf>
    <xf numFmtId="4" fontId="2" fillId="33" borderId="10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4" fontId="50" fillId="33" borderId="10" xfId="0" applyNumberFormat="1" applyFont="1" applyFill="1" applyBorder="1" applyAlignment="1">
      <alignment vertical="center"/>
    </xf>
    <xf numFmtId="0" fontId="3" fillId="33" borderId="12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2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indent="1"/>
    </xf>
    <xf numFmtId="4" fontId="3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indent="1"/>
    </xf>
    <xf numFmtId="0" fontId="2" fillId="33" borderId="12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51" fillId="0" borderId="0" xfId="0" applyNumberFormat="1" applyFont="1" applyFill="1" applyAlignment="1">
      <alignment vertical="center"/>
    </xf>
    <xf numFmtId="4" fontId="51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 quotePrefix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7" fillId="0" borderId="17" xfId="0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2" fillId="33" borderId="0" xfId="0" applyNumberFormat="1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0" fillId="0" borderId="0" xfId="0" applyFill="1" applyAlignment="1">
      <alignment/>
    </xf>
    <xf numFmtId="4" fontId="2" fillId="0" borderId="0" xfId="0" applyNumberFormat="1" applyFont="1" applyAlignment="1">
      <alignment/>
    </xf>
    <xf numFmtId="4" fontId="3" fillId="0" borderId="18" xfId="0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/>
    </xf>
    <xf numFmtId="0" fontId="7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1"/>
  <sheetViews>
    <sheetView zoomScalePageLayoutView="0" workbookViewId="0" topLeftCell="A1">
      <selection activeCell="AC144" sqref="AC144:AE153"/>
    </sheetView>
  </sheetViews>
  <sheetFormatPr defaultColWidth="9.00390625" defaultRowHeight="12.75"/>
  <cols>
    <col min="1" max="1" width="5.25390625" style="7" customWidth="1"/>
    <col min="2" max="2" width="7.25390625" style="7" bestFit="1" customWidth="1"/>
    <col min="3" max="3" width="5.25390625" style="7" customWidth="1"/>
    <col min="4" max="4" width="32.375" style="7" customWidth="1"/>
    <col min="5" max="5" width="14.625" style="27" hidden="1" customWidth="1"/>
    <col min="6" max="6" width="11.25390625" style="27" hidden="1" customWidth="1"/>
    <col min="7" max="7" width="13.875" style="27" hidden="1" customWidth="1"/>
    <col min="8" max="8" width="14.25390625" style="27" hidden="1" customWidth="1"/>
    <col min="9" max="9" width="14.75390625" style="27" hidden="1" customWidth="1"/>
    <col min="10" max="10" width="14.25390625" style="27" hidden="1" customWidth="1"/>
    <col min="11" max="11" width="14.75390625" style="27" hidden="1" customWidth="1"/>
    <col min="12" max="12" width="14.25390625" style="27" hidden="1" customWidth="1"/>
    <col min="13" max="13" width="16.625" style="27" hidden="1" customWidth="1"/>
    <col min="14" max="14" width="16.25390625" style="27" hidden="1" customWidth="1"/>
    <col min="15" max="15" width="40.00390625" style="27" hidden="1" customWidth="1"/>
    <col min="16" max="16" width="9.875" style="27" hidden="1" customWidth="1"/>
    <col min="17" max="20" width="14.75390625" style="27" hidden="1" customWidth="1"/>
    <col min="21" max="21" width="1.75390625" style="27" hidden="1" customWidth="1"/>
    <col min="22" max="23" width="14.75390625" style="27" hidden="1" customWidth="1"/>
    <col min="24" max="24" width="8.875" style="27" hidden="1" customWidth="1"/>
    <col min="25" max="25" width="42.75390625" style="27" hidden="1" customWidth="1"/>
    <col min="26" max="26" width="9.875" style="27" hidden="1" customWidth="1"/>
    <col min="27" max="28" width="14.75390625" style="27" hidden="1" customWidth="1"/>
    <col min="29" max="31" width="14.75390625" style="27" customWidth="1"/>
    <col min="32" max="32" width="10.375" style="0" bestFit="1" customWidth="1"/>
    <col min="33" max="33" width="12.75390625" style="0" bestFit="1" customWidth="1"/>
  </cols>
  <sheetData>
    <row r="1" spans="1:31" ht="12.75">
      <c r="A1" s="45"/>
      <c r="B1" s="45"/>
      <c r="C1" s="45"/>
      <c r="D1" s="45"/>
      <c r="E1" s="46" t="s">
        <v>158</v>
      </c>
      <c r="F1" s="46"/>
      <c r="G1" s="46" t="s">
        <v>272</v>
      </c>
      <c r="H1" s="46"/>
      <c r="I1" s="46" t="s">
        <v>313</v>
      </c>
      <c r="J1" s="46"/>
      <c r="K1" s="46" t="s">
        <v>319</v>
      </c>
      <c r="L1" s="46"/>
      <c r="M1" s="46" t="s">
        <v>321</v>
      </c>
      <c r="N1" s="46"/>
      <c r="O1" s="46" t="s">
        <v>325</v>
      </c>
      <c r="P1" s="46"/>
      <c r="Q1" s="46" t="s">
        <v>336</v>
      </c>
      <c r="R1" s="46"/>
      <c r="S1" s="46" t="s">
        <v>340</v>
      </c>
      <c r="T1" s="46"/>
      <c r="U1" s="46" t="s">
        <v>353</v>
      </c>
      <c r="V1" s="46"/>
      <c r="W1" s="46" t="s">
        <v>356</v>
      </c>
      <c r="X1" s="46"/>
      <c r="Y1" s="46" t="s">
        <v>463</v>
      </c>
      <c r="Z1" s="46"/>
      <c r="AA1" s="46" t="s">
        <v>484</v>
      </c>
      <c r="AB1" s="46"/>
      <c r="AC1" s="46" t="s">
        <v>498</v>
      </c>
      <c r="AD1" s="46"/>
      <c r="AE1" s="46"/>
    </row>
    <row r="2" spans="1:31" ht="12.75">
      <c r="A2" s="45"/>
      <c r="B2" s="45"/>
      <c r="C2" s="45"/>
      <c r="D2" s="45"/>
      <c r="E2" s="46" t="s">
        <v>178</v>
      </c>
      <c r="F2" s="46"/>
      <c r="G2" s="46" t="s">
        <v>273</v>
      </c>
      <c r="H2" s="46"/>
      <c r="I2" s="46" t="s">
        <v>314</v>
      </c>
      <c r="J2" s="46"/>
      <c r="K2" s="46" t="s">
        <v>318</v>
      </c>
      <c r="L2" s="46"/>
      <c r="M2" s="46" t="s">
        <v>322</v>
      </c>
      <c r="N2" s="46"/>
      <c r="O2" s="46" t="s">
        <v>324</v>
      </c>
      <c r="P2" s="46"/>
      <c r="Q2" s="46" t="s">
        <v>335</v>
      </c>
      <c r="R2" s="46"/>
      <c r="S2" s="46" t="s">
        <v>338</v>
      </c>
      <c r="T2" s="46"/>
      <c r="U2" s="46" t="s">
        <v>350</v>
      </c>
      <c r="V2" s="46"/>
      <c r="W2" s="46" t="s">
        <v>357</v>
      </c>
      <c r="X2" s="46"/>
      <c r="Y2" s="46" t="s">
        <v>367</v>
      </c>
      <c r="Z2" s="46"/>
      <c r="AA2" s="46" t="s">
        <v>486</v>
      </c>
      <c r="AB2" s="46"/>
      <c r="AC2" s="46" t="s">
        <v>497</v>
      </c>
      <c r="AD2" s="46"/>
      <c r="AE2" s="46"/>
    </row>
    <row r="3" spans="1:31" ht="12.75">
      <c r="A3" s="45"/>
      <c r="B3" s="45"/>
      <c r="C3" s="45"/>
      <c r="D3" s="45"/>
      <c r="E3" s="46" t="s">
        <v>119</v>
      </c>
      <c r="F3" s="46"/>
      <c r="G3" s="46" t="s">
        <v>270</v>
      </c>
      <c r="H3" s="46"/>
      <c r="I3" s="46" t="s">
        <v>272</v>
      </c>
      <c r="J3" s="46"/>
      <c r="K3" s="46" t="s">
        <v>313</v>
      </c>
      <c r="L3" s="46"/>
      <c r="M3" s="46" t="s">
        <v>319</v>
      </c>
      <c r="N3" s="46"/>
      <c r="O3" s="46" t="s">
        <v>321</v>
      </c>
      <c r="P3" s="46"/>
      <c r="Q3" s="46" t="s">
        <v>325</v>
      </c>
      <c r="R3" s="46"/>
      <c r="S3" s="46" t="s">
        <v>336</v>
      </c>
      <c r="T3" s="46"/>
      <c r="U3" s="46" t="s">
        <v>340</v>
      </c>
      <c r="V3" s="46"/>
      <c r="W3" s="46" t="s">
        <v>353</v>
      </c>
      <c r="X3" s="46"/>
      <c r="Y3" s="46" t="s">
        <v>356</v>
      </c>
      <c r="Z3" s="46"/>
      <c r="AA3" s="46" t="s">
        <v>463</v>
      </c>
      <c r="AB3" s="46"/>
      <c r="AC3" s="46" t="s">
        <v>484</v>
      </c>
      <c r="AD3" s="46"/>
      <c r="AE3" s="46"/>
    </row>
    <row r="4" spans="1:31" ht="12.75">
      <c r="A4" s="45"/>
      <c r="B4" s="45"/>
      <c r="C4" s="45"/>
      <c r="D4" s="45"/>
      <c r="E4" s="46" t="s">
        <v>179</v>
      </c>
      <c r="F4" s="46"/>
      <c r="G4" s="46" t="s">
        <v>271</v>
      </c>
      <c r="H4" s="46"/>
      <c r="I4" s="46" t="s">
        <v>297</v>
      </c>
      <c r="J4" s="46"/>
      <c r="K4" s="46" t="s">
        <v>316</v>
      </c>
      <c r="L4" s="46"/>
      <c r="M4" s="46" t="s">
        <v>320</v>
      </c>
      <c r="N4" s="46"/>
      <c r="O4" s="46" t="s">
        <v>323</v>
      </c>
      <c r="P4" s="46"/>
      <c r="Q4" s="46" t="s">
        <v>326</v>
      </c>
      <c r="R4" s="46"/>
      <c r="S4" s="46" t="s">
        <v>339</v>
      </c>
      <c r="T4" s="46"/>
      <c r="U4" s="46" t="s">
        <v>341</v>
      </c>
      <c r="V4" s="46"/>
      <c r="W4" s="46" t="s">
        <v>355</v>
      </c>
      <c r="X4" s="46"/>
      <c r="Y4" s="46" t="s">
        <v>359</v>
      </c>
      <c r="Z4" s="46"/>
      <c r="AA4" s="46" t="s">
        <v>464</v>
      </c>
      <c r="AB4" s="46"/>
      <c r="AC4" s="46" t="s">
        <v>490</v>
      </c>
      <c r="AD4" s="46"/>
      <c r="AE4" s="46"/>
    </row>
    <row r="5" spans="1:31" ht="18.75" customHeight="1">
      <c r="A5" s="94" t="s">
        <v>277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</row>
    <row r="6" spans="1:31" s="7" customFormat="1" ht="24.75" customHeight="1">
      <c r="A6" s="5" t="s">
        <v>0</v>
      </c>
      <c r="B6" s="4" t="s">
        <v>1</v>
      </c>
      <c r="C6" s="23" t="s">
        <v>2</v>
      </c>
      <c r="D6" s="5" t="s">
        <v>3</v>
      </c>
      <c r="E6" s="8" t="s">
        <v>116</v>
      </c>
      <c r="F6" s="8" t="s">
        <v>263</v>
      </c>
      <c r="G6" s="8" t="s">
        <v>116</v>
      </c>
      <c r="H6" s="8" t="s">
        <v>263</v>
      </c>
      <c r="I6" s="8" t="s">
        <v>117</v>
      </c>
      <c r="J6" s="8" t="s">
        <v>263</v>
      </c>
      <c r="K6" s="8" t="s">
        <v>117</v>
      </c>
      <c r="L6" s="8" t="s">
        <v>263</v>
      </c>
      <c r="M6" s="8" t="s">
        <v>117</v>
      </c>
      <c r="N6" s="8" t="s">
        <v>263</v>
      </c>
      <c r="O6" s="8" t="s">
        <v>116</v>
      </c>
      <c r="P6" s="8" t="s">
        <v>263</v>
      </c>
      <c r="Q6" s="8" t="s">
        <v>117</v>
      </c>
      <c r="R6" s="8" t="s">
        <v>263</v>
      </c>
      <c r="S6" s="8" t="s">
        <v>117</v>
      </c>
      <c r="T6" s="8" t="s">
        <v>263</v>
      </c>
      <c r="U6" s="8" t="s">
        <v>117</v>
      </c>
      <c r="V6" s="8" t="s">
        <v>263</v>
      </c>
      <c r="W6" s="8" t="s">
        <v>117</v>
      </c>
      <c r="X6" s="8" t="s">
        <v>263</v>
      </c>
      <c r="Y6" s="8" t="s">
        <v>117</v>
      </c>
      <c r="Z6" s="8" t="s">
        <v>263</v>
      </c>
      <c r="AA6" s="8" t="s">
        <v>117</v>
      </c>
      <c r="AB6" s="8" t="s">
        <v>263</v>
      </c>
      <c r="AC6" s="8" t="s">
        <v>117</v>
      </c>
      <c r="AD6" s="8" t="s">
        <v>263</v>
      </c>
      <c r="AE6" s="8" t="s">
        <v>268</v>
      </c>
    </row>
    <row r="7" spans="1:31" s="7" customFormat="1" ht="24" customHeight="1">
      <c r="A7" s="70" t="s">
        <v>4</v>
      </c>
      <c r="B7" s="4"/>
      <c r="C7" s="23"/>
      <c r="D7" s="92" t="s">
        <v>5</v>
      </c>
      <c r="E7" s="19">
        <f aca="true" t="shared" si="0" ref="E7:AE7">SUM(E8)</f>
        <v>239800</v>
      </c>
      <c r="F7" s="19">
        <f t="shared" si="0"/>
        <v>400000</v>
      </c>
      <c r="G7" s="19">
        <f t="shared" si="0"/>
        <v>639800</v>
      </c>
      <c r="H7" s="19">
        <f t="shared" si="0"/>
        <v>0</v>
      </c>
      <c r="I7" s="19">
        <f t="shared" si="0"/>
        <v>639800</v>
      </c>
      <c r="J7" s="19">
        <f t="shared" si="0"/>
        <v>0</v>
      </c>
      <c r="K7" s="19">
        <f t="shared" si="0"/>
        <v>639800</v>
      </c>
      <c r="L7" s="19">
        <f t="shared" si="0"/>
        <v>0</v>
      </c>
      <c r="M7" s="19">
        <f t="shared" si="0"/>
        <v>639800</v>
      </c>
      <c r="N7" s="19">
        <f t="shared" si="0"/>
        <v>0</v>
      </c>
      <c r="O7" s="19">
        <f t="shared" si="0"/>
        <v>639800</v>
      </c>
      <c r="P7" s="19">
        <f t="shared" si="0"/>
        <v>285502</v>
      </c>
      <c r="Q7" s="19">
        <f t="shared" si="0"/>
        <v>925302</v>
      </c>
      <c r="R7" s="19">
        <f t="shared" si="0"/>
        <v>0</v>
      </c>
      <c r="S7" s="19">
        <f t="shared" si="0"/>
        <v>925302</v>
      </c>
      <c r="T7" s="19">
        <f t="shared" si="0"/>
        <v>0</v>
      </c>
      <c r="U7" s="19">
        <f t="shared" si="0"/>
        <v>925302</v>
      </c>
      <c r="V7" s="19">
        <f t="shared" si="0"/>
        <v>0</v>
      </c>
      <c r="W7" s="19">
        <f t="shared" si="0"/>
        <v>925302</v>
      </c>
      <c r="X7" s="19">
        <f t="shared" si="0"/>
        <v>0</v>
      </c>
      <c r="Y7" s="19">
        <f t="shared" si="0"/>
        <v>925302</v>
      </c>
      <c r="Z7" s="19">
        <f t="shared" si="0"/>
        <v>0</v>
      </c>
      <c r="AA7" s="19">
        <f t="shared" si="0"/>
        <v>925302</v>
      </c>
      <c r="AB7" s="19">
        <f t="shared" si="0"/>
        <v>0</v>
      </c>
      <c r="AC7" s="19">
        <f t="shared" si="0"/>
        <v>925302</v>
      </c>
      <c r="AD7" s="19">
        <f t="shared" si="0"/>
        <v>0</v>
      </c>
      <c r="AE7" s="19">
        <f t="shared" si="0"/>
        <v>925302</v>
      </c>
    </row>
    <row r="8" spans="1:31" s="25" customFormat="1" ht="24" customHeight="1">
      <c r="A8" s="59"/>
      <c r="B8" s="57" t="s">
        <v>218</v>
      </c>
      <c r="C8" s="61"/>
      <c r="D8" s="93" t="s">
        <v>6</v>
      </c>
      <c r="E8" s="65">
        <f aca="true" t="shared" si="1" ref="E8:K8">SUM(E9:E10)</f>
        <v>239800</v>
      </c>
      <c r="F8" s="65">
        <f t="shared" si="1"/>
        <v>400000</v>
      </c>
      <c r="G8" s="110">
        <f t="shared" si="1"/>
        <v>639800</v>
      </c>
      <c r="H8" s="65">
        <f t="shared" si="1"/>
        <v>0</v>
      </c>
      <c r="I8" s="110">
        <f t="shared" si="1"/>
        <v>639800</v>
      </c>
      <c r="J8" s="65">
        <f t="shared" si="1"/>
        <v>0</v>
      </c>
      <c r="K8" s="110">
        <f t="shared" si="1"/>
        <v>639800</v>
      </c>
      <c r="L8" s="65">
        <f>SUM(L9:L10)</f>
        <v>0</v>
      </c>
      <c r="M8" s="110">
        <f>SUM(M9:M10)</f>
        <v>639800</v>
      </c>
      <c r="N8" s="65">
        <f>SUM(N9:N10)</f>
        <v>0</v>
      </c>
      <c r="O8" s="110">
        <f>SUM(O9:O10)</f>
        <v>639800</v>
      </c>
      <c r="P8" s="65">
        <f aca="true" t="shared" si="2" ref="P8:U8">SUM(P9:P11)</f>
        <v>285502</v>
      </c>
      <c r="Q8" s="65">
        <f t="shared" si="2"/>
        <v>925302</v>
      </c>
      <c r="R8" s="65">
        <f t="shared" si="2"/>
        <v>0</v>
      </c>
      <c r="S8" s="65">
        <f t="shared" si="2"/>
        <v>925302</v>
      </c>
      <c r="T8" s="65">
        <f t="shared" si="2"/>
        <v>0</v>
      </c>
      <c r="U8" s="65">
        <f t="shared" si="2"/>
        <v>925302</v>
      </c>
      <c r="V8" s="65">
        <f aca="true" t="shared" si="3" ref="V8:AA8">SUM(V9:V11)</f>
        <v>0</v>
      </c>
      <c r="W8" s="65">
        <f t="shared" si="3"/>
        <v>925302</v>
      </c>
      <c r="X8" s="65">
        <f t="shared" si="3"/>
        <v>0</v>
      </c>
      <c r="Y8" s="65">
        <f t="shared" si="3"/>
        <v>925302</v>
      </c>
      <c r="Z8" s="65">
        <f t="shared" si="3"/>
        <v>0</v>
      </c>
      <c r="AA8" s="65">
        <f t="shared" si="3"/>
        <v>925302</v>
      </c>
      <c r="AB8" s="65">
        <f>SUM(AB9:AB11)</f>
        <v>0</v>
      </c>
      <c r="AC8" s="65">
        <f>SUM(AC9:AC11)</f>
        <v>925302</v>
      </c>
      <c r="AD8" s="65">
        <f>SUM(AD9:AD11)</f>
        <v>0</v>
      </c>
      <c r="AE8" s="65">
        <f>SUM(AE9:AE11)</f>
        <v>925302</v>
      </c>
    </row>
    <row r="9" spans="1:31" s="25" customFormat="1" ht="67.5">
      <c r="A9" s="59"/>
      <c r="B9" s="41"/>
      <c r="C9" s="60" t="s">
        <v>131</v>
      </c>
      <c r="D9" s="58" t="s">
        <v>55</v>
      </c>
      <c r="E9" s="65">
        <f>110000+9800</f>
        <v>119800</v>
      </c>
      <c r="F9" s="65"/>
      <c r="G9" s="110">
        <f aca="true" t="shared" si="4" ref="G9:G79">SUM(E9:F9)</f>
        <v>119800</v>
      </c>
      <c r="H9" s="65"/>
      <c r="I9" s="110">
        <f>SUM(G9:H9)</f>
        <v>119800</v>
      </c>
      <c r="J9" s="65"/>
      <c r="K9" s="110">
        <f>SUM(I9:J9)</f>
        <v>119800</v>
      </c>
      <c r="L9" s="65"/>
      <c r="M9" s="110">
        <f>SUM(K9:L9)</f>
        <v>119800</v>
      </c>
      <c r="N9" s="65"/>
      <c r="O9" s="110">
        <f>SUM(M9:N9)</f>
        <v>119800</v>
      </c>
      <c r="P9" s="65"/>
      <c r="Q9" s="110">
        <f>SUM(O9:P9)</f>
        <v>119800</v>
      </c>
      <c r="R9" s="65"/>
      <c r="S9" s="110">
        <f>SUM(Q9:R9)</f>
        <v>119800</v>
      </c>
      <c r="T9" s="65"/>
      <c r="U9" s="110">
        <f>SUM(S9:T9)</f>
        <v>119800</v>
      </c>
      <c r="V9" s="65"/>
      <c r="W9" s="110">
        <f>SUM(U9:V9)</f>
        <v>119800</v>
      </c>
      <c r="X9" s="65"/>
      <c r="Y9" s="110">
        <f>SUM(W9:X9)</f>
        <v>119800</v>
      </c>
      <c r="Z9" s="65"/>
      <c r="AA9" s="110">
        <f>SUM(Y9:Z9)</f>
        <v>119800</v>
      </c>
      <c r="AB9" s="65"/>
      <c r="AC9" s="110">
        <f>SUM(AA9:AB9)</f>
        <v>119800</v>
      </c>
      <c r="AD9" s="65"/>
      <c r="AE9" s="110">
        <f>SUM(AC9:AD9)</f>
        <v>119800</v>
      </c>
    </row>
    <row r="10" spans="1:31" s="25" customFormat="1" ht="33.75">
      <c r="A10" s="59"/>
      <c r="B10" s="41"/>
      <c r="C10" s="60" t="s">
        <v>219</v>
      </c>
      <c r="D10" s="58" t="s">
        <v>220</v>
      </c>
      <c r="E10" s="65">
        <v>120000</v>
      </c>
      <c r="F10" s="65">
        <v>400000</v>
      </c>
      <c r="G10" s="110">
        <f t="shared" si="4"/>
        <v>520000</v>
      </c>
      <c r="H10" s="65"/>
      <c r="I10" s="110">
        <f>SUM(G10:H10)</f>
        <v>520000</v>
      </c>
      <c r="J10" s="65"/>
      <c r="K10" s="110">
        <f>SUM(I10:J10)</f>
        <v>520000</v>
      </c>
      <c r="L10" s="65"/>
      <c r="M10" s="110">
        <f>SUM(K10:L10)</f>
        <v>520000</v>
      </c>
      <c r="N10" s="65"/>
      <c r="O10" s="110">
        <f>SUM(M10:N10)</f>
        <v>520000</v>
      </c>
      <c r="P10" s="65"/>
      <c r="Q10" s="110">
        <f>SUM(O10:P10)</f>
        <v>520000</v>
      </c>
      <c r="R10" s="65"/>
      <c r="S10" s="110">
        <f>SUM(Q10:R10)</f>
        <v>520000</v>
      </c>
      <c r="T10" s="65"/>
      <c r="U10" s="110">
        <f>SUM(S10:T10)</f>
        <v>520000</v>
      </c>
      <c r="V10" s="65"/>
      <c r="W10" s="110">
        <f>SUM(U10:V10)</f>
        <v>520000</v>
      </c>
      <c r="X10" s="65"/>
      <c r="Y10" s="110">
        <f>SUM(W10:X10)</f>
        <v>520000</v>
      </c>
      <c r="Z10" s="65"/>
      <c r="AA10" s="110">
        <f>SUM(Y10:Z10)</f>
        <v>520000</v>
      </c>
      <c r="AB10" s="65"/>
      <c r="AC10" s="110">
        <f>SUM(AA10:AB10)</f>
        <v>520000</v>
      </c>
      <c r="AD10" s="65"/>
      <c r="AE10" s="110">
        <f>SUM(AC10:AD10)</f>
        <v>520000</v>
      </c>
    </row>
    <row r="11" spans="1:33" s="25" customFormat="1" ht="56.25">
      <c r="A11" s="59"/>
      <c r="B11" s="41"/>
      <c r="C11" s="60">
        <v>2010</v>
      </c>
      <c r="D11" s="58" t="s">
        <v>172</v>
      </c>
      <c r="E11" s="65"/>
      <c r="F11" s="65"/>
      <c r="G11" s="110"/>
      <c r="H11" s="65"/>
      <c r="I11" s="110"/>
      <c r="J11" s="65"/>
      <c r="K11" s="110"/>
      <c r="L11" s="65"/>
      <c r="M11" s="110"/>
      <c r="N11" s="65"/>
      <c r="O11" s="110">
        <v>0</v>
      </c>
      <c r="P11" s="65">
        <v>285502</v>
      </c>
      <c r="Q11" s="110">
        <f>SUM(O11:P11)</f>
        <v>285502</v>
      </c>
      <c r="R11" s="65"/>
      <c r="S11" s="110">
        <f>SUM(Q11:R11)</f>
        <v>285502</v>
      </c>
      <c r="T11" s="65"/>
      <c r="U11" s="110">
        <f>SUM(S11:T11)</f>
        <v>285502</v>
      </c>
      <c r="V11" s="65"/>
      <c r="W11" s="110">
        <f>SUM(U11:V11)</f>
        <v>285502</v>
      </c>
      <c r="X11" s="65"/>
      <c r="Y11" s="110">
        <f>SUM(W11:X11)</f>
        <v>285502</v>
      </c>
      <c r="Z11" s="65"/>
      <c r="AA11" s="110">
        <f>SUM(Y11:Z11)</f>
        <v>285502</v>
      </c>
      <c r="AB11" s="65"/>
      <c r="AC11" s="110">
        <f>SUM(AA11:AB11)</f>
        <v>285502</v>
      </c>
      <c r="AD11" s="65"/>
      <c r="AE11" s="110">
        <f>SUM(AC11:AD11)</f>
        <v>285502</v>
      </c>
      <c r="AF11" s="79"/>
      <c r="AG11" s="79"/>
    </row>
    <row r="12" spans="1:31" s="6" customFormat="1" ht="24" customHeight="1">
      <c r="A12" s="28" t="s">
        <v>8</v>
      </c>
      <c r="B12" s="2"/>
      <c r="C12" s="3"/>
      <c r="D12" s="29" t="s">
        <v>9</v>
      </c>
      <c r="E12" s="47">
        <f aca="true" t="shared" si="5" ref="E12:AE12">SUM(E13,)</f>
        <v>4801700</v>
      </c>
      <c r="F12" s="47">
        <f t="shared" si="5"/>
        <v>200000</v>
      </c>
      <c r="G12" s="47">
        <f t="shared" si="5"/>
        <v>5001700</v>
      </c>
      <c r="H12" s="47">
        <f t="shared" si="5"/>
        <v>0</v>
      </c>
      <c r="I12" s="47">
        <f t="shared" si="5"/>
        <v>5001700</v>
      </c>
      <c r="J12" s="47">
        <f t="shared" si="5"/>
        <v>0</v>
      </c>
      <c r="K12" s="47">
        <f t="shared" si="5"/>
        <v>5001700</v>
      </c>
      <c r="L12" s="47">
        <f t="shared" si="5"/>
        <v>0</v>
      </c>
      <c r="M12" s="47">
        <f t="shared" si="5"/>
        <v>5001700</v>
      </c>
      <c r="N12" s="47">
        <f t="shared" si="5"/>
        <v>0</v>
      </c>
      <c r="O12" s="47">
        <f t="shared" si="5"/>
        <v>5001700</v>
      </c>
      <c r="P12" s="47">
        <f t="shared" si="5"/>
        <v>0</v>
      </c>
      <c r="Q12" s="47">
        <f t="shared" si="5"/>
        <v>5001700</v>
      </c>
      <c r="R12" s="47">
        <f t="shared" si="5"/>
        <v>0</v>
      </c>
      <c r="S12" s="47">
        <f t="shared" si="5"/>
        <v>5001700</v>
      </c>
      <c r="T12" s="47">
        <f t="shared" si="5"/>
        <v>0</v>
      </c>
      <c r="U12" s="47">
        <f t="shared" si="5"/>
        <v>5001700</v>
      </c>
      <c r="V12" s="47">
        <f t="shared" si="5"/>
        <v>0</v>
      </c>
      <c r="W12" s="47">
        <f t="shared" si="5"/>
        <v>5001700</v>
      </c>
      <c r="X12" s="47">
        <f t="shared" si="5"/>
        <v>0</v>
      </c>
      <c r="Y12" s="47">
        <f t="shared" si="5"/>
        <v>5001700</v>
      </c>
      <c r="Z12" s="47">
        <f t="shared" si="5"/>
        <v>0</v>
      </c>
      <c r="AA12" s="47">
        <f t="shared" si="5"/>
        <v>5001700</v>
      </c>
      <c r="AB12" s="47">
        <f t="shared" si="5"/>
        <v>0</v>
      </c>
      <c r="AC12" s="47">
        <f t="shared" si="5"/>
        <v>5001700</v>
      </c>
      <c r="AD12" s="47">
        <f t="shared" si="5"/>
        <v>0</v>
      </c>
      <c r="AE12" s="47">
        <f t="shared" si="5"/>
        <v>5001700</v>
      </c>
    </row>
    <row r="13" spans="1:31" s="25" customFormat="1" ht="24" customHeight="1">
      <c r="A13" s="53"/>
      <c r="B13" s="54" t="s">
        <v>10</v>
      </c>
      <c r="C13" s="61"/>
      <c r="D13" s="58" t="s">
        <v>121</v>
      </c>
      <c r="E13" s="52">
        <f aca="true" t="shared" si="6" ref="E13:K13">SUM(E14:E18)</f>
        <v>4801700</v>
      </c>
      <c r="F13" s="52">
        <f t="shared" si="6"/>
        <v>200000</v>
      </c>
      <c r="G13" s="52">
        <f t="shared" si="6"/>
        <v>5001700</v>
      </c>
      <c r="H13" s="52">
        <f t="shared" si="6"/>
        <v>0</v>
      </c>
      <c r="I13" s="52">
        <f t="shared" si="6"/>
        <v>5001700</v>
      </c>
      <c r="J13" s="52">
        <f t="shared" si="6"/>
        <v>0</v>
      </c>
      <c r="K13" s="52">
        <f t="shared" si="6"/>
        <v>5001700</v>
      </c>
      <c r="L13" s="52">
        <f aca="true" t="shared" si="7" ref="L13:Q13">SUM(L14:L18)</f>
        <v>0</v>
      </c>
      <c r="M13" s="52">
        <f t="shared" si="7"/>
        <v>5001700</v>
      </c>
      <c r="N13" s="52">
        <f t="shared" si="7"/>
        <v>0</v>
      </c>
      <c r="O13" s="52">
        <f t="shared" si="7"/>
        <v>5001700</v>
      </c>
      <c r="P13" s="52">
        <f t="shared" si="7"/>
        <v>0</v>
      </c>
      <c r="Q13" s="52">
        <f t="shared" si="7"/>
        <v>5001700</v>
      </c>
      <c r="R13" s="52">
        <f aca="true" t="shared" si="8" ref="R13:W13">SUM(R14:R18)</f>
        <v>0</v>
      </c>
      <c r="S13" s="52">
        <f t="shared" si="8"/>
        <v>5001700</v>
      </c>
      <c r="T13" s="52">
        <f t="shared" si="8"/>
        <v>0</v>
      </c>
      <c r="U13" s="52">
        <f t="shared" si="8"/>
        <v>5001700</v>
      </c>
      <c r="V13" s="52">
        <f t="shared" si="8"/>
        <v>0</v>
      </c>
      <c r="W13" s="52">
        <f t="shared" si="8"/>
        <v>5001700</v>
      </c>
      <c r="X13" s="52">
        <f aca="true" t="shared" si="9" ref="X13:AC13">SUM(X14:X18)</f>
        <v>0</v>
      </c>
      <c r="Y13" s="52">
        <f t="shared" si="9"/>
        <v>5001700</v>
      </c>
      <c r="Z13" s="52">
        <f t="shared" si="9"/>
        <v>0</v>
      </c>
      <c r="AA13" s="52">
        <f t="shared" si="9"/>
        <v>5001700</v>
      </c>
      <c r="AB13" s="52">
        <f t="shared" si="9"/>
        <v>0</v>
      </c>
      <c r="AC13" s="52">
        <f t="shared" si="9"/>
        <v>5001700</v>
      </c>
      <c r="AD13" s="52">
        <f>SUM(AD14:AD18)</f>
        <v>0</v>
      </c>
      <c r="AE13" s="52">
        <f>SUM(AE14:AE18)</f>
        <v>5001700</v>
      </c>
    </row>
    <row r="14" spans="1:31" s="25" customFormat="1" ht="24" customHeight="1">
      <c r="A14" s="53"/>
      <c r="B14" s="41"/>
      <c r="C14" s="60" t="s">
        <v>130</v>
      </c>
      <c r="D14" s="58" t="s">
        <v>171</v>
      </c>
      <c r="E14" s="52">
        <v>140000</v>
      </c>
      <c r="F14" s="52"/>
      <c r="G14" s="110">
        <f t="shared" si="4"/>
        <v>140000</v>
      </c>
      <c r="H14" s="52"/>
      <c r="I14" s="110">
        <f>SUM(G14:H14)</f>
        <v>140000</v>
      </c>
      <c r="J14" s="52"/>
      <c r="K14" s="110">
        <f>SUM(I14:J14)</f>
        <v>140000</v>
      </c>
      <c r="L14" s="52"/>
      <c r="M14" s="110">
        <f>SUM(K14:L14)</f>
        <v>140000</v>
      </c>
      <c r="N14" s="52"/>
      <c r="O14" s="110">
        <f>SUM(M14:N14)</f>
        <v>140000</v>
      </c>
      <c r="P14" s="52"/>
      <c r="Q14" s="110">
        <f>SUM(O14:P14)</f>
        <v>140000</v>
      </c>
      <c r="R14" s="52"/>
      <c r="S14" s="110">
        <f>SUM(Q14:R14)</f>
        <v>140000</v>
      </c>
      <c r="T14" s="52"/>
      <c r="U14" s="110">
        <f>SUM(S14:T14)</f>
        <v>140000</v>
      </c>
      <c r="V14" s="52"/>
      <c r="W14" s="110">
        <f>SUM(U14:V14)</f>
        <v>140000</v>
      </c>
      <c r="X14" s="52"/>
      <c r="Y14" s="110">
        <f>SUM(W14:X14)</f>
        <v>140000</v>
      </c>
      <c r="Z14" s="52"/>
      <c r="AA14" s="110">
        <f>SUM(Y14:Z14)</f>
        <v>140000</v>
      </c>
      <c r="AB14" s="52"/>
      <c r="AC14" s="110">
        <f>SUM(AA14:AB14)</f>
        <v>140000</v>
      </c>
      <c r="AD14" s="52"/>
      <c r="AE14" s="110">
        <f>SUM(AC14:AD14)</f>
        <v>140000</v>
      </c>
    </row>
    <row r="15" spans="1:31" s="25" customFormat="1" ht="67.5">
      <c r="A15" s="53"/>
      <c r="B15" s="41"/>
      <c r="C15" s="55" t="s">
        <v>131</v>
      </c>
      <c r="D15" s="58" t="s">
        <v>55</v>
      </c>
      <c r="E15" s="52">
        <f>16000+82000+8000+4000+1420000+280000</f>
        <v>1810000</v>
      </c>
      <c r="F15" s="52"/>
      <c r="G15" s="110">
        <f t="shared" si="4"/>
        <v>1810000</v>
      </c>
      <c r="H15" s="52"/>
      <c r="I15" s="110">
        <f>SUM(G15:H15)</f>
        <v>1810000</v>
      </c>
      <c r="J15" s="52"/>
      <c r="K15" s="110">
        <f>SUM(I15:J15)</f>
        <v>1810000</v>
      </c>
      <c r="L15" s="52"/>
      <c r="M15" s="110">
        <f>SUM(K15:L15)</f>
        <v>1810000</v>
      </c>
      <c r="N15" s="52"/>
      <c r="O15" s="110">
        <f>SUM(M15:N15)</f>
        <v>1810000</v>
      </c>
      <c r="P15" s="52"/>
      <c r="Q15" s="110">
        <f>SUM(O15:P15)</f>
        <v>1810000</v>
      </c>
      <c r="R15" s="52"/>
      <c r="S15" s="110">
        <f>SUM(Q15:R15)</f>
        <v>1810000</v>
      </c>
      <c r="T15" s="52"/>
      <c r="U15" s="110">
        <f>SUM(S15:T15)</f>
        <v>1810000</v>
      </c>
      <c r="V15" s="52"/>
      <c r="W15" s="110">
        <f>SUM(U15:V15)</f>
        <v>1810000</v>
      </c>
      <c r="X15" s="52"/>
      <c r="Y15" s="110">
        <f>SUM(W15:X15)</f>
        <v>1810000</v>
      </c>
      <c r="Z15" s="52"/>
      <c r="AA15" s="110">
        <f>SUM(Y15:Z15)</f>
        <v>1810000</v>
      </c>
      <c r="AB15" s="52"/>
      <c r="AC15" s="110">
        <f>SUM(AA15:AB15)</f>
        <v>1810000</v>
      </c>
      <c r="AD15" s="52"/>
      <c r="AE15" s="110">
        <f>SUM(AC15:AD15)</f>
        <v>1810000</v>
      </c>
    </row>
    <row r="16" spans="1:31" s="25" customFormat="1" ht="45">
      <c r="A16" s="53"/>
      <c r="B16" s="41"/>
      <c r="C16" s="55" t="s">
        <v>181</v>
      </c>
      <c r="D16" s="58" t="s">
        <v>226</v>
      </c>
      <c r="E16" s="52">
        <v>30000</v>
      </c>
      <c r="F16" s="52"/>
      <c r="G16" s="110">
        <f t="shared" si="4"/>
        <v>30000</v>
      </c>
      <c r="H16" s="52"/>
      <c r="I16" s="110">
        <f>SUM(G16:H16)</f>
        <v>30000</v>
      </c>
      <c r="J16" s="52"/>
      <c r="K16" s="110">
        <f>SUM(I16:J16)</f>
        <v>30000</v>
      </c>
      <c r="L16" s="52"/>
      <c r="M16" s="110">
        <f>SUM(K16:L16)</f>
        <v>30000</v>
      </c>
      <c r="N16" s="52"/>
      <c r="O16" s="110">
        <f>SUM(M16:N16)</f>
        <v>30000</v>
      </c>
      <c r="P16" s="52"/>
      <c r="Q16" s="110">
        <f>SUM(O16:P16)</f>
        <v>30000</v>
      </c>
      <c r="R16" s="52"/>
      <c r="S16" s="110">
        <f>SUM(Q16:R16)</f>
        <v>30000</v>
      </c>
      <c r="T16" s="52"/>
      <c r="U16" s="110">
        <f>SUM(S16:T16)</f>
        <v>30000</v>
      </c>
      <c r="V16" s="52"/>
      <c r="W16" s="110">
        <f>SUM(U16:V16)</f>
        <v>30000</v>
      </c>
      <c r="X16" s="52"/>
      <c r="Y16" s="110">
        <f>SUM(W16:X16)</f>
        <v>30000</v>
      </c>
      <c r="Z16" s="52"/>
      <c r="AA16" s="110">
        <f>SUM(Y16:Z16)</f>
        <v>30000</v>
      </c>
      <c r="AB16" s="52"/>
      <c r="AC16" s="110">
        <f>SUM(AA16:AB16)</f>
        <v>30000</v>
      </c>
      <c r="AD16" s="52"/>
      <c r="AE16" s="110">
        <f>SUM(AC16:AD16)</f>
        <v>30000</v>
      </c>
    </row>
    <row r="17" spans="1:31" s="25" customFormat="1" ht="24" customHeight="1">
      <c r="A17" s="53"/>
      <c r="B17" s="41"/>
      <c r="C17" s="55" t="s">
        <v>219</v>
      </c>
      <c r="D17" s="58" t="s">
        <v>220</v>
      </c>
      <c r="E17" s="52">
        <f>402400+486700+1308000+400000+164600+50000</f>
        <v>2811700</v>
      </c>
      <c r="F17" s="52">
        <v>200000</v>
      </c>
      <c r="G17" s="110">
        <f t="shared" si="4"/>
        <v>3011700</v>
      </c>
      <c r="H17" s="52"/>
      <c r="I17" s="110">
        <f>SUM(G17:H17)</f>
        <v>3011700</v>
      </c>
      <c r="J17" s="52"/>
      <c r="K17" s="110">
        <f>SUM(I17:J17)</f>
        <v>3011700</v>
      </c>
      <c r="L17" s="52"/>
      <c r="M17" s="110">
        <f>SUM(K17:L17)</f>
        <v>3011700</v>
      </c>
      <c r="N17" s="52"/>
      <c r="O17" s="110">
        <f>SUM(M17:N17)</f>
        <v>3011700</v>
      </c>
      <c r="P17" s="52"/>
      <c r="Q17" s="110">
        <f>SUM(O17:P17)</f>
        <v>3011700</v>
      </c>
      <c r="R17" s="52"/>
      <c r="S17" s="110">
        <f>SUM(Q17:R17)</f>
        <v>3011700</v>
      </c>
      <c r="T17" s="52"/>
      <c r="U17" s="110">
        <f>SUM(S17:T17)</f>
        <v>3011700</v>
      </c>
      <c r="V17" s="52"/>
      <c r="W17" s="110">
        <f>SUM(U17:V17)</f>
        <v>3011700</v>
      </c>
      <c r="X17" s="52"/>
      <c r="Y17" s="110">
        <f>SUM(W17:X17)</f>
        <v>3011700</v>
      </c>
      <c r="Z17" s="52"/>
      <c r="AA17" s="110">
        <f>SUM(Y17:Z17)</f>
        <v>3011700</v>
      </c>
      <c r="AB17" s="52"/>
      <c r="AC17" s="110">
        <f>SUM(AA17:AB17)</f>
        <v>3011700</v>
      </c>
      <c r="AD17" s="52"/>
      <c r="AE17" s="110">
        <f>SUM(AC17:AD17)</f>
        <v>3011700</v>
      </c>
    </row>
    <row r="18" spans="1:31" s="25" customFormat="1" ht="21.75" customHeight="1">
      <c r="A18" s="53"/>
      <c r="B18" s="41"/>
      <c r="C18" s="55" t="s">
        <v>132</v>
      </c>
      <c r="D18" s="58" t="s">
        <v>11</v>
      </c>
      <c r="E18" s="52">
        <v>10000</v>
      </c>
      <c r="F18" s="52"/>
      <c r="G18" s="110">
        <f t="shared" si="4"/>
        <v>10000</v>
      </c>
      <c r="H18" s="52"/>
      <c r="I18" s="110">
        <f>SUM(G18:H18)</f>
        <v>10000</v>
      </c>
      <c r="J18" s="52"/>
      <c r="K18" s="110">
        <f>SUM(I18:J18)</f>
        <v>10000</v>
      </c>
      <c r="L18" s="52"/>
      <c r="M18" s="110">
        <f>SUM(K18:L18)</f>
        <v>10000</v>
      </c>
      <c r="N18" s="52"/>
      <c r="O18" s="110">
        <f>SUM(M18:N18)</f>
        <v>10000</v>
      </c>
      <c r="P18" s="52"/>
      <c r="Q18" s="110">
        <f>SUM(O18:P18)</f>
        <v>10000</v>
      </c>
      <c r="R18" s="52"/>
      <c r="S18" s="110">
        <f>SUM(Q18:R18)</f>
        <v>10000</v>
      </c>
      <c r="T18" s="52"/>
      <c r="U18" s="110">
        <f>SUM(S18:T18)</f>
        <v>10000</v>
      </c>
      <c r="V18" s="52"/>
      <c r="W18" s="110">
        <f>SUM(U18:V18)</f>
        <v>10000</v>
      </c>
      <c r="X18" s="52"/>
      <c r="Y18" s="110">
        <f>SUM(W18:X18)</f>
        <v>10000</v>
      </c>
      <c r="Z18" s="52"/>
      <c r="AA18" s="110">
        <f>SUM(Y18:Z18)</f>
        <v>10000</v>
      </c>
      <c r="AB18" s="52"/>
      <c r="AC18" s="110">
        <f>SUM(AA18:AB18)</f>
        <v>10000</v>
      </c>
      <c r="AD18" s="52"/>
      <c r="AE18" s="110">
        <f>SUM(AC18:AD18)</f>
        <v>10000</v>
      </c>
    </row>
    <row r="19" spans="1:31" s="98" customFormat="1" ht="21.75" customHeight="1">
      <c r="A19" s="142">
        <v>710</v>
      </c>
      <c r="B19" s="143"/>
      <c r="C19" s="149"/>
      <c r="D19" s="153" t="s">
        <v>76</v>
      </c>
      <c r="E19" s="150"/>
      <c r="F19" s="150"/>
      <c r="G19" s="151"/>
      <c r="H19" s="150"/>
      <c r="I19" s="151">
        <f aca="true" t="shared" si="10" ref="I19:AD20">SUM(I20)</f>
        <v>0</v>
      </c>
      <c r="J19" s="151">
        <f t="shared" si="10"/>
        <v>24400</v>
      </c>
      <c r="K19" s="151">
        <f t="shared" si="10"/>
        <v>24400</v>
      </c>
      <c r="L19" s="151">
        <f t="shared" si="10"/>
        <v>0</v>
      </c>
      <c r="M19" s="151">
        <f t="shared" si="10"/>
        <v>24400</v>
      </c>
      <c r="N19" s="151">
        <f t="shared" si="10"/>
        <v>0</v>
      </c>
      <c r="O19" s="151">
        <f t="shared" si="10"/>
        <v>24400</v>
      </c>
      <c r="P19" s="151">
        <f t="shared" si="10"/>
        <v>0</v>
      </c>
      <c r="Q19" s="151">
        <f t="shared" si="10"/>
        <v>24400</v>
      </c>
      <c r="R19" s="151">
        <f t="shared" si="10"/>
        <v>0</v>
      </c>
      <c r="S19" s="151">
        <f t="shared" si="10"/>
        <v>24400</v>
      </c>
      <c r="T19" s="151">
        <f t="shared" si="10"/>
        <v>0</v>
      </c>
      <c r="U19" s="151">
        <f t="shared" si="10"/>
        <v>24400</v>
      </c>
      <c r="V19" s="151">
        <f t="shared" si="10"/>
        <v>0</v>
      </c>
      <c r="W19" s="151">
        <f t="shared" si="10"/>
        <v>24400</v>
      </c>
      <c r="X19" s="151">
        <f t="shared" si="10"/>
        <v>0</v>
      </c>
      <c r="Y19" s="151">
        <f>SUM(Y20)</f>
        <v>24400</v>
      </c>
      <c r="Z19" s="151">
        <f t="shared" si="10"/>
        <v>0</v>
      </c>
      <c r="AA19" s="151">
        <f>SUM(AA20)</f>
        <v>24400</v>
      </c>
      <c r="AB19" s="151">
        <f t="shared" si="10"/>
        <v>0</v>
      </c>
      <c r="AC19" s="151">
        <f>SUM(AC20)</f>
        <v>24400</v>
      </c>
      <c r="AD19" s="151">
        <f t="shared" si="10"/>
        <v>0</v>
      </c>
      <c r="AE19" s="151">
        <f>SUM(AE20)</f>
        <v>24400</v>
      </c>
    </row>
    <row r="20" spans="1:31" s="25" customFormat="1" ht="21.75" customHeight="1">
      <c r="A20" s="53"/>
      <c r="B20" s="41">
        <v>71004</v>
      </c>
      <c r="C20" s="55"/>
      <c r="D20" s="58" t="s">
        <v>77</v>
      </c>
      <c r="E20" s="52"/>
      <c r="F20" s="52"/>
      <c r="G20" s="110"/>
      <c r="H20" s="52"/>
      <c r="I20" s="110">
        <f t="shared" si="10"/>
        <v>0</v>
      </c>
      <c r="J20" s="110">
        <f t="shared" si="10"/>
        <v>24400</v>
      </c>
      <c r="K20" s="110">
        <f t="shared" si="10"/>
        <v>24400</v>
      </c>
      <c r="L20" s="110">
        <f t="shared" si="10"/>
        <v>0</v>
      </c>
      <c r="M20" s="110">
        <f t="shared" si="10"/>
        <v>24400</v>
      </c>
      <c r="N20" s="110">
        <f t="shared" si="10"/>
        <v>0</v>
      </c>
      <c r="O20" s="110">
        <f t="shared" si="10"/>
        <v>24400</v>
      </c>
      <c r="P20" s="110">
        <f t="shared" si="10"/>
        <v>0</v>
      </c>
      <c r="Q20" s="110">
        <f t="shared" si="10"/>
        <v>24400</v>
      </c>
      <c r="R20" s="110">
        <f t="shared" si="10"/>
        <v>0</v>
      </c>
      <c r="S20" s="110">
        <f t="shared" si="10"/>
        <v>24400</v>
      </c>
      <c r="T20" s="110">
        <f t="shared" si="10"/>
        <v>0</v>
      </c>
      <c r="U20" s="110">
        <f t="shared" si="10"/>
        <v>24400</v>
      </c>
      <c r="V20" s="110">
        <f t="shared" si="10"/>
        <v>0</v>
      </c>
      <c r="W20" s="110">
        <f t="shared" si="10"/>
        <v>24400</v>
      </c>
      <c r="X20" s="110">
        <f>SUM(X21)</f>
        <v>0</v>
      </c>
      <c r="Y20" s="110">
        <f>SUM(Y21)</f>
        <v>24400</v>
      </c>
      <c r="Z20" s="110">
        <f>SUM(Z21)</f>
        <v>0</v>
      </c>
      <c r="AA20" s="110">
        <f>SUM(AA21)</f>
        <v>24400</v>
      </c>
      <c r="AB20" s="110">
        <f>SUM(AB21)</f>
        <v>0</v>
      </c>
      <c r="AC20" s="110">
        <f>SUM(AC21)</f>
        <v>24400</v>
      </c>
      <c r="AD20" s="110">
        <f>SUM(AD21)</f>
        <v>0</v>
      </c>
      <c r="AE20" s="110">
        <f>SUM(AE21)</f>
        <v>24400</v>
      </c>
    </row>
    <row r="21" spans="1:31" s="25" customFormat="1" ht="22.5">
      <c r="A21" s="53"/>
      <c r="B21" s="41"/>
      <c r="C21" s="55" t="s">
        <v>299</v>
      </c>
      <c r="D21" s="58" t="s">
        <v>300</v>
      </c>
      <c r="E21" s="52"/>
      <c r="F21" s="52"/>
      <c r="G21" s="110"/>
      <c r="H21" s="52"/>
      <c r="I21" s="110">
        <v>0</v>
      </c>
      <c r="J21" s="52">
        <v>24400</v>
      </c>
      <c r="K21" s="110">
        <f>SUM(I21:J21)</f>
        <v>24400</v>
      </c>
      <c r="L21" s="52"/>
      <c r="M21" s="110">
        <f>SUM(K21:L21)</f>
        <v>24400</v>
      </c>
      <c r="N21" s="52"/>
      <c r="O21" s="110">
        <f>SUM(M21:N21)</f>
        <v>24400</v>
      </c>
      <c r="P21" s="52"/>
      <c r="Q21" s="110">
        <f>SUM(O21:P21)</f>
        <v>24400</v>
      </c>
      <c r="R21" s="52"/>
      <c r="S21" s="110">
        <f>SUM(Q21:R21)</f>
        <v>24400</v>
      </c>
      <c r="T21" s="52"/>
      <c r="U21" s="110">
        <f>SUM(S21:T21)</f>
        <v>24400</v>
      </c>
      <c r="V21" s="52"/>
      <c r="W21" s="110">
        <f>SUM(U21:V21)</f>
        <v>24400</v>
      </c>
      <c r="X21" s="52"/>
      <c r="Y21" s="110">
        <f>SUM(W21:X21)</f>
        <v>24400</v>
      </c>
      <c r="Z21" s="52"/>
      <c r="AA21" s="110">
        <f>SUM(Y21:Z21)</f>
        <v>24400</v>
      </c>
      <c r="AB21" s="52"/>
      <c r="AC21" s="110">
        <f>SUM(AA21:AB21)</f>
        <v>24400</v>
      </c>
      <c r="AD21" s="52"/>
      <c r="AE21" s="110">
        <f>SUM(AC21:AD21)</f>
        <v>24400</v>
      </c>
    </row>
    <row r="22" spans="1:31" s="6" customFormat="1" ht="24" customHeight="1">
      <c r="A22" s="28" t="s">
        <v>14</v>
      </c>
      <c r="B22" s="2"/>
      <c r="C22" s="3"/>
      <c r="D22" s="29" t="s">
        <v>15</v>
      </c>
      <c r="E22" s="47">
        <f aca="true" t="shared" si="11" ref="E22:K22">SUM(E23,E26)</f>
        <v>172350</v>
      </c>
      <c r="F22" s="47">
        <f t="shared" si="11"/>
        <v>0</v>
      </c>
      <c r="G22" s="47">
        <f t="shared" si="11"/>
        <v>172350</v>
      </c>
      <c r="H22" s="47">
        <f t="shared" si="11"/>
        <v>0</v>
      </c>
      <c r="I22" s="47">
        <f t="shared" si="11"/>
        <v>172350</v>
      </c>
      <c r="J22" s="47">
        <f t="shared" si="11"/>
        <v>0</v>
      </c>
      <c r="K22" s="47">
        <f t="shared" si="11"/>
        <v>172350</v>
      </c>
      <c r="L22" s="47">
        <f aca="true" t="shared" si="12" ref="L22:Q22">SUM(L23,L26)</f>
        <v>0</v>
      </c>
      <c r="M22" s="47">
        <f t="shared" si="12"/>
        <v>172350</v>
      </c>
      <c r="N22" s="47">
        <f t="shared" si="12"/>
        <v>0</v>
      </c>
      <c r="O22" s="47">
        <f t="shared" si="12"/>
        <v>172350</v>
      </c>
      <c r="P22" s="47">
        <f t="shared" si="12"/>
        <v>0</v>
      </c>
      <c r="Q22" s="47">
        <f t="shared" si="12"/>
        <v>172350</v>
      </c>
      <c r="R22" s="47">
        <f aca="true" t="shared" si="13" ref="R22:W22">SUM(R23,R26)</f>
        <v>0</v>
      </c>
      <c r="S22" s="47">
        <f t="shared" si="13"/>
        <v>172350</v>
      </c>
      <c r="T22" s="47">
        <f t="shared" si="13"/>
        <v>0</v>
      </c>
      <c r="U22" s="47">
        <f t="shared" si="13"/>
        <v>172350</v>
      </c>
      <c r="V22" s="47">
        <f t="shared" si="13"/>
        <v>0</v>
      </c>
      <c r="W22" s="47">
        <f t="shared" si="13"/>
        <v>172350</v>
      </c>
      <c r="X22" s="47">
        <f aca="true" t="shared" si="14" ref="X22:AC22">SUM(X23,X26)</f>
        <v>0</v>
      </c>
      <c r="Y22" s="47">
        <f t="shared" si="14"/>
        <v>172350</v>
      </c>
      <c r="Z22" s="47">
        <f t="shared" si="14"/>
        <v>0</v>
      </c>
      <c r="AA22" s="47">
        <f t="shared" si="14"/>
        <v>172350</v>
      </c>
      <c r="AB22" s="47">
        <f t="shared" si="14"/>
        <v>15000</v>
      </c>
      <c r="AC22" s="47">
        <f t="shared" si="14"/>
        <v>187350</v>
      </c>
      <c r="AD22" s="47">
        <f>SUM(AD23,AD26)</f>
        <v>0</v>
      </c>
      <c r="AE22" s="47">
        <f>SUM(AE23,AE26)</f>
        <v>187350</v>
      </c>
    </row>
    <row r="23" spans="1:31" s="25" customFormat="1" ht="24" customHeight="1">
      <c r="A23" s="53"/>
      <c r="B23" s="54">
        <v>75011</v>
      </c>
      <c r="C23" s="61"/>
      <c r="D23" s="58" t="s">
        <v>16</v>
      </c>
      <c r="E23" s="52">
        <f aca="true" t="shared" si="15" ref="E23:K23">SUM(E24:E25)</f>
        <v>160350</v>
      </c>
      <c r="F23" s="52">
        <f t="shared" si="15"/>
        <v>0</v>
      </c>
      <c r="G23" s="52">
        <f t="shared" si="15"/>
        <v>160350</v>
      </c>
      <c r="H23" s="52">
        <f t="shared" si="15"/>
        <v>0</v>
      </c>
      <c r="I23" s="52">
        <f t="shared" si="15"/>
        <v>160350</v>
      </c>
      <c r="J23" s="52">
        <f t="shared" si="15"/>
        <v>0</v>
      </c>
      <c r="K23" s="52">
        <f t="shared" si="15"/>
        <v>160350</v>
      </c>
      <c r="L23" s="52">
        <f aca="true" t="shared" si="16" ref="L23:Q23">SUM(L24:L25)</f>
        <v>0</v>
      </c>
      <c r="M23" s="52">
        <f t="shared" si="16"/>
        <v>160350</v>
      </c>
      <c r="N23" s="52">
        <f t="shared" si="16"/>
        <v>0</v>
      </c>
      <c r="O23" s="52">
        <f t="shared" si="16"/>
        <v>160350</v>
      </c>
      <c r="P23" s="52">
        <f t="shared" si="16"/>
        <v>0</v>
      </c>
      <c r="Q23" s="52">
        <f t="shared" si="16"/>
        <v>160350</v>
      </c>
      <c r="R23" s="52">
        <f aca="true" t="shared" si="17" ref="R23:W23">SUM(R24:R25)</f>
        <v>0</v>
      </c>
      <c r="S23" s="52">
        <f t="shared" si="17"/>
        <v>160350</v>
      </c>
      <c r="T23" s="52">
        <f t="shared" si="17"/>
        <v>0</v>
      </c>
      <c r="U23" s="52">
        <f t="shared" si="17"/>
        <v>160350</v>
      </c>
      <c r="V23" s="52">
        <f t="shared" si="17"/>
        <v>0</v>
      </c>
      <c r="W23" s="52">
        <f t="shared" si="17"/>
        <v>160350</v>
      </c>
      <c r="X23" s="52">
        <f aca="true" t="shared" si="18" ref="X23:AC23">SUM(X24:X25)</f>
        <v>0</v>
      </c>
      <c r="Y23" s="52">
        <f t="shared" si="18"/>
        <v>160350</v>
      </c>
      <c r="Z23" s="52">
        <f t="shared" si="18"/>
        <v>0</v>
      </c>
      <c r="AA23" s="52">
        <f t="shared" si="18"/>
        <v>160350</v>
      </c>
      <c r="AB23" s="52">
        <f t="shared" si="18"/>
        <v>0</v>
      </c>
      <c r="AC23" s="52">
        <f t="shared" si="18"/>
        <v>160350</v>
      </c>
      <c r="AD23" s="52">
        <f>SUM(AD24:AD25)</f>
        <v>0</v>
      </c>
      <c r="AE23" s="52">
        <f>SUM(AE24:AE25)</f>
        <v>160350</v>
      </c>
    </row>
    <row r="24" spans="1:33" s="25" customFormat="1" ht="56.25">
      <c r="A24" s="53"/>
      <c r="B24" s="41"/>
      <c r="C24" s="55">
        <v>2010</v>
      </c>
      <c r="D24" s="58" t="s">
        <v>172</v>
      </c>
      <c r="E24" s="65">
        <v>156600</v>
      </c>
      <c r="F24" s="65"/>
      <c r="G24" s="110">
        <f t="shared" si="4"/>
        <v>156600</v>
      </c>
      <c r="H24" s="65"/>
      <c r="I24" s="110">
        <f>SUM(G24:H24)</f>
        <v>156600</v>
      </c>
      <c r="J24" s="65"/>
      <c r="K24" s="110">
        <f>SUM(I24:J24)</f>
        <v>156600</v>
      </c>
      <c r="L24" s="65"/>
      <c r="M24" s="110">
        <f>SUM(K24:L24)</f>
        <v>156600</v>
      </c>
      <c r="N24" s="65"/>
      <c r="O24" s="110">
        <f>SUM(M24:N24)</f>
        <v>156600</v>
      </c>
      <c r="P24" s="65"/>
      <c r="Q24" s="110">
        <f>SUM(O24:P24)</f>
        <v>156600</v>
      </c>
      <c r="R24" s="65"/>
      <c r="S24" s="110">
        <f>SUM(Q24:R24)</f>
        <v>156600</v>
      </c>
      <c r="T24" s="65"/>
      <c r="U24" s="110">
        <f>SUM(S24:T24)</f>
        <v>156600</v>
      </c>
      <c r="V24" s="65"/>
      <c r="W24" s="110">
        <f>SUM(U24:V24)</f>
        <v>156600</v>
      </c>
      <c r="X24" s="65"/>
      <c r="Y24" s="110">
        <f>SUM(W24:X24)</f>
        <v>156600</v>
      </c>
      <c r="Z24" s="65"/>
      <c r="AA24" s="110">
        <f>SUM(Y24:Z24)</f>
        <v>156600</v>
      </c>
      <c r="AB24" s="65"/>
      <c r="AC24" s="110">
        <f>SUM(AA24:AB24)</f>
        <v>156600</v>
      </c>
      <c r="AD24" s="65"/>
      <c r="AE24" s="110">
        <f>SUM(AC24:AD24)</f>
        <v>156600</v>
      </c>
      <c r="AF24" s="79"/>
      <c r="AG24" s="79"/>
    </row>
    <row r="25" spans="1:31" s="25" customFormat="1" ht="45">
      <c r="A25" s="53"/>
      <c r="B25" s="41"/>
      <c r="C25" s="55">
        <v>2360</v>
      </c>
      <c r="D25" s="58" t="s">
        <v>153</v>
      </c>
      <c r="E25" s="52">
        <v>3750</v>
      </c>
      <c r="F25" s="52"/>
      <c r="G25" s="110">
        <f t="shared" si="4"/>
        <v>3750</v>
      </c>
      <c r="H25" s="52"/>
      <c r="I25" s="110">
        <f>SUM(G25:H25)</f>
        <v>3750</v>
      </c>
      <c r="J25" s="52"/>
      <c r="K25" s="110">
        <f>SUM(I25:J25)</f>
        <v>3750</v>
      </c>
      <c r="L25" s="52"/>
      <c r="M25" s="110">
        <f>SUM(K25:L25)</f>
        <v>3750</v>
      </c>
      <c r="N25" s="52"/>
      <c r="O25" s="110">
        <f>SUM(M25:N25)</f>
        <v>3750</v>
      </c>
      <c r="P25" s="52"/>
      <c r="Q25" s="110">
        <f>SUM(O25:P25)</f>
        <v>3750</v>
      </c>
      <c r="R25" s="52"/>
      <c r="S25" s="110">
        <f>SUM(Q25:R25)</f>
        <v>3750</v>
      </c>
      <c r="T25" s="52"/>
      <c r="U25" s="110">
        <f>SUM(S25:T25)</f>
        <v>3750</v>
      </c>
      <c r="V25" s="52"/>
      <c r="W25" s="110">
        <f>SUM(U25:V25)</f>
        <v>3750</v>
      </c>
      <c r="X25" s="52"/>
      <c r="Y25" s="110">
        <f>SUM(W25:X25)</f>
        <v>3750</v>
      </c>
      <c r="Z25" s="52"/>
      <c r="AA25" s="110">
        <f>SUM(Y25:Z25)</f>
        <v>3750</v>
      </c>
      <c r="AB25" s="52"/>
      <c r="AC25" s="110">
        <f>SUM(AA25:AB25)</f>
        <v>3750</v>
      </c>
      <c r="AD25" s="52"/>
      <c r="AE25" s="110">
        <f>SUM(AC25:AD25)</f>
        <v>3750</v>
      </c>
    </row>
    <row r="26" spans="1:31" s="25" customFormat="1" ht="24" customHeight="1">
      <c r="A26" s="53"/>
      <c r="B26" s="41">
        <v>75023</v>
      </c>
      <c r="C26" s="55"/>
      <c r="D26" s="36" t="s">
        <v>18</v>
      </c>
      <c r="E26" s="52">
        <f aca="true" t="shared" si="19" ref="E26:AE26">SUM(E27)</f>
        <v>12000</v>
      </c>
      <c r="F26" s="52">
        <f t="shared" si="19"/>
        <v>0</v>
      </c>
      <c r="G26" s="52">
        <f t="shared" si="19"/>
        <v>12000</v>
      </c>
      <c r="H26" s="52">
        <f t="shared" si="19"/>
        <v>0</v>
      </c>
      <c r="I26" s="52">
        <f t="shared" si="19"/>
        <v>12000</v>
      </c>
      <c r="J26" s="52">
        <f t="shared" si="19"/>
        <v>0</v>
      </c>
      <c r="K26" s="52">
        <f t="shared" si="19"/>
        <v>12000</v>
      </c>
      <c r="L26" s="52">
        <f t="shared" si="19"/>
        <v>0</v>
      </c>
      <c r="M26" s="52">
        <f t="shared" si="19"/>
        <v>12000</v>
      </c>
      <c r="N26" s="52">
        <f t="shared" si="19"/>
        <v>0</v>
      </c>
      <c r="O26" s="52">
        <f t="shared" si="19"/>
        <v>12000</v>
      </c>
      <c r="P26" s="52">
        <f t="shared" si="19"/>
        <v>0</v>
      </c>
      <c r="Q26" s="52">
        <f t="shared" si="19"/>
        <v>12000</v>
      </c>
      <c r="R26" s="52">
        <f t="shared" si="19"/>
        <v>0</v>
      </c>
      <c r="S26" s="52">
        <f t="shared" si="19"/>
        <v>12000</v>
      </c>
      <c r="T26" s="52">
        <f t="shared" si="19"/>
        <v>0</v>
      </c>
      <c r="U26" s="52">
        <f t="shared" si="19"/>
        <v>12000</v>
      </c>
      <c r="V26" s="52">
        <f t="shared" si="19"/>
        <v>0</v>
      </c>
      <c r="W26" s="52">
        <f t="shared" si="19"/>
        <v>12000</v>
      </c>
      <c r="X26" s="52">
        <f t="shared" si="19"/>
        <v>0</v>
      </c>
      <c r="Y26" s="52">
        <f t="shared" si="19"/>
        <v>12000</v>
      </c>
      <c r="Z26" s="52">
        <f t="shared" si="19"/>
        <v>0</v>
      </c>
      <c r="AA26" s="52">
        <f t="shared" si="19"/>
        <v>12000</v>
      </c>
      <c r="AB26" s="52">
        <f t="shared" si="19"/>
        <v>15000</v>
      </c>
      <c r="AC26" s="52">
        <f t="shared" si="19"/>
        <v>27000</v>
      </c>
      <c r="AD26" s="52">
        <f t="shared" si="19"/>
        <v>0</v>
      </c>
      <c r="AE26" s="52">
        <f t="shared" si="19"/>
        <v>27000</v>
      </c>
    </row>
    <row r="27" spans="1:31" s="25" customFormat="1" ht="21.75" customHeight="1">
      <c r="A27" s="53"/>
      <c r="B27" s="41"/>
      <c r="C27" s="55" t="s">
        <v>133</v>
      </c>
      <c r="D27" s="58" t="s">
        <v>12</v>
      </c>
      <c r="E27" s="52">
        <f>8250+3750</f>
        <v>12000</v>
      </c>
      <c r="F27" s="52"/>
      <c r="G27" s="110">
        <f t="shared" si="4"/>
        <v>12000</v>
      </c>
      <c r="H27" s="52"/>
      <c r="I27" s="110">
        <f>SUM(G27:H27)</f>
        <v>12000</v>
      </c>
      <c r="J27" s="52"/>
      <c r="K27" s="110">
        <f>SUM(I27:J27)</f>
        <v>12000</v>
      </c>
      <c r="L27" s="52"/>
      <c r="M27" s="110">
        <f>SUM(K27:L27)</f>
        <v>12000</v>
      </c>
      <c r="N27" s="52"/>
      <c r="O27" s="110">
        <f>SUM(M27:N27)</f>
        <v>12000</v>
      </c>
      <c r="P27" s="52"/>
      <c r="Q27" s="110">
        <f>SUM(O27:P27)</f>
        <v>12000</v>
      </c>
      <c r="R27" s="52"/>
      <c r="S27" s="110">
        <f>SUM(Q27:R27)</f>
        <v>12000</v>
      </c>
      <c r="T27" s="52"/>
      <c r="U27" s="110">
        <f>SUM(S27:T27)</f>
        <v>12000</v>
      </c>
      <c r="V27" s="52"/>
      <c r="W27" s="110">
        <f>SUM(U27:V27)</f>
        <v>12000</v>
      </c>
      <c r="X27" s="52"/>
      <c r="Y27" s="110">
        <f>SUM(W27:X27)</f>
        <v>12000</v>
      </c>
      <c r="Z27" s="52"/>
      <c r="AA27" s="110">
        <f>SUM(Y27:Z27)</f>
        <v>12000</v>
      </c>
      <c r="AB27" s="52">
        <v>15000</v>
      </c>
      <c r="AC27" s="110">
        <f>SUM(AA27:AB27)</f>
        <v>27000</v>
      </c>
      <c r="AD27" s="52"/>
      <c r="AE27" s="110">
        <f>SUM(AC27:AD27)</f>
        <v>27000</v>
      </c>
    </row>
    <row r="28" spans="1:31" s="6" customFormat="1" ht="36">
      <c r="A28" s="28">
        <v>751</v>
      </c>
      <c r="B28" s="4"/>
      <c r="C28" s="23"/>
      <c r="D28" s="29" t="s">
        <v>19</v>
      </c>
      <c r="E28" s="47">
        <f aca="true" t="shared" si="20" ref="E28:AD29">SUM(E29)</f>
        <v>3910</v>
      </c>
      <c r="F28" s="47">
        <f t="shared" si="20"/>
        <v>0</v>
      </c>
      <c r="G28" s="47">
        <f t="shared" si="20"/>
        <v>3910</v>
      </c>
      <c r="H28" s="47">
        <f t="shared" si="20"/>
        <v>0</v>
      </c>
      <c r="I28" s="47">
        <f t="shared" si="20"/>
        <v>3910</v>
      </c>
      <c r="J28" s="47">
        <f t="shared" si="20"/>
        <v>0</v>
      </c>
      <c r="K28" s="47">
        <f aca="true" t="shared" si="21" ref="K28:Q28">SUM(K29,K31)</f>
        <v>3910</v>
      </c>
      <c r="L28" s="47">
        <f t="shared" si="21"/>
        <v>19932</v>
      </c>
      <c r="M28" s="47">
        <f t="shared" si="21"/>
        <v>23842</v>
      </c>
      <c r="N28" s="47">
        <f t="shared" si="21"/>
        <v>0</v>
      </c>
      <c r="O28" s="47">
        <f t="shared" si="21"/>
        <v>23842</v>
      </c>
      <c r="P28" s="47">
        <f t="shared" si="21"/>
        <v>1000</v>
      </c>
      <c r="Q28" s="47">
        <f t="shared" si="21"/>
        <v>24842</v>
      </c>
      <c r="R28" s="47">
        <f aca="true" t="shared" si="22" ref="R28:W28">SUM(R29,R31)</f>
        <v>0</v>
      </c>
      <c r="S28" s="47">
        <f t="shared" si="22"/>
        <v>24842</v>
      </c>
      <c r="T28" s="47">
        <f t="shared" si="22"/>
        <v>21240</v>
      </c>
      <c r="U28" s="47">
        <f t="shared" si="22"/>
        <v>46082</v>
      </c>
      <c r="V28" s="47">
        <f t="shared" si="22"/>
        <v>0</v>
      </c>
      <c r="W28" s="47">
        <f t="shared" si="22"/>
        <v>46082</v>
      </c>
      <c r="X28" s="47">
        <f aca="true" t="shared" si="23" ref="X28:AC28">SUM(X29,X31)</f>
        <v>0</v>
      </c>
      <c r="Y28" s="47">
        <f t="shared" si="23"/>
        <v>46082</v>
      </c>
      <c r="Z28" s="47">
        <f t="shared" si="23"/>
        <v>0</v>
      </c>
      <c r="AA28" s="47">
        <f t="shared" si="23"/>
        <v>46082</v>
      </c>
      <c r="AB28" s="47">
        <f t="shared" si="23"/>
        <v>0</v>
      </c>
      <c r="AC28" s="47">
        <f t="shared" si="23"/>
        <v>46082</v>
      </c>
      <c r="AD28" s="47">
        <f>SUM(AD29,AD31)</f>
        <v>0</v>
      </c>
      <c r="AE28" s="47">
        <f>SUM(AE29,AE31)</f>
        <v>46082</v>
      </c>
    </row>
    <row r="29" spans="1:31" s="25" customFormat="1" ht="22.5">
      <c r="A29" s="59"/>
      <c r="B29" s="54">
        <v>75101</v>
      </c>
      <c r="C29" s="61"/>
      <c r="D29" s="58" t="s">
        <v>20</v>
      </c>
      <c r="E29" s="52">
        <f t="shared" si="20"/>
        <v>3910</v>
      </c>
      <c r="F29" s="52">
        <f t="shared" si="20"/>
        <v>0</v>
      </c>
      <c r="G29" s="52">
        <f t="shared" si="20"/>
        <v>3910</v>
      </c>
      <c r="H29" s="52">
        <f t="shared" si="20"/>
        <v>0</v>
      </c>
      <c r="I29" s="52">
        <f t="shared" si="20"/>
        <v>3910</v>
      </c>
      <c r="J29" s="52">
        <f t="shared" si="20"/>
        <v>0</v>
      </c>
      <c r="K29" s="52">
        <f t="shared" si="20"/>
        <v>3910</v>
      </c>
      <c r="L29" s="52">
        <f t="shared" si="20"/>
        <v>0</v>
      </c>
      <c r="M29" s="52">
        <f t="shared" si="20"/>
        <v>3910</v>
      </c>
      <c r="N29" s="52">
        <f t="shared" si="20"/>
        <v>0</v>
      </c>
      <c r="O29" s="52">
        <f t="shared" si="20"/>
        <v>3910</v>
      </c>
      <c r="P29" s="52">
        <f t="shared" si="20"/>
        <v>0</v>
      </c>
      <c r="Q29" s="52">
        <f t="shared" si="20"/>
        <v>3910</v>
      </c>
      <c r="R29" s="52">
        <f t="shared" si="20"/>
        <v>0</v>
      </c>
      <c r="S29" s="52">
        <f t="shared" si="20"/>
        <v>3910</v>
      </c>
      <c r="T29" s="52">
        <f t="shared" si="20"/>
        <v>0</v>
      </c>
      <c r="U29" s="52">
        <f>SUM(U30)</f>
        <v>3910</v>
      </c>
      <c r="V29" s="52">
        <f t="shared" si="20"/>
        <v>0</v>
      </c>
      <c r="W29" s="52">
        <f>SUM(W30)</f>
        <v>3910</v>
      </c>
      <c r="X29" s="52">
        <f t="shared" si="20"/>
        <v>0</v>
      </c>
      <c r="Y29" s="52">
        <f>SUM(Y30)</f>
        <v>3910</v>
      </c>
      <c r="Z29" s="52">
        <f t="shared" si="20"/>
        <v>0</v>
      </c>
      <c r="AA29" s="52">
        <f>SUM(AA30)</f>
        <v>3910</v>
      </c>
      <c r="AB29" s="52">
        <f t="shared" si="20"/>
        <v>0</v>
      </c>
      <c r="AC29" s="52">
        <f>SUM(AC30)</f>
        <v>3910</v>
      </c>
      <c r="AD29" s="52">
        <f t="shared" si="20"/>
        <v>0</v>
      </c>
      <c r="AE29" s="52">
        <f>SUM(AE30)</f>
        <v>3910</v>
      </c>
    </row>
    <row r="30" spans="1:33" s="25" customFormat="1" ht="56.25">
      <c r="A30" s="59"/>
      <c r="B30" s="54"/>
      <c r="C30" s="61">
        <v>2010</v>
      </c>
      <c r="D30" s="58" t="s">
        <v>172</v>
      </c>
      <c r="E30" s="52">
        <v>3910</v>
      </c>
      <c r="F30" s="52"/>
      <c r="G30" s="110">
        <f t="shared" si="4"/>
        <v>3910</v>
      </c>
      <c r="H30" s="52"/>
      <c r="I30" s="110">
        <f>SUM(G30:H30)</f>
        <v>3910</v>
      </c>
      <c r="J30" s="52"/>
      <c r="K30" s="110">
        <f>SUM(I30:J30)</f>
        <v>3910</v>
      </c>
      <c r="L30" s="52"/>
      <c r="M30" s="110">
        <f>SUM(K30:L30)</f>
        <v>3910</v>
      </c>
      <c r="N30" s="52"/>
      <c r="O30" s="110">
        <f>SUM(M30:N30)</f>
        <v>3910</v>
      </c>
      <c r="P30" s="52"/>
      <c r="Q30" s="110">
        <f>SUM(O30:P30)</f>
        <v>3910</v>
      </c>
      <c r="R30" s="52"/>
      <c r="S30" s="110">
        <f>SUM(Q30:R30)</f>
        <v>3910</v>
      </c>
      <c r="T30" s="52"/>
      <c r="U30" s="110">
        <f>SUM(S30:T30)</f>
        <v>3910</v>
      </c>
      <c r="V30" s="52"/>
      <c r="W30" s="110">
        <f>SUM(U30:V30)</f>
        <v>3910</v>
      </c>
      <c r="X30" s="52"/>
      <c r="Y30" s="110">
        <f>SUM(W30:X30)</f>
        <v>3910</v>
      </c>
      <c r="Z30" s="52"/>
      <c r="AA30" s="110">
        <f>SUM(Y30:Z30)</f>
        <v>3910</v>
      </c>
      <c r="AB30" s="52"/>
      <c r="AC30" s="110">
        <f>SUM(AA30:AB30)</f>
        <v>3910</v>
      </c>
      <c r="AD30" s="52"/>
      <c r="AE30" s="110">
        <f>SUM(AC30:AD30)</f>
        <v>3910</v>
      </c>
      <c r="AF30" s="79"/>
      <c r="AG30" s="79"/>
    </row>
    <row r="31" spans="1:31" s="25" customFormat="1" ht="24" customHeight="1">
      <c r="A31" s="59"/>
      <c r="B31" s="54">
        <v>75113</v>
      </c>
      <c r="C31" s="61"/>
      <c r="D31" s="58" t="s">
        <v>317</v>
      </c>
      <c r="E31" s="52"/>
      <c r="F31" s="52"/>
      <c r="G31" s="110"/>
      <c r="H31" s="52"/>
      <c r="I31" s="110"/>
      <c r="J31" s="52"/>
      <c r="K31" s="110">
        <f aca="true" t="shared" si="24" ref="K31:AE31">SUM(K32)</f>
        <v>0</v>
      </c>
      <c r="L31" s="110">
        <f t="shared" si="24"/>
        <v>19932</v>
      </c>
      <c r="M31" s="110">
        <f t="shared" si="24"/>
        <v>19932</v>
      </c>
      <c r="N31" s="110">
        <f t="shared" si="24"/>
        <v>0</v>
      </c>
      <c r="O31" s="110">
        <f t="shared" si="24"/>
        <v>19932</v>
      </c>
      <c r="P31" s="110">
        <f t="shared" si="24"/>
        <v>1000</v>
      </c>
      <c r="Q31" s="110">
        <f t="shared" si="24"/>
        <v>20932</v>
      </c>
      <c r="R31" s="110">
        <f t="shared" si="24"/>
        <v>0</v>
      </c>
      <c r="S31" s="110">
        <f t="shared" si="24"/>
        <v>20932</v>
      </c>
      <c r="T31" s="110">
        <f t="shared" si="24"/>
        <v>21240</v>
      </c>
      <c r="U31" s="110">
        <f t="shared" si="24"/>
        <v>42172</v>
      </c>
      <c r="V31" s="110">
        <f t="shared" si="24"/>
        <v>0</v>
      </c>
      <c r="W31" s="110">
        <f t="shared" si="24"/>
        <v>42172</v>
      </c>
      <c r="X31" s="110">
        <f t="shared" si="24"/>
        <v>0</v>
      </c>
      <c r="Y31" s="110">
        <f t="shared" si="24"/>
        <v>42172</v>
      </c>
      <c r="Z31" s="110">
        <f t="shared" si="24"/>
        <v>0</v>
      </c>
      <c r="AA31" s="110">
        <f t="shared" si="24"/>
        <v>42172</v>
      </c>
      <c r="AB31" s="110">
        <f t="shared" si="24"/>
        <v>0</v>
      </c>
      <c r="AC31" s="110">
        <f t="shared" si="24"/>
        <v>42172</v>
      </c>
      <c r="AD31" s="110">
        <f t="shared" si="24"/>
        <v>0</v>
      </c>
      <c r="AE31" s="110">
        <f t="shared" si="24"/>
        <v>42172</v>
      </c>
    </row>
    <row r="32" spans="1:33" s="25" customFormat="1" ht="56.25">
      <c r="A32" s="59"/>
      <c r="B32" s="54"/>
      <c r="C32" s="61">
        <v>2010</v>
      </c>
      <c r="D32" s="58" t="s">
        <v>172</v>
      </c>
      <c r="E32" s="52"/>
      <c r="F32" s="52"/>
      <c r="G32" s="110"/>
      <c r="H32" s="52"/>
      <c r="I32" s="110"/>
      <c r="J32" s="52"/>
      <c r="K32" s="110">
        <v>0</v>
      </c>
      <c r="L32" s="52">
        <v>19932</v>
      </c>
      <c r="M32" s="110">
        <f>SUM(K32:L32)</f>
        <v>19932</v>
      </c>
      <c r="N32" s="52"/>
      <c r="O32" s="110">
        <f>SUM(M32:N32)</f>
        <v>19932</v>
      </c>
      <c r="P32" s="52">
        <v>1000</v>
      </c>
      <c r="Q32" s="110">
        <f>SUM(O32:P32)</f>
        <v>20932</v>
      </c>
      <c r="R32" s="52"/>
      <c r="S32" s="110">
        <f>SUM(Q32:R32)</f>
        <v>20932</v>
      </c>
      <c r="T32" s="52">
        <v>21240</v>
      </c>
      <c r="U32" s="110">
        <f>SUM(S32:T32)</f>
        <v>42172</v>
      </c>
      <c r="V32" s="52"/>
      <c r="W32" s="110">
        <f>SUM(U32:V32)</f>
        <v>42172</v>
      </c>
      <c r="X32" s="52"/>
      <c r="Y32" s="110">
        <f>SUM(W32:X32)</f>
        <v>42172</v>
      </c>
      <c r="Z32" s="52"/>
      <c r="AA32" s="110">
        <f>SUM(Y32:Z32)</f>
        <v>42172</v>
      </c>
      <c r="AB32" s="52"/>
      <c r="AC32" s="110">
        <f>SUM(AA32:AB32)</f>
        <v>42172</v>
      </c>
      <c r="AD32" s="52"/>
      <c r="AE32" s="110">
        <f>SUM(AC32:AD32)</f>
        <v>42172</v>
      </c>
      <c r="AF32" s="79"/>
      <c r="AG32" s="79"/>
    </row>
    <row r="33" spans="1:31" s="6" customFormat="1" ht="30" customHeight="1">
      <c r="A33" s="28" t="s">
        <v>21</v>
      </c>
      <c r="B33" s="2"/>
      <c r="C33" s="3"/>
      <c r="D33" s="29" t="s">
        <v>22</v>
      </c>
      <c r="E33" s="47">
        <f aca="true" t="shared" si="25" ref="E33:AE33">SUM(E34)</f>
        <v>5500</v>
      </c>
      <c r="F33" s="47">
        <f t="shared" si="25"/>
        <v>0</v>
      </c>
      <c r="G33" s="47">
        <f t="shared" si="25"/>
        <v>5500</v>
      </c>
      <c r="H33" s="47">
        <f t="shared" si="25"/>
        <v>0</v>
      </c>
      <c r="I33" s="47">
        <f t="shared" si="25"/>
        <v>5500</v>
      </c>
      <c r="J33" s="47">
        <f t="shared" si="25"/>
        <v>0</v>
      </c>
      <c r="K33" s="47">
        <f t="shared" si="25"/>
        <v>5500</v>
      </c>
      <c r="L33" s="47">
        <f t="shared" si="25"/>
        <v>0</v>
      </c>
      <c r="M33" s="47">
        <f t="shared" si="25"/>
        <v>5500</v>
      </c>
      <c r="N33" s="47">
        <f t="shared" si="25"/>
        <v>0</v>
      </c>
      <c r="O33" s="47">
        <f t="shared" si="25"/>
        <v>5500</v>
      </c>
      <c r="P33" s="47">
        <f t="shared" si="25"/>
        <v>0</v>
      </c>
      <c r="Q33" s="47">
        <f t="shared" si="25"/>
        <v>5500</v>
      </c>
      <c r="R33" s="47">
        <f t="shared" si="25"/>
        <v>0</v>
      </c>
      <c r="S33" s="47">
        <f t="shared" si="25"/>
        <v>5500</v>
      </c>
      <c r="T33" s="47">
        <f t="shared" si="25"/>
        <v>0</v>
      </c>
      <c r="U33" s="47">
        <f t="shared" si="25"/>
        <v>5500</v>
      </c>
      <c r="V33" s="47">
        <f t="shared" si="25"/>
        <v>0</v>
      </c>
      <c r="W33" s="47">
        <f t="shared" si="25"/>
        <v>5500</v>
      </c>
      <c r="X33" s="47">
        <f t="shared" si="25"/>
        <v>0</v>
      </c>
      <c r="Y33" s="47">
        <f t="shared" si="25"/>
        <v>5500</v>
      </c>
      <c r="Z33" s="47">
        <f t="shared" si="25"/>
        <v>0</v>
      </c>
      <c r="AA33" s="47">
        <f t="shared" si="25"/>
        <v>5500</v>
      </c>
      <c r="AB33" s="47">
        <f t="shared" si="25"/>
        <v>0</v>
      </c>
      <c r="AC33" s="47">
        <f t="shared" si="25"/>
        <v>5500</v>
      </c>
      <c r="AD33" s="47">
        <f t="shared" si="25"/>
        <v>0</v>
      </c>
      <c r="AE33" s="47">
        <f t="shared" si="25"/>
        <v>5500</v>
      </c>
    </row>
    <row r="34" spans="1:31" s="25" customFormat="1" ht="24" customHeight="1">
      <c r="A34" s="59"/>
      <c r="B34" s="54" t="s">
        <v>23</v>
      </c>
      <c r="C34" s="61"/>
      <c r="D34" s="58" t="s">
        <v>24</v>
      </c>
      <c r="E34" s="52">
        <f aca="true" t="shared" si="26" ref="E34:K34">SUM(E35:E36)</f>
        <v>5500</v>
      </c>
      <c r="F34" s="52">
        <f t="shared" si="26"/>
        <v>0</v>
      </c>
      <c r="G34" s="52">
        <f t="shared" si="26"/>
        <v>5500</v>
      </c>
      <c r="H34" s="52">
        <f t="shared" si="26"/>
        <v>0</v>
      </c>
      <c r="I34" s="52">
        <f t="shared" si="26"/>
        <v>5500</v>
      </c>
      <c r="J34" s="52">
        <f t="shared" si="26"/>
        <v>0</v>
      </c>
      <c r="K34" s="52">
        <f t="shared" si="26"/>
        <v>5500</v>
      </c>
      <c r="L34" s="52">
        <f aca="true" t="shared" si="27" ref="L34:Q34">SUM(L35:L36)</f>
        <v>0</v>
      </c>
      <c r="M34" s="52">
        <f t="shared" si="27"/>
        <v>5500</v>
      </c>
      <c r="N34" s="52">
        <f t="shared" si="27"/>
        <v>0</v>
      </c>
      <c r="O34" s="52">
        <f t="shared" si="27"/>
        <v>5500</v>
      </c>
      <c r="P34" s="52">
        <f t="shared" si="27"/>
        <v>0</v>
      </c>
      <c r="Q34" s="52">
        <f t="shared" si="27"/>
        <v>5500</v>
      </c>
      <c r="R34" s="52">
        <f aca="true" t="shared" si="28" ref="R34:W34">SUM(R35:R36)</f>
        <v>0</v>
      </c>
      <c r="S34" s="52">
        <f t="shared" si="28"/>
        <v>5500</v>
      </c>
      <c r="T34" s="52">
        <f t="shared" si="28"/>
        <v>0</v>
      </c>
      <c r="U34" s="52">
        <f t="shared" si="28"/>
        <v>5500</v>
      </c>
      <c r="V34" s="52">
        <f t="shared" si="28"/>
        <v>0</v>
      </c>
      <c r="W34" s="52">
        <f t="shared" si="28"/>
        <v>5500</v>
      </c>
      <c r="X34" s="52">
        <f aca="true" t="shared" si="29" ref="X34:AC34">SUM(X35:X36)</f>
        <v>0</v>
      </c>
      <c r="Y34" s="52">
        <f t="shared" si="29"/>
        <v>5500</v>
      </c>
      <c r="Z34" s="52">
        <f t="shared" si="29"/>
        <v>0</v>
      </c>
      <c r="AA34" s="52">
        <f t="shared" si="29"/>
        <v>5500</v>
      </c>
      <c r="AB34" s="52">
        <f t="shared" si="29"/>
        <v>0</v>
      </c>
      <c r="AC34" s="52">
        <f t="shared" si="29"/>
        <v>5500</v>
      </c>
      <c r="AD34" s="52">
        <f>SUM(AD35:AD36)</f>
        <v>0</v>
      </c>
      <c r="AE34" s="52">
        <f>SUM(AE35:AE36)</f>
        <v>5500</v>
      </c>
    </row>
    <row r="35" spans="1:31" s="25" customFormat="1" ht="21.75" customHeight="1">
      <c r="A35" s="59"/>
      <c r="B35" s="41"/>
      <c r="C35" s="55" t="s">
        <v>134</v>
      </c>
      <c r="D35" s="58" t="s">
        <v>25</v>
      </c>
      <c r="E35" s="52">
        <v>5000</v>
      </c>
      <c r="F35" s="52"/>
      <c r="G35" s="110">
        <f t="shared" si="4"/>
        <v>5000</v>
      </c>
      <c r="H35" s="52"/>
      <c r="I35" s="110">
        <f>SUM(G35:H35)</f>
        <v>5000</v>
      </c>
      <c r="J35" s="52"/>
      <c r="K35" s="110">
        <f>SUM(I35:J35)</f>
        <v>5000</v>
      </c>
      <c r="L35" s="52"/>
      <c r="M35" s="110">
        <f>SUM(K35:L35)</f>
        <v>5000</v>
      </c>
      <c r="N35" s="52"/>
      <c r="O35" s="110">
        <f>SUM(M35:N35)</f>
        <v>5000</v>
      </c>
      <c r="P35" s="52"/>
      <c r="Q35" s="110">
        <f>SUM(O35:P35)</f>
        <v>5000</v>
      </c>
      <c r="R35" s="52"/>
      <c r="S35" s="110">
        <f>SUM(Q35:R35)</f>
        <v>5000</v>
      </c>
      <c r="T35" s="52"/>
      <c r="U35" s="110">
        <f>SUM(S35:T35)</f>
        <v>5000</v>
      </c>
      <c r="V35" s="52"/>
      <c r="W35" s="110">
        <f>SUM(U35:V35)</f>
        <v>5000</v>
      </c>
      <c r="X35" s="52"/>
      <c r="Y35" s="110">
        <f>SUM(W35:X35)</f>
        <v>5000</v>
      </c>
      <c r="Z35" s="52"/>
      <c r="AA35" s="110">
        <f>SUM(Y35:Z35)</f>
        <v>5000</v>
      </c>
      <c r="AB35" s="52"/>
      <c r="AC35" s="110">
        <f>SUM(AA35:AB35)</f>
        <v>5000</v>
      </c>
      <c r="AD35" s="52"/>
      <c r="AE35" s="110">
        <f>SUM(AC35:AD35)</f>
        <v>5000</v>
      </c>
    </row>
    <row r="36" spans="1:31" s="25" customFormat="1" ht="21.75" customHeight="1">
      <c r="A36" s="59"/>
      <c r="B36" s="41"/>
      <c r="C36" s="55" t="s">
        <v>132</v>
      </c>
      <c r="D36" s="58" t="s">
        <v>11</v>
      </c>
      <c r="E36" s="52">
        <v>500</v>
      </c>
      <c r="F36" s="52"/>
      <c r="G36" s="110">
        <f t="shared" si="4"/>
        <v>500</v>
      </c>
      <c r="H36" s="52"/>
      <c r="I36" s="110">
        <f>SUM(G36:H36)</f>
        <v>500</v>
      </c>
      <c r="J36" s="52"/>
      <c r="K36" s="110">
        <f>SUM(I36:J36)</f>
        <v>500</v>
      </c>
      <c r="L36" s="52"/>
      <c r="M36" s="110">
        <f>SUM(K36:L36)</f>
        <v>500</v>
      </c>
      <c r="N36" s="52"/>
      <c r="O36" s="110">
        <f>SUM(M36:N36)</f>
        <v>500</v>
      </c>
      <c r="P36" s="52"/>
      <c r="Q36" s="110">
        <f>SUM(O36:P36)</f>
        <v>500</v>
      </c>
      <c r="R36" s="52"/>
      <c r="S36" s="110">
        <f>SUM(Q36:R36)</f>
        <v>500</v>
      </c>
      <c r="T36" s="52"/>
      <c r="U36" s="110">
        <f>SUM(S36:T36)</f>
        <v>500</v>
      </c>
      <c r="V36" s="52"/>
      <c r="W36" s="110">
        <f>SUM(U36:V36)</f>
        <v>500</v>
      </c>
      <c r="X36" s="52"/>
      <c r="Y36" s="110">
        <f>SUM(W36:X36)</f>
        <v>500</v>
      </c>
      <c r="Z36" s="52"/>
      <c r="AA36" s="110">
        <f>SUM(Y36:Z36)</f>
        <v>500</v>
      </c>
      <c r="AB36" s="52"/>
      <c r="AC36" s="110">
        <f>SUM(AA36:AB36)</f>
        <v>500</v>
      </c>
      <c r="AD36" s="52"/>
      <c r="AE36" s="110">
        <f>SUM(AC36:AD36)</f>
        <v>500</v>
      </c>
    </row>
    <row r="37" spans="1:31" s="6" customFormat="1" ht="60">
      <c r="A37" s="28" t="s">
        <v>26</v>
      </c>
      <c r="B37" s="2"/>
      <c r="C37" s="3"/>
      <c r="D37" s="29" t="s">
        <v>124</v>
      </c>
      <c r="E37" s="47">
        <f aca="true" t="shared" si="30" ref="E37:K37">SUM(E38,E41,E49,E59,E64,)</f>
        <v>23034971</v>
      </c>
      <c r="F37" s="47">
        <f t="shared" si="30"/>
        <v>0</v>
      </c>
      <c r="G37" s="47">
        <f t="shared" si="30"/>
        <v>23034971</v>
      </c>
      <c r="H37" s="47">
        <f t="shared" si="30"/>
        <v>0</v>
      </c>
      <c r="I37" s="47">
        <f t="shared" si="30"/>
        <v>23034971</v>
      </c>
      <c r="J37" s="47">
        <f t="shared" si="30"/>
        <v>-329</v>
      </c>
      <c r="K37" s="47">
        <f t="shared" si="30"/>
        <v>23034642</v>
      </c>
      <c r="L37" s="47">
        <f aca="true" t="shared" si="31" ref="L37:Q37">SUM(L38,L41,L49,L59,L64,)</f>
        <v>14000</v>
      </c>
      <c r="M37" s="47">
        <f t="shared" si="31"/>
        <v>23048642</v>
      </c>
      <c r="N37" s="47">
        <f t="shared" si="31"/>
        <v>0</v>
      </c>
      <c r="O37" s="47">
        <f t="shared" si="31"/>
        <v>23048642</v>
      </c>
      <c r="P37" s="47">
        <f t="shared" si="31"/>
        <v>0</v>
      </c>
      <c r="Q37" s="47">
        <f t="shared" si="31"/>
        <v>23048642</v>
      </c>
      <c r="R37" s="47">
        <f aca="true" t="shared" si="32" ref="R37:W37">SUM(R38,R41,R49,R59,R64,)</f>
        <v>0</v>
      </c>
      <c r="S37" s="47">
        <f t="shared" si="32"/>
        <v>23048642</v>
      </c>
      <c r="T37" s="47">
        <f t="shared" si="32"/>
        <v>0</v>
      </c>
      <c r="U37" s="47">
        <f t="shared" si="32"/>
        <v>23048642</v>
      </c>
      <c r="V37" s="47">
        <f t="shared" si="32"/>
        <v>0</v>
      </c>
      <c r="W37" s="47">
        <f t="shared" si="32"/>
        <v>23048642</v>
      </c>
      <c r="X37" s="47">
        <f aca="true" t="shared" si="33" ref="X37:AC37">SUM(X38,X41,X49,X59,X64,)</f>
        <v>0</v>
      </c>
      <c r="Y37" s="47">
        <f t="shared" si="33"/>
        <v>23048642</v>
      </c>
      <c r="Z37" s="47">
        <f t="shared" si="33"/>
        <v>0</v>
      </c>
      <c r="AA37" s="47">
        <f t="shared" si="33"/>
        <v>23048642</v>
      </c>
      <c r="AB37" s="47">
        <f t="shared" si="33"/>
        <v>19000</v>
      </c>
      <c r="AC37" s="47">
        <f t="shared" si="33"/>
        <v>23067642</v>
      </c>
      <c r="AD37" s="47">
        <f>SUM(AD38,AD41,AD49,AD59,AD64,)</f>
        <v>0</v>
      </c>
      <c r="AE37" s="47">
        <f>SUM(AE38,AE41,AE49,AE59,AE64,)</f>
        <v>23067642</v>
      </c>
    </row>
    <row r="38" spans="1:31" s="25" customFormat="1" ht="24" customHeight="1">
      <c r="A38" s="53"/>
      <c r="B38" s="41">
        <v>75601</v>
      </c>
      <c r="C38" s="61"/>
      <c r="D38" s="58" t="s">
        <v>27</v>
      </c>
      <c r="E38" s="52">
        <f aca="true" t="shared" si="34" ref="E38:K38">SUM(E39:E40)</f>
        <v>52500</v>
      </c>
      <c r="F38" s="52">
        <f t="shared" si="34"/>
        <v>0</v>
      </c>
      <c r="G38" s="52">
        <f t="shared" si="34"/>
        <v>52500</v>
      </c>
      <c r="H38" s="52">
        <f t="shared" si="34"/>
        <v>0</v>
      </c>
      <c r="I38" s="52">
        <f t="shared" si="34"/>
        <v>52500</v>
      </c>
      <c r="J38" s="52">
        <f t="shared" si="34"/>
        <v>0</v>
      </c>
      <c r="K38" s="52">
        <f t="shared" si="34"/>
        <v>52500</v>
      </c>
      <c r="L38" s="52">
        <f aca="true" t="shared" si="35" ref="L38:Q38">SUM(L39:L40)</f>
        <v>0</v>
      </c>
      <c r="M38" s="52">
        <f t="shared" si="35"/>
        <v>52500</v>
      </c>
      <c r="N38" s="52">
        <f t="shared" si="35"/>
        <v>0</v>
      </c>
      <c r="O38" s="52">
        <f t="shared" si="35"/>
        <v>52500</v>
      </c>
      <c r="P38" s="52">
        <f t="shared" si="35"/>
        <v>0</v>
      </c>
      <c r="Q38" s="52">
        <f t="shared" si="35"/>
        <v>52500</v>
      </c>
      <c r="R38" s="52">
        <f aca="true" t="shared" si="36" ref="R38:W38">SUM(R39:R40)</f>
        <v>0</v>
      </c>
      <c r="S38" s="52">
        <f t="shared" si="36"/>
        <v>52500</v>
      </c>
      <c r="T38" s="52">
        <f t="shared" si="36"/>
        <v>0</v>
      </c>
      <c r="U38" s="52">
        <f t="shared" si="36"/>
        <v>52500</v>
      </c>
      <c r="V38" s="52">
        <f t="shared" si="36"/>
        <v>0</v>
      </c>
      <c r="W38" s="52">
        <f t="shared" si="36"/>
        <v>52500</v>
      </c>
      <c r="X38" s="52">
        <f aca="true" t="shared" si="37" ref="X38:AC38">SUM(X39:X40)</f>
        <v>0</v>
      </c>
      <c r="Y38" s="52">
        <f t="shared" si="37"/>
        <v>52500</v>
      </c>
      <c r="Z38" s="52">
        <f t="shared" si="37"/>
        <v>0</v>
      </c>
      <c r="AA38" s="52">
        <f t="shared" si="37"/>
        <v>52500</v>
      </c>
      <c r="AB38" s="52">
        <f t="shared" si="37"/>
        <v>0</v>
      </c>
      <c r="AC38" s="52">
        <f t="shared" si="37"/>
        <v>52500</v>
      </c>
      <c r="AD38" s="52">
        <f>SUM(AD39:AD40)</f>
        <v>0</v>
      </c>
      <c r="AE38" s="52">
        <f>SUM(AE39:AE40)</f>
        <v>52500</v>
      </c>
    </row>
    <row r="39" spans="1:31" s="25" customFormat="1" ht="24" customHeight="1">
      <c r="A39" s="53"/>
      <c r="B39" s="41"/>
      <c r="C39" s="60" t="s">
        <v>135</v>
      </c>
      <c r="D39" s="58" t="s">
        <v>28</v>
      </c>
      <c r="E39" s="52">
        <v>50000</v>
      </c>
      <c r="F39" s="52"/>
      <c r="G39" s="110">
        <f t="shared" si="4"/>
        <v>50000</v>
      </c>
      <c r="H39" s="52"/>
      <c r="I39" s="110">
        <f>SUM(G39:H39)</f>
        <v>50000</v>
      </c>
      <c r="J39" s="52"/>
      <c r="K39" s="110">
        <f>SUM(I39:J39)</f>
        <v>50000</v>
      </c>
      <c r="L39" s="52"/>
      <c r="M39" s="110">
        <f>SUM(K39:L39)</f>
        <v>50000</v>
      </c>
      <c r="N39" s="52"/>
      <c r="O39" s="110">
        <f>SUM(M39:N39)</f>
        <v>50000</v>
      </c>
      <c r="P39" s="52"/>
      <c r="Q39" s="110">
        <f>SUM(O39:P39)</f>
        <v>50000</v>
      </c>
      <c r="R39" s="52"/>
      <c r="S39" s="110">
        <f>SUM(Q39:R39)</f>
        <v>50000</v>
      </c>
      <c r="T39" s="52"/>
      <c r="U39" s="110">
        <f>SUM(S39:T39)</f>
        <v>50000</v>
      </c>
      <c r="V39" s="52"/>
      <c r="W39" s="110">
        <f>SUM(U39:V39)</f>
        <v>50000</v>
      </c>
      <c r="X39" s="52"/>
      <c r="Y39" s="110">
        <f>SUM(W39:X39)</f>
        <v>50000</v>
      </c>
      <c r="Z39" s="52"/>
      <c r="AA39" s="110">
        <f>SUM(Y39:Z39)</f>
        <v>50000</v>
      </c>
      <c r="AB39" s="52"/>
      <c r="AC39" s="110">
        <f>SUM(AA39:AB39)</f>
        <v>50000</v>
      </c>
      <c r="AD39" s="52"/>
      <c r="AE39" s="110">
        <f>SUM(AC39:AD39)</f>
        <v>50000</v>
      </c>
    </row>
    <row r="40" spans="1:31" s="25" customFormat="1" ht="24" customHeight="1">
      <c r="A40" s="53"/>
      <c r="B40" s="41"/>
      <c r="C40" s="60" t="s">
        <v>136</v>
      </c>
      <c r="D40" s="58" t="s">
        <v>35</v>
      </c>
      <c r="E40" s="52">
        <v>2500</v>
      </c>
      <c r="F40" s="52"/>
      <c r="G40" s="110">
        <f t="shared" si="4"/>
        <v>2500</v>
      </c>
      <c r="H40" s="52"/>
      <c r="I40" s="110">
        <f>SUM(G40:H40)</f>
        <v>2500</v>
      </c>
      <c r="J40" s="52"/>
      <c r="K40" s="110">
        <f>SUM(I40:J40)</f>
        <v>2500</v>
      </c>
      <c r="L40" s="52"/>
      <c r="M40" s="110">
        <f>SUM(K40:L40)</f>
        <v>2500</v>
      </c>
      <c r="N40" s="52"/>
      <c r="O40" s="110">
        <f>SUM(M40:N40)</f>
        <v>2500</v>
      </c>
      <c r="P40" s="52"/>
      <c r="Q40" s="110">
        <f>SUM(O40:P40)</f>
        <v>2500</v>
      </c>
      <c r="R40" s="52"/>
      <c r="S40" s="110">
        <f>SUM(Q40:R40)</f>
        <v>2500</v>
      </c>
      <c r="T40" s="52"/>
      <c r="U40" s="110">
        <f>SUM(S40:T40)</f>
        <v>2500</v>
      </c>
      <c r="V40" s="52"/>
      <c r="W40" s="110">
        <f>SUM(U40:V40)</f>
        <v>2500</v>
      </c>
      <c r="X40" s="52"/>
      <c r="Y40" s="110">
        <f>SUM(W40:X40)</f>
        <v>2500</v>
      </c>
      <c r="Z40" s="52"/>
      <c r="AA40" s="110">
        <f>SUM(Y40:Z40)</f>
        <v>2500</v>
      </c>
      <c r="AB40" s="52"/>
      <c r="AC40" s="110">
        <f>SUM(AA40:AB40)</f>
        <v>2500</v>
      </c>
      <c r="AD40" s="52"/>
      <c r="AE40" s="110">
        <f>SUM(AC40:AD40)</f>
        <v>2500</v>
      </c>
    </row>
    <row r="41" spans="1:31" s="25" customFormat="1" ht="56.25">
      <c r="A41" s="53"/>
      <c r="B41" s="54" t="s">
        <v>29</v>
      </c>
      <c r="C41" s="61"/>
      <c r="D41" s="58" t="s">
        <v>160</v>
      </c>
      <c r="E41" s="52">
        <f aca="true" t="shared" si="38" ref="E41:K41">SUM(E42:E48)</f>
        <v>7208496</v>
      </c>
      <c r="F41" s="52">
        <f t="shared" si="38"/>
        <v>0</v>
      </c>
      <c r="G41" s="52">
        <f t="shared" si="38"/>
        <v>7208496</v>
      </c>
      <c r="H41" s="52">
        <f t="shared" si="38"/>
        <v>0</v>
      </c>
      <c r="I41" s="52">
        <f t="shared" si="38"/>
        <v>7208496</v>
      </c>
      <c r="J41" s="52">
        <f t="shared" si="38"/>
        <v>0</v>
      </c>
      <c r="K41" s="52">
        <f t="shared" si="38"/>
        <v>7208496</v>
      </c>
      <c r="L41" s="52">
        <f aca="true" t="shared" si="39" ref="L41:Q41">SUM(L42:L48)</f>
        <v>0</v>
      </c>
      <c r="M41" s="52">
        <f t="shared" si="39"/>
        <v>7208496</v>
      </c>
      <c r="N41" s="52">
        <f t="shared" si="39"/>
        <v>0</v>
      </c>
      <c r="O41" s="52">
        <f t="shared" si="39"/>
        <v>7208496</v>
      </c>
      <c r="P41" s="52">
        <f t="shared" si="39"/>
        <v>0</v>
      </c>
      <c r="Q41" s="52">
        <f t="shared" si="39"/>
        <v>7208496</v>
      </c>
      <c r="R41" s="52">
        <f aca="true" t="shared" si="40" ref="R41:W41">SUM(R42:R48)</f>
        <v>0</v>
      </c>
      <c r="S41" s="52">
        <f t="shared" si="40"/>
        <v>7208496</v>
      </c>
      <c r="T41" s="52">
        <f t="shared" si="40"/>
        <v>0</v>
      </c>
      <c r="U41" s="52">
        <f t="shared" si="40"/>
        <v>7208496</v>
      </c>
      <c r="V41" s="52">
        <f t="shared" si="40"/>
        <v>0</v>
      </c>
      <c r="W41" s="52">
        <f t="shared" si="40"/>
        <v>7208496</v>
      </c>
      <c r="X41" s="52">
        <f aca="true" t="shared" si="41" ref="X41:AC41">SUM(X42:X48)</f>
        <v>0</v>
      </c>
      <c r="Y41" s="52">
        <f t="shared" si="41"/>
        <v>7208496</v>
      </c>
      <c r="Z41" s="52">
        <f t="shared" si="41"/>
        <v>0</v>
      </c>
      <c r="AA41" s="52">
        <f t="shared" si="41"/>
        <v>7208496</v>
      </c>
      <c r="AB41" s="52">
        <f t="shared" si="41"/>
        <v>14600</v>
      </c>
      <c r="AC41" s="52">
        <f t="shared" si="41"/>
        <v>7223096</v>
      </c>
      <c r="AD41" s="52">
        <f>SUM(AD42:AD48)</f>
        <v>0</v>
      </c>
      <c r="AE41" s="52">
        <f>SUM(AE42:AE48)</f>
        <v>7223096</v>
      </c>
    </row>
    <row r="42" spans="1:31" s="25" customFormat="1" ht="21.75" customHeight="1">
      <c r="A42" s="53"/>
      <c r="B42" s="54"/>
      <c r="C42" s="55" t="s">
        <v>137</v>
      </c>
      <c r="D42" s="58" t="s">
        <v>30</v>
      </c>
      <c r="E42" s="52">
        <v>6458259</v>
      </c>
      <c r="F42" s="52"/>
      <c r="G42" s="110">
        <f t="shared" si="4"/>
        <v>6458259</v>
      </c>
      <c r="H42" s="52"/>
      <c r="I42" s="110">
        <f aca="true" t="shared" si="42" ref="I42:I48">SUM(G42:H42)</f>
        <v>6458259</v>
      </c>
      <c r="J42" s="52"/>
      <c r="K42" s="110">
        <f aca="true" t="shared" si="43" ref="K42:K48">SUM(I42:J42)</f>
        <v>6458259</v>
      </c>
      <c r="L42" s="52"/>
      <c r="M42" s="110">
        <f aca="true" t="shared" si="44" ref="M42:M48">SUM(K42:L42)</f>
        <v>6458259</v>
      </c>
      <c r="N42" s="52"/>
      <c r="O42" s="110">
        <f aca="true" t="shared" si="45" ref="O42:O48">SUM(M42:N42)</f>
        <v>6458259</v>
      </c>
      <c r="P42" s="52"/>
      <c r="Q42" s="110">
        <f aca="true" t="shared" si="46" ref="Q42:Q48">SUM(O42:P42)</f>
        <v>6458259</v>
      </c>
      <c r="R42" s="52"/>
      <c r="S42" s="110">
        <f aca="true" t="shared" si="47" ref="S42:S48">SUM(Q42:R42)</f>
        <v>6458259</v>
      </c>
      <c r="T42" s="52"/>
      <c r="U42" s="110">
        <f aca="true" t="shared" si="48" ref="U42:U48">SUM(S42:T42)</f>
        <v>6458259</v>
      </c>
      <c r="V42" s="52"/>
      <c r="W42" s="110">
        <f aca="true" t="shared" si="49" ref="W42:W48">SUM(U42:V42)</f>
        <v>6458259</v>
      </c>
      <c r="X42" s="52"/>
      <c r="Y42" s="110">
        <f aca="true" t="shared" si="50" ref="Y42:Y48">SUM(W42:X42)</f>
        <v>6458259</v>
      </c>
      <c r="Z42" s="52"/>
      <c r="AA42" s="110">
        <f aca="true" t="shared" si="51" ref="AA42:AA48">SUM(Y42:Z42)</f>
        <v>6458259</v>
      </c>
      <c r="AB42" s="52"/>
      <c r="AC42" s="110">
        <f aca="true" t="shared" si="52" ref="AC42:AC48">SUM(AA42:AB42)</f>
        <v>6458259</v>
      </c>
      <c r="AD42" s="52"/>
      <c r="AE42" s="110">
        <f aca="true" t="shared" si="53" ref="AE42:AE48">SUM(AC42:AD42)</f>
        <v>6458259</v>
      </c>
    </row>
    <row r="43" spans="1:31" s="25" customFormat="1" ht="21.75" customHeight="1">
      <c r="A43" s="53"/>
      <c r="B43" s="54"/>
      <c r="C43" s="55" t="s">
        <v>138</v>
      </c>
      <c r="D43" s="58" t="s">
        <v>31</v>
      </c>
      <c r="E43" s="52">
        <v>25000</v>
      </c>
      <c r="F43" s="52"/>
      <c r="G43" s="110">
        <f t="shared" si="4"/>
        <v>25000</v>
      </c>
      <c r="H43" s="52"/>
      <c r="I43" s="110">
        <f t="shared" si="42"/>
        <v>25000</v>
      </c>
      <c r="J43" s="52"/>
      <c r="K43" s="110">
        <f t="shared" si="43"/>
        <v>25000</v>
      </c>
      <c r="L43" s="52"/>
      <c r="M43" s="110">
        <f t="shared" si="44"/>
        <v>25000</v>
      </c>
      <c r="N43" s="52"/>
      <c r="O43" s="110">
        <f t="shared" si="45"/>
        <v>25000</v>
      </c>
      <c r="P43" s="52"/>
      <c r="Q43" s="110">
        <f t="shared" si="46"/>
        <v>25000</v>
      </c>
      <c r="R43" s="52"/>
      <c r="S43" s="110">
        <f t="shared" si="47"/>
        <v>25000</v>
      </c>
      <c r="T43" s="52"/>
      <c r="U43" s="110">
        <f t="shared" si="48"/>
        <v>25000</v>
      </c>
      <c r="V43" s="52"/>
      <c r="W43" s="110">
        <f t="shared" si="49"/>
        <v>25000</v>
      </c>
      <c r="X43" s="52"/>
      <c r="Y43" s="110">
        <f t="shared" si="50"/>
        <v>25000</v>
      </c>
      <c r="Z43" s="52"/>
      <c r="AA43" s="110">
        <f t="shared" si="51"/>
        <v>25000</v>
      </c>
      <c r="AB43" s="52"/>
      <c r="AC43" s="110">
        <f t="shared" si="52"/>
        <v>25000</v>
      </c>
      <c r="AD43" s="52"/>
      <c r="AE43" s="110">
        <f t="shared" si="53"/>
        <v>25000</v>
      </c>
    </row>
    <row r="44" spans="1:31" s="25" customFormat="1" ht="21.75" customHeight="1">
      <c r="A44" s="53"/>
      <c r="B44" s="54"/>
      <c r="C44" s="55" t="s">
        <v>139</v>
      </c>
      <c r="D44" s="58" t="s">
        <v>32</v>
      </c>
      <c r="E44" s="52">
        <v>350823</v>
      </c>
      <c r="F44" s="52"/>
      <c r="G44" s="110">
        <f t="shared" si="4"/>
        <v>350823</v>
      </c>
      <c r="H44" s="52"/>
      <c r="I44" s="110">
        <f t="shared" si="42"/>
        <v>350823</v>
      </c>
      <c r="J44" s="52"/>
      <c r="K44" s="110">
        <f t="shared" si="43"/>
        <v>350823</v>
      </c>
      <c r="L44" s="52"/>
      <c r="M44" s="110">
        <f t="shared" si="44"/>
        <v>350823</v>
      </c>
      <c r="N44" s="52"/>
      <c r="O44" s="110">
        <f t="shared" si="45"/>
        <v>350823</v>
      </c>
      <c r="P44" s="52"/>
      <c r="Q44" s="110">
        <f t="shared" si="46"/>
        <v>350823</v>
      </c>
      <c r="R44" s="52"/>
      <c r="S44" s="110">
        <f t="shared" si="47"/>
        <v>350823</v>
      </c>
      <c r="T44" s="52"/>
      <c r="U44" s="110">
        <f t="shared" si="48"/>
        <v>350823</v>
      </c>
      <c r="V44" s="52"/>
      <c r="W44" s="110">
        <f t="shared" si="49"/>
        <v>350823</v>
      </c>
      <c r="X44" s="52"/>
      <c r="Y44" s="110">
        <f t="shared" si="50"/>
        <v>350823</v>
      </c>
      <c r="Z44" s="52"/>
      <c r="AA44" s="110">
        <f t="shared" si="51"/>
        <v>350823</v>
      </c>
      <c r="AB44" s="52"/>
      <c r="AC44" s="110">
        <f t="shared" si="52"/>
        <v>350823</v>
      </c>
      <c r="AD44" s="52"/>
      <c r="AE44" s="110">
        <f t="shared" si="53"/>
        <v>350823</v>
      </c>
    </row>
    <row r="45" spans="1:31" s="25" customFormat="1" ht="21.75" customHeight="1">
      <c r="A45" s="53"/>
      <c r="B45" s="54"/>
      <c r="C45" s="55" t="s">
        <v>140</v>
      </c>
      <c r="D45" s="58" t="s">
        <v>33</v>
      </c>
      <c r="E45" s="52">
        <f>65000+20000</f>
        <v>85000</v>
      </c>
      <c r="F45" s="52"/>
      <c r="G45" s="110">
        <f t="shared" si="4"/>
        <v>85000</v>
      </c>
      <c r="H45" s="52"/>
      <c r="I45" s="110">
        <f t="shared" si="42"/>
        <v>85000</v>
      </c>
      <c r="J45" s="52"/>
      <c r="K45" s="110">
        <f t="shared" si="43"/>
        <v>85000</v>
      </c>
      <c r="L45" s="52"/>
      <c r="M45" s="110">
        <f t="shared" si="44"/>
        <v>85000</v>
      </c>
      <c r="N45" s="52"/>
      <c r="O45" s="110">
        <f t="shared" si="45"/>
        <v>85000</v>
      </c>
      <c r="P45" s="52"/>
      <c r="Q45" s="110">
        <f t="shared" si="46"/>
        <v>85000</v>
      </c>
      <c r="R45" s="52"/>
      <c r="S45" s="110">
        <f t="shared" si="47"/>
        <v>85000</v>
      </c>
      <c r="T45" s="52"/>
      <c r="U45" s="110">
        <f t="shared" si="48"/>
        <v>85000</v>
      </c>
      <c r="V45" s="52"/>
      <c r="W45" s="110">
        <f t="shared" si="49"/>
        <v>85000</v>
      </c>
      <c r="X45" s="52"/>
      <c r="Y45" s="110">
        <f t="shared" si="50"/>
        <v>85000</v>
      </c>
      <c r="Z45" s="52"/>
      <c r="AA45" s="110">
        <f t="shared" si="51"/>
        <v>85000</v>
      </c>
      <c r="AB45" s="52"/>
      <c r="AC45" s="110">
        <f t="shared" si="52"/>
        <v>85000</v>
      </c>
      <c r="AD45" s="52"/>
      <c r="AE45" s="110">
        <f t="shared" si="53"/>
        <v>85000</v>
      </c>
    </row>
    <row r="46" spans="1:31" s="25" customFormat="1" ht="21.75" customHeight="1">
      <c r="A46" s="53"/>
      <c r="B46" s="54"/>
      <c r="C46" s="55" t="s">
        <v>143</v>
      </c>
      <c r="D46" s="58" t="s">
        <v>37</v>
      </c>
      <c r="E46" s="52"/>
      <c r="F46" s="52"/>
      <c r="G46" s="110"/>
      <c r="H46" s="52"/>
      <c r="I46" s="110"/>
      <c r="J46" s="52"/>
      <c r="K46" s="110"/>
      <c r="L46" s="52"/>
      <c r="M46" s="110"/>
      <c r="N46" s="52"/>
      <c r="O46" s="110"/>
      <c r="P46" s="52"/>
      <c r="Q46" s="110"/>
      <c r="R46" s="52"/>
      <c r="S46" s="110"/>
      <c r="T46" s="52"/>
      <c r="U46" s="110"/>
      <c r="V46" s="52"/>
      <c r="W46" s="110"/>
      <c r="X46" s="52"/>
      <c r="Y46" s="110"/>
      <c r="Z46" s="52"/>
      <c r="AA46" s="110">
        <v>0</v>
      </c>
      <c r="AB46" s="52">
        <v>14600</v>
      </c>
      <c r="AC46" s="110">
        <f t="shared" si="52"/>
        <v>14600</v>
      </c>
      <c r="AD46" s="52"/>
      <c r="AE46" s="110">
        <f t="shared" si="53"/>
        <v>14600</v>
      </c>
    </row>
    <row r="47" spans="1:31" s="25" customFormat="1" ht="24" customHeight="1">
      <c r="A47" s="53"/>
      <c r="B47" s="54"/>
      <c r="C47" s="51" t="s">
        <v>136</v>
      </c>
      <c r="D47" s="48" t="s">
        <v>165</v>
      </c>
      <c r="E47" s="62">
        <v>25000</v>
      </c>
      <c r="F47" s="62"/>
      <c r="G47" s="110">
        <f t="shared" si="4"/>
        <v>25000</v>
      </c>
      <c r="H47" s="62"/>
      <c r="I47" s="110">
        <f t="shared" si="42"/>
        <v>25000</v>
      </c>
      <c r="J47" s="62"/>
      <c r="K47" s="110">
        <f t="shared" si="43"/>
        <v>25000</v>
      </c>
      <c r="L47" s="62"/>
      <c r="M47" s="110">
        <f t="shared" si="44"/>
        <v>25000</v>
      </c>
      <c r="N47" s="62"/>
      <c r="O47" s="110">
        <f t="shared" si="45"/>
        <v>25000</v>
      </c>
      <c r="P47" s="62"/>
      <c r="Q47" s="110">
        <f t="shared" si="46"/>
        <v>25000</v>
      </c>
      <c r="R47" s="62"/>
      <c r="S47" s="110">
        <f t="shared" si="47"/>
        <v>25000</v>
      </c>
      <c r="T47" s="62"/>
      <c r="U47" s="110">
        <f t="shared" si="48"/>
        <v>25000</v>
      </c>
      <c r="V47" s="62"/>
      <c r="W47" s="110">
        <f t="shared" si="49"/>
        <v>25000</v>
      </c>
      <c r="X47" s="62"/>
      <c r="Y47" s="110">
        <f t="shared" si="50"/>
        <v>25000</v>
      </c>
      <c r="Z47" s="62"/>
      <c r="AA47" s="110">
        <f t="shared" si="51"/>
        <v>25000</v>
      </c>
      <c r="AB47" s="62"/>
      <c r="AC47" s="110">
        <f t="shared" si="52"/>
        <v>25000</v>
      </c>
      <c r="AD47" s="62"/>
      <c r="AE47" s="110">
        <f t="shared" si="53"/>
        <v>25000</v>
      </c>
    </row>
    <row r="48" spans="1:31" s="25" customFormat="1" ht="24" customHeight="1">
      <c r="A48" s="53"/>
      <c r="B48" s="54"/>
      <c r="C48" s="55">
        <v>2680</v>
      </c>
      <c r="D48" s="58" t="s">
        <v>227</v>
      </c>
      <c r="E48" s="52">
        <v>264414</v>
      </c>
      <c r="F48" s="52"/>
      <c r="G48" s="110">
        <f t="shared" si="4"/>
        <v>264414</v>
      </c>
      <c r="H48" s="52"/>
      <c r="I48" s="110">
        <f t="shared" si="42"/>
        <v>264414</v>
      </c>
      <c r="J48" s="52"/>
      <c r="K48" s="110">
        <f t="shared" si="43"/>
        <v>264414</v>
      </c>
      <c r="L48" s="52"/>
      <c r="M48" s="110">
        <f t="shared" si="44"/>
        <v>264414</v>
      </c>
      <c r="N48" s="52"/>
      <c r="O48" s="110">
        <f t="shared" si="45"/>
        <v>264414</v>
      </c>
      <c r="P48" s="52"/>
      <c r="Q48" s="110">
        <f t="shared" si="46"/>
        <v>264414</v>
      </c>
      <c r="R48" s="52"/>
      <c r="S48" s="110">
        <f t="shared" si="47"/>
        <v>264414</v>
      </c>
      <c r="T48" s="52"/>
      <c r="U48" s="110">
        <f t="shared" si="48"/>
        <v>264414</v>
      </c>
      <c r="V48" s="52"/>
      <c r="W48" s="110">
        <f t="shared" si="49"/>
        <v>264414</v>
      </c>
      <c r="X48" s="52"/>
      <c r="Y48" s="110">
        <f t="shared" si="50"/>
        <v>264414</v>
      </c>
      <c r="Z48" s="52"/>
      <c r="AA48" s="110">
        <f t="shared" si="51"/>
        <v>264414</v>
      </c>
      <c r="AB48" s="52"/>
      <c r="AC48" s="110">
        <f t="shared" si="52"/>
        <v>264414</v>
      </c>
      <c r="AD48" s="52"/>
      <c r="AE48" s="110">
        <f t="shared" si="53"/>
        <v>264414</v>
      </c>
    </row>
    <row r="49" spans="1:31" s="25" customFormat="1" ht="56.25">
      <c r="A49" s="53"/>
      <c r="B49" s="54">
        <v>75616</v>
      </c>
      <c r="C49" s="55"/>
      <c r="D49" s="58" t="s">
        <v>249</v>
      </c>
      <c r="E49" s="52">
        <f aca="true" t="shared" si="54" ref="E49:K49">SUM(E50:E58)</f>
        <v>4073240</v>
      </c>
      <c r="F49" s="52">
        <f t="shared" si="54"/>
        <v>0</v>
      </c>
      <c r="G49" s="52">
        <f t="shared" si="54"/>
        <v>4073240</v>
      </c>
      <c r="H49" s="52">
        <f t="shared" si="54"/>
        <v>0</v>
      </c>
      <c r="I49" s="52">
        <f t="shared" si="54"/>
        <v>4073240</v>
      </c>
      <c r="J49" s="52">
        <f t="shared" si="54"/>
        <v>0</v>
      </c>
      <c r="K49" s="52">
        <f t="shared" si="54"/>
        <v>4073240</v>
      </c>
      <c r="L49" s="52">
        <f aca="true" t="shared" si="55" ref="L49:Q49">SUM(L50:L58)</f>
        <v>14000</v>
      </c>
      <c r="M49" s="52">
        <f t="shared" si="55"/>
        <v>4087240</v>
      </c>
      <c r="N49" s="52">
        <f t="shared" si="55"/>
        <v>0</v>
      </c>
      <c r="O49" s="52">
        <f t="shared" si="55"/>
        <v>4087240</v>
      </c>
      <c r="P49" s="52">
        <f t="shared" si="55"/>
        <v>0</v>
      </c>
      <c r="Q49" s="52">
        <f t="shared" si="55"/>
        <v>4087240</v>
      </c>
      <c r="R49" s="52">
        <f aca="true" t="shared" si="56" ref="R49:W49">SUM(R50:R58)</f>
        <v>0</v>
      </c>
      <c r="S49" s="52">
        <f t="shared" si="56"/>
        <v>4087240</v>
      </c>
      <c r="T49" s="52">
        <f t="shared" si="56"/>
        <v>0</v>
      </c>
      <c r="U49" s="52">
        <f t="shared" si="56"/>
        <v>4087240</v>
      </c>
      <c r="V49" s="52">
        <f t="shared" si="56"/>
        <v>0</v>
      </c>
      <c r="W49" s="52">
        <f t="shared" si="56"/>
        <v>4087240</v>
      </c>
      <c r="X49" s="52">
        <f aca="true" t="shared" si="57" ref="X49:AC49">SUM(X50:X58)</f>
        <v>0</v>
      </c>
      <c r="Y49" s="52">
        <f t="shared" si="57"/>
        <v>4087240</v>
      </c>
      <c r="Z49" s="52">
        <f t="shared" si="57"/>
        <v>0</v>
      </c>
      <c r="AA49" s="52">
        <f t="shared" si="57"/>
        <v>4087240</v>
      </c>
      <c r="AB49" s="52">
        <f t="shared" si="57"/>
        <v>4400</v>
      </c>
      <c r="AC49" s="52">
        <f t="shared" si="57"/>
        <v>4091640</v>
      </c>
      <c r="AD49" s="52">
        <f>SUM(AD50:AD58)</f>
        <v>0</v>
      </c>
      <c r="AE49" s="52">
        <f>SUM(AE50:AE58)</f>
        <v>4091640</v>
      </c>
    </row>
    <row r="50" spans="1:31" s="25" customFormat="1" ht="21.75" customHeight="1">
      <c r="A50" s="53"/>
      <c r="B50" s="54"/>
      <c r="C50" s="55" t="s">
        <v>137</v>
      </c>
      <c r="D50" s="58" t="s">
        <v>30</v>
      </c>
      <c r="E50" s="52">
        <v>2447240</v>
      </c>
      <c r="F50" s="52"/>
      <c r="G50" s="110">
        <f t="shared" si="4"/>
        <v>2447240</v>
      </c>
      <c r="H50" s="52"/>
      <c r="I50" s="110">
        <f aca="true" t="shared" si="58" ref="I50:I58">SUM(G50:H50)</f>
        <v>2447240</v>
      </c>
      <c r="J50" s="52"/>
      <c r="K50" s="110">
        <f aca="true" t="shared" si="59" ref="K50:K58">SUM(I50:J50)</f>
        <v>2447240</v>
      </c>
      <c r="L50" s="52"/>
      <c r="M50" s="110">
        <f aca="true" t="shared" si="60" ref="M50:M58">SUM(K50:L50)</f>
        <v>2447240</v>
      </c>
      <c r="N50" s="52"/>
      <c r="O50" s="110">
        <f aca="true" t="shared" si="61" ref="O50:O58">SUM(M50:N50)</f>
        <v>2447240</v>
      </c>
      <c r="P50" s="52"/>
      <c r="Q50" s="110">
        <f aca="true" t="shared" si="62" ref="Q50:Q58">SUM(O50:P50)</f>
        <v>2447240</v>
      </c>
      <c r="R50" s="52"/>
      <c r="S50" s="110">
        <f aca="true" t="shared" si="63" ref="S50:S58">SUM(Q50:R50)</f>
        <v>2447240</v>
      </c>
      <c r="T50" s="52"/>
      <c r="U50" s="110">
        <f aca="true" t="shared" si="64" ref="U50:U58">SUM(S50:T50)</f>
        <v>2447240</v>
      </c>
      <c r="V50" s="52"/>
      <c r="W50" s="110">
        <f aca="true" t="shared" si="65" ref="W50:W58">SUM(U50:V50)</f>
        <v>2447240</v>
      </c>
      <c r="X50" s="52"/>
      <c r="Y50" s="110">
        <f aca="true" t="shared" si="66" ref="Y50:Y58">SUM(W50:X50)</f>
        <v>2447240</v>
      </c>
      <c r="Z50" s="52"/>
      <c r="AA50" s="110">
        <f aca="true" t="shared" si="67" ref="AA50:AA58">SUM(Y50:Z50)</f>
        <v>2447240</v>
      </c>
      <c r="AB50" s="52"/>
      <c r="AC50" s="110">
        <f aca="true" t="shared" si="68" ref="AC50:AC58">SUM(AA50:AB50)</f>
        <v>2447240</v>
      </c>
      <c r="AD50" s="52"/>
      <c r="AE50" s="110">
        <f aca="true" t="shared" si="69" ref="AE50:AE58">SUM(AC50:AD50)</f>
        <v>2447240</v>
      </c>
    </row>
    <row r="51" spans="1:31" s="25" customFormat="1" ht="21.75" customHeight="1">
      <c r="A51" s="53"/>
      <c r="B51" s="54"/>
      <c r="C51" s="55" t="s">
        <v>138</v>
      </c>
      <c r="D51" s="58" t="s">
        <v>31</v>
      </c>
      <c r="E51" s="52">
        <v>575000</v>
      </c>
      <c r="F51" s="52"/>
      <c r="G51" s="110">
        <f t="shared" si="4"/>
        <v>575000</v>
      </c>
      <c r="H51" s="52"/>
      <c r="I51" s="110">
        <f t="shared" si="58"/>
        <v>575000</v>
      </c>
      <c r="J51" s="52"/>
      <c r="K51" s="110">
        <f t="shared" si="59"/>
        <v>575000</v>
      </c>
      <c r="L51" s="52"/>
      <c r="M51" s="110">
        <f t="shared" si="60"/>
        <v>575000</v>
      </c>
      <c r="N51" s="52"/>
      <c r="O51" s="110">
        <f t="shared" si="61"/>
        <v>575000</v>
      </c>
      <c r="P51" s="52"/>
      <c r="Q51" s="110">
        <f t="shared" si="62"/>
        <v>575000</v>
      </c>
      <c r="R51" s="52"/>
      <c r="S51" s="110">
        <f t="shared" si="63"/>
        <v>575000</v>
      </c>
      <c r="T51" s="52"/>
      <c r="U51" s="110">
        <f t="shared" si="64"/>
        <v>575000</v>
      </c>
      <c r="V51" s="52"/>
      <c r="W51" s="110">
        <f t="shared" si="65"/>
        <v>575000</v>
      </c>
      <c r="X51" s="52"/>
      <c r="Y51" s="110">
        <f t="shared" si="66"/>
        <v>575000</v>
      </c>
      <c r="Z51" s="52"/>
      <c r="AA51" s="110">
        <f t="shared" si="67"/>
        <v>575000</v>
      </c>
      <c r="AB51" s="52"/>
      <c r="AC51" s="110">
        <f t="shared" si="68"/>
        <v>575000</v>
      </c>
      <c r="AD51" s="52"/>
      <c r="AE51" s="110">
        <f t="shared" si="69"/>
        <v>575000</v>
      </c>
    </row>
    <row r="52" spans="1:31" s="25" customFormat="1" ht="21.75" customHeight="1">
      <c r="A52" s="53"/>
      <c r="B52" s="54"/>
      <c r="C52" s="55" t="s">
        <v>139</v>
      </c>
      <c r="D52" s="58" t="s">
        <v>32</v>
      </c>
      <c r="E52" s="52">
        <v>9000</v>
      </c>
      <c r="F52" s="52"/>
      <c r="G52" s="110">
        <f t="shared" si="4"/>
        <v>9000</v>
      </c>
      <c r="H52" s="52"/>
      <c r="I52" s="110">
        <f t="shared" si="58"/>
        <v>9000</v>
      </c>
      <c r="J52" s="52"/>
      <c r="K52" s="110">
        <f t="shared" si="59"/>
        <v>9000</v>
      </c>
      <c r="L52" s="52"/>
      <c r="M52" s="110">
        <f t="shared" si="60"/>
        <v>9000</v>
      </c>
      <c r="N52" s="52"/>
      <c r="O52" s="110">
        <f t="shared" si="61"/>
        <v>9000</v>
      </c>
      <c r="P52" s="52"/>
      <c r="Q52" s="110">
        <f t="shared" si="62"/>
        <v>9000</v>
      </c>
      <c r="R52" s="52"/>
      <c r="S52" s="110">
        <f t="shared" si="63"/>
        <v>9000</v>
      </c>
      <c r="T52" s="52"/>
      <c r="U52" s="110">
        <f t="shared" si="64"/>
        <v>9000</v>
      </c>
      <c r="V52" s="52"/>
      <c r="W52" s="110">
        <f t="shared" si="65"/>
        <v>9000</v>
      </c>
      <c r="X52" s="52"/>
      <c r="Y52" s="110">
        <f t="shared" si="66"/>
        <v>9000</v>
      </c>
      <c r="Z52" s="52"/>
      <c r="AA52" s="110">
        <f t="shared" si="67"/>
        <v>9000</v>
      </c>
      <c r="AB52" s="52"/>
      <c r="AC52" s="110">
        <f t="shared" si="68"/>
        <v>9000</v>
      </c>
      <c r="AD52" s="52"/>
      <c r="AE52" s="110">
        <f t="shared" si="69"/>
        <v>9000</v>
      </c>
    </row>
    <row r="53" spans="1:31" s="25" customFormat="1" ht="21.75" customHeight="1">
      <c r="A53" s="53"/>
      <c r="B53" s="54"/>
      <c r="C53" s="55" t="s">
        <v>140</v>
      </c>
      <c r="D53" s="58" t="s">
        <v>33</v>
      </c>
      <c r="E53" s="52">
        <f>160000+60000</f>
        <v>220000</v>
      </c>
      <c r="F53" s="52"/>
      <c r="G53" s="110">
        <f t="shared" si="4"/>
        <v>220000</v>
      </c>
      <c r="H53" s="52"/>
      <c r="I53" s="110">
        <f t="shared" si="58"/>
        <v>220000</v>
      </c>
      <c r="J53" s="52"/>
      <c r="K53" s="110">
        <f t="shared" si="59"/>
        <v>220000</v>
      </c>
      <c r="L53" s="52"/>
      <c r="M53" s="110">
        <f t="shared" si="60"/>
        <v>220000</v>
      </c>
      <c r="N53" s="52"/>
      <c r="O53" s="110">
        <f t="shared" si="61"/>
        <v>220000</v>
      </c>
      <c r="P53" s="52"/>
      <c r="Q53" s="110">
        <f t="shared" si="62"/>
        <v>220000</v>
      </c>
      <c r="R53" s="52"/>
      <c r="S53" s="110">
        <f t="shared" si="63"/>
        <v>220000</v>
      </c>
      <c r="T53" s="52"/>
      <c r="U53" s="110">
        <f t="shared" si="64"/>
        <v>220000</v>
      </c>
      <c r="V53" s="52"/>
      <c r="W53" s="110">
        <f t="shared" si="65"/>
        <v>220000</v>
      </c>
      <c r="X53" s="52"/>
      <c r="Y53" s="110">
        <f t="shared" si="66"/>
        <v>220000</v>
      </c>
      <c r="Z53" s="52"/>
      <c r="AA53" s="110">
        <f t="shared" si="67"/>
        <v>220000</v>
      </c>
      <c r="AB53" s="52"/>
      <c r="AC53" s="110">
        <f t="shared" si="68"/>
        <v>220000</v>
      </c>
      <c r="AD53" s="52"/>
      <c r="AE53" s="110">
        <f t="shared" si="69"/>
        <v>220000</v>
      </c>
    </row>
    <row r="54" spans="1:31" s="25" customFormat="1" ht="21.75" customHeight="1">
      <c r="A54" s="53"/>
      <c r="B54" s="54"/>
      <c r="C54" s="55" t="s">
        <v>465</v>
      </c>
      <c r="D54" s="58" t="s">
        <v>466</v>
      </c>
      <c r="E54" s="52"/>
      <c r="F54" s="52"/>
      <c r="G54" s="110"/>
      <c r="H54" s="52"/>
      <c r="I54" s="110"/>
      <c r="J54" s="52"/>
      <c r="K54" s="110"/>
      <c r="L54" s="52"/>
      <c r="M54" s="110"/>
      <c r="N54" s="52"/>
      <c r="O54" s="110"/>
      <c r="P54" s="52"/>
      <c r="Q54" s="110"/>
      <c r="R54" s="52"/>
      <c r="S54" s="110"/>
      <c r="T54" s="52"/>
      <c r="U54" s="110"/>
      <c r="V54" s="52"/>
      <c r="W54" s="110"/>
      <c r="X54" s="52"/>
      <c r="Y54" s="110"/>
      <c r="Z54" s="52"/>
      <c r="AA54" s="110">
        <v>0</v>
      </c>
      <c r="AB54" s="52">
        <v>15000</v>
      </c>
      <c r="AC54" s="110">
        <f t="shared" si="68"/>
        <v>15000</v>
      </c>
      <c r="AD54" s="52"/>
      <c r="AE54" s="110">
        <f t="shared" si="69"/>
        <v>15000</v>
      </c>
    </row>
    <row r="55" spans="1:31" s="25" customFormat="1" ht="21.75" customHeight="1">
      <c r="A55" s="53"/>
      <c r="B55" s="54"/>
      <c r="C55" s="55" t="s">
        <v>239</v>
      </c>
      <c r="D55" s="58" t="s">
        <v>240</v>
      </c>
      <c r="E55" s="52">
        <v>2000</v>
      </c>
      <c r="F55" s="52"/>
      <c r="G55" s="110">
        <f t="shared" si="4"/>
        <v>2000</v>
      </c>
      <c r="H55" s="52"/>
      <c r="I55" s="110">
        <f t="shared" si="58"/>
        <v>2000</v>
      </c>
      <c r="J55" s="52"/>
      <c r="K55" s="110">
        <f t="shared" si="59"/>
        <v>2000</v>
      </c>
      <c r="L55" s="52"/>
      <c r="M55" s="110">
        <f t="shared" si="60"/>
        <v>2000</v>
      </c>
      <c r="N55" s="52"/>
      <c r="O55" s="110">
        <f t="shared" si="61"/>
        <v>2000</v>
      </c>
      <c r="P55" s="52"/>
      <c r="Q55" s="110">
        <f t="shared" si="62"/>
        <v>2000</v>
      </c>
      <c r="R55" s="52"/>
      <c r="S55" s="110">
        <f t="shared" si="63"/>
        <v>2000</v>
      </c>
      <c r="T55" s="52"/>
      <c r="U55" s="110">
        <f t="shared" si="64"/>
        <v>2000</v>
      </c>
      <c r="V55" s="52"/>
      <c r="W55" s="110">
        <f t="shared" si="65"/>
        <v>2000</v>
      </c>
      <c r="X55" s="52"/>
      <c r="Y55" s="110">
        <f t="shared" si="66"/>
        <v>2000</v>
      </c>
      <c r="Z55" s="52"/>
      <c r="AA55" s="110">
        <f t="shared" si="67"/>
        <v>2000</v>
      </c>
      <c r="AB55" s="52">
        <v>4000</v>
      </c>
      <c r="AC55" s="110">
        <f t="shared" si="68"/>
        <v>6000</v>
      </c>
      <c r="AD55" s="52"/>
      <c r="AE55" s="110">
        <f t="shared" si="69"/>
        <v>6000</v>
      </c>
    </row>
    <row r="56" spans="1:31" s="25" customFormat="1" ht="21.75" customHeight="1">
      <c r="A56" s="53"/>
      <c r="B56" s="54"/>
      <c r="C56" s="55" t="s">
        <v>141</v>
      </c>
      <c r="D56" s="58" t="s">
        <v>36</v>
      </c>
      <c r="E56" s="52">
        <v>70000</v>
      </c>
      <c r="F56" s="52"/>
      <c r="G56" s="110">
        <f t="shared" si="4"/>
        <v>70000</v>
      </c>
      <c r="H56" s="52"/>
      <c r="I56" s="110">
        <f t="shared" si="58"/>
        <v>70000</v>
      </c>
      <c r="J56" s="52"/>
      <c r="K56" s="110">
        <f t="shared" si="59"/>
        <v>70000</v>
      </c>
      <c r="L56" s="52"/>
      <c r="M56" s="110">
        <f t="shared" si="60"/>
        <v>70000</v>
      </c>
      <c r="N56" s="52"/>
      <c r="O56" s="110">
        <f t="shared" si="61"/>
        <v>70000</v>
      </c>
      <c r="P56" s="52"/>
      <c r="Q56" s="110">
        <f t="shared" si="62"/>
        <v>70000</v>
      </c>
      <c r="R56" s="52"/>
      <c r="S56" s="110">
        <f t="shared" si="63"/>
        <v>70000</v>
      </c>
      <c r="T56" s="52"/>
      <c r="U56" s="110">
        <f t="shared" si="64"/>
        <v>70000</v>
      </c>
      <c r="V56" s="52"/>
      <c r="W56" s="110">
        <f t="shared" si="65"/>
        <v>70000</v>
      </c>
      <c r="X56" s="52"/>
      <c r="Y56" s="110">
        <f t="shared" si="66"/>
        <v>70000</v>
      </c>
      <c r="Z56" s="52"/>
      <c r="AA56" s="110">
        <f t="shared" si="67"/>
        <v>70000</v>
      </c>
      <c r="AB56" s="52"/>
      <c r="AC56" s="110">
        <f t="shared" si="68"/>
        <v>70000</v>
      </c>
      <c r="AD56" s="52"/>
      <c r="AE56" s="110">
        <f t="shared" si="69"/>
        <v>70000</v>
      </c>
    </row>
    <row r="57" spans="1:31" s="25" customFormat="1" ht="21.75" customHeight="1">
      <c r="A57" s="53"/>
      <c r="B57" s="54"/>
      <c r="C57" s="55" t="s">
        <v>143</v>
      </c>
      <c r="D57" s="58" t="s">
        <v>37</v>
      </c>
      <c r="E57" s="52">
        <v>700000</v>
      </c>
      <c r="F57" s="52"/>
      <c r="G57" s="110">
        <f t="shared" si="4"/>
        <v>700000</v>
      </c>
      <c r="H57" s="52"/>
      <c r="I57" s="110">
        <f t="shared" si="58"/>
        <v>700000</v>
      </c>
      <c r="J57" s="52"/>
      <c r="K57" s="110">
        <f t="shared" si="59"/>
        <v>700000</v>
      </c>
      <c r="L57" s="52">
        <v>14000</v>
      </c>
      <c r="M57" s="110">
        <f t="shared" si="60"/>
        <v>714000</v>
      </c>
      <c r="N57" s="52"/>
      <c r="O57" s="110">
        <f t="shared" si="61"/>
        <v>714000</v>
      </c>
      <c r="P57" s="52"/>
      <c r="Q57" s="110">
        <f t="shared" si="62"/>
        <v>714000</v>
      </c>
      <c r="R57" s="52"/>
      <c r="S57" s="110">
        <f t="shared" si="63"/>
        <v>714000</v>
      </c>
      <c r="T57" s="52"/>
      <c r="U57" s="110">
        <f t="shared" si="64"/>
        <v>714000</v>
      </c>
      <c r="V57" s="52"/>
      <c r="W57" s="110">
        <f t="shared" si="65"/>
        <v>714000</v>
      </c>
      <c r="X57" s="52"/>
      <c r="Y57" s="110">
        <f t="shared" si="66"/>
        <v>714000</v>
      </c>
      <c r="Z57" s="52"/>
      <c r="AA57" s="110">
        <f t="shared" si="67"/>
        <v>714000</v>
      </c>
      <c r="AB57" s="52">
        <v>-14600</v>
      </c>
      <c r="AC57" s="110">
        <f t="shared" si="68"/>
        <v>699400</v>
      </c>
      <c r="AD57" s="52"/>
      <c r="AE57" s="110">
        <f t="shared" si="69"/>
        <v>699400</v>
      </c>
    </row>
    <row r="58" spans="1:31" s="25" customFormat="1" ht="24" customHeight="1">
      <c r="A58" s="53"/>
      <c r="B58" s="54"/>
      <c r="C58" s="55" t="s">
        <v>136</v>
      </c>
      <c r="D58" s="58" t="s">
        <v>165</v>
      </c>
      <c r="E58" s="52">
        <v>50000</v>
      </c>
      <c r="F58" s="52"/>
      <c r="G58" s="110">
        <f t="shared" si="4"/>
        <v>50000</v>
      </c>
      <c r="H58" s="52"/>
      <c r="I58" s="110">
        <f t="shared" si="58"/>
        <v>50000</v>
      </c>
      <c r="J58" s="52"/>
      <c r="K58" s="110">
        <f t="shared" si="59"/>
        <v>50000</v>
      </c>
      <c r="L58" s="52"/>
      <c r="M58" s="110">
        <f t="shared" si="60"/>
        <v>50000</v>
      </c>
      <c r="N58" s="52"/>
      <c r="O58" s="110">
        <f t="shared" si="61"/>
        <v>50000</v>
      </c>
      <c r="P58" s="52"/>
      <c r="Q58" s="110">
        <f t="shared" si="62"/>
        <v>50000</v>
      </c>
      <c r="R58" s="52"/>
      <c r="S58" s="110">
        <f t="shared" si="63"/>
        <v>50000</v>
      </c>
      <c r="T58" s="52"/>
      <c r="U58" s="110">
        <f t="shared" si="64"/>
        <v>50000</v>
      </c>
      <c r="V58" s="52"/>
      <c r="W58" s="110">
        <f t="shared" si="65"/>
        <v>50000</v>
      </c>
      <c r="X58" s="52"/>
      <c r="Y58" s="110">
        <f t="shared" si="66"/>
        <v>50000</v>
      </c>
      <c r="Z58" s="52"/>
      <c r="AA58" s="110">
        <f t="shared" si="67"/>
        <v>50000</v>
      </c>
      <c r="AB58" s="52"/>
      <c r="AC58" s="110">
        <f t="shared" si="68"/>
        <v>50000</v>
      </c>
      <c r="AD58" s="52"/>
      <c r="AE58" s="110">
        <f t="shared" si="69"/>
        <v>50000</v>
      </c>
    </row>
    <row r="59" spans="1:31" s="25" customFormat="1" ht="33.75">
      <c r="A59" s="53"/>
      <c r="B59" s="54" t="s">
        <v>38</v>
      </c>
      <c r="C59" s="61"/>
      <c r="D59" s="58" t="s">
        <v>39</v>
      </c>
      <c r="E59" s="52">
        <f aca="true" t="shared" si="70" ref="E59:K59">SUM(E60:E63)</f>
        <v>670000</v>
      </c>
      <c r="F59" s="52">
        <f t="shared" si="70"/>
        <v>0</v>
      </c>
      <c r="G59" s="52">
        <f t="shared" si="70"/>
        <v>670000</v>
      </c>
      <c r="H59" s="52">
        <f t="shared" si="70"/>
        <v>0</v>
      </c>
      <c r="I59" s="52">
        <f t="shared" si="70"/>
        <v>670000</v>
      </c>
      <c r="J59" s="52">
        <f t="shared" si="70"/>
        <v>0</v>
      </c>
      <c r="K59" s="52">
        <f t="shared" si="70"/>
        <v>670000</v>
      </c>
      <c r="L59" s="52">
        <f aca="true" t="shared" si="71" ref="L59:Q59">SUM(L60:L63)</f>
        <v>0</v>
      </c>
      <c r="M59" s="52">
        <f t="shared" si="71"/>
        <v>670000</v>
      </c>
      <c r="N59" s="52">
        <f t="shared" si="71"/>
        <v>0</v>
      </c>
      <c r="O59" s="52">
        <f t="shared" si="71"/>
        <v>670000</v>
      </c>
      <c r="P59" s="52">
        <f t="shared" si="71"/>
        <v>0</v>
      </c>
      <c r="Q59" s="52">
        <f t="shared" si="71"/>
        <v>670000</v>
      </c>
      <c r="R59" s="52">
        <f aca="true" t="shared" si="72" ref="R59:W59">SUM(R60:R63)</f>
        <v>0</v>
      </c>
      <c r="S59" s="52">
        <f t="shared" si="72"/>
        <v>670000</v>
      </c>
      <c r="T59" s="52">
        <f t="shared" si="72"/>
        <v>0</v>
      </c>
      <c r="U59" s="52">
        <f t="shared" si="72"/>
        <v>670000</v>
      </c>
      <c r="V59" s="52">
        <f t="shared" si="72"/>
        <v>0</v>
      </c>
      <c r="W59" s="52">
        <f t="shared" si="72"/>
        <v>670000</v>
      </c>
      <c r="X59" s="52">
        <f aca="true" t="shared" si="73" ref="X59:AC59">SUM(X60:X63)</f>
        <v>0</v>
      </c>
      <c r="Y59" s="52">
        <f t="shared" si="73"/>
        <v>670000</v>
      </c>
      <c r="Z59" s="52">
        <f t="shared" si="73"/>
        <v>0</v>
      </c>
      <c r="AA59" s="52">
        <f t="shared" si="73"/>
        <v>670000</v>
      </c>
      <c r="AB59" s="52">
        <f t="shared" si="73"/>
        <v>0</v>
      </c>
      <c r="AC59" s="52">
        <f t="shared" si="73"/>
        <v>670000</v>
      </c>
      <c r="AD59" s="52">
        <f>SUM(AD60:AD63)</f>
        <v>0</v>
      </c>
      <c r="AE59" s="52">
        <f>SUM(AE60:AE63)</f>
        <v>670000</v>
      </c>
    </row>
    <row r="60" spans="1:31" s="25" customFormat="1" ht="21.75" customHeight="1">
      <c r="A60" s="53"/>
      <c r="B60" s="54"/>
      <c r="C60" s="55" t="s">
        <v>144</v>
      </c>
      <c r="D60" s="58" t="s">
        <v>40</v>
      </c>
      <c r="E60" s="52">
        <v>120000</v>
      </c>
      <c r="F60" s="52"/>
      <c r="G60" s="110">
        <f t="shared" si="4"/>
        <v>120000</v>
      </c>
      <c r="H60" s="52"/>
      <c r="I60" s="110">
        <f>SUM(G60:H60)</f>
        <v>120000</v>
      </c>
      <c r="J60" s="52"/>
      <c r="K60" s="110">
        <f>SUM(I60:J60)</f>
        <v>120000</v>
      </c>
      <c r="L60" s="52"/>
      <c r="M60" s="110">
        <f>SUM(K60:L60)</f>
        <v>120000</v>
      </c>
      <c r="N60" s="52"/>
      <c r="O60" s="110">
        <f>SUM(M60:N60)</f>
        <v>120000</v>
      </c>
      <c r="P60" s="52"/>
      <c r="Q60" s="110">
        <f>SUM(O60:P60)</f>
        <v>120000</v>
      </c>
      <c r="R60" s="52"/>
      <c r="S60" s="110">
        <f>SUM(Q60:R60)</f>
        <v>120000</v>
      </c>
      <c r="T60" s="52"/>
      <c r="U60" s="110">
        <f>SUM(S60:T60)</f>
        <v>120000</v>
      </c>
      <c r="V60" s="52"/>
      <c r="W60" s="110">
        <f>SUM(U60:V60)</f>
        <v>120000</v>
      </c>
      <c r="X60" s="52"/>
      <c r="Y60" s="110">
        <f>SUM(W60:X60)</f>
        <v>120000</v>
      </c>
      <c r="Z60" s="52"/>
      <c r="AA60" s="110">
        <f>SUM(Y60:Z60)</f>
        <v>120000</v>
      </c>
      <c r="AB60" s="52"/>
      <c r="AC60" s="110">
        <f>SUM(AA60:AB60)</f>
        <v>120000</v>
      </c>
      <c r="AD60" s="52"/>
      <c r="AE60" s="110">
        <f>SUM(AC60:AD60)</f>
        <v>120000</v>
      </c>
    </row>
    <row r="61" spans="1:31" s="25" customFormat="1" ht="21.75" customHeight="1">
      <c r="A61" s="53"/>
      <c r="B61" s="54"/>
      <c r="C61" s="55" t="s">
        <v>142</v>
      </c>
      <c r="D61" s="58" t="s">
        <v>34</v>
      </c>
      <c r="E61" s="52">
        <v>20000</v>
      </c>
      <c r="F61" s="52"/>
      <c r="G61" s="110">
        <f t="shared" si="4"/>
        <v>20000</v>
      </c>
      <c r="H61" s="52"/>
      <c r="I61" s="110">
        <f>SUM(G61:H61)</f>
        <v>20000</v>
      </c>
      <c r="J61" s="52"/>
      <c r="K61" s="110">
        <f>SUM(I61:J61)</f>
        <v>20000</v>
      </c>
      <c r="L61" s="52"/>
      <c r="M61" s="110">
        <f>SUM(K61:L61)</f>
        <v>20000</v>
      </c>
      <c r="N61" s="52"/>
      <c r="O61" s="110">
        <f>SUM(M61:N61)</f>
        <v>20000</v>
      </c>
      <c r="P61" s="52"/>
      <c r="Q61" s="110">
        <f>SUM(O61:P61)</f>
        <v>20000</v>
      </c>
      <c r="R61" s="52"/>
      <c r="S61" s="110">
        <f>SUM(Q61:R61)</f>
        <v>20000</v>
      </c>
      <c r="T61" s="52"/>
      <c r="U61" s="110">
        <f>SUM(S61:T61)</f>
        <v>20000</v>
      </c>
      <c r="V61" s="52"/>
      <c r="W61" s="110">
        <f>SUM(U61:V61)</f>
        <v>20000</v>
      </c>
      <c r="X61" s="52"/>
      <c r="Y61" s="110">
        <f>SUM(W61:X61)</f>
        <v>20000</v>
      </c>
      <c r="Z61" s="52"/>
      <c r="AA61" s="110">
        <f>SUM(Y61:Z61)</f>
        <v>20000</v>
      </c>
      <c r="AB61" s="52"/>
      <c r="AC61" s="110">
        <f>SUM(AA61:AB61)</f>
        <v>20000</v>
      </c>
      <c r="AD61" s="52"/>
      <c r="AE61" s="110">
        <f>SUM(AC61:AD61)</f>
        <v>20000</v>
      </c>
    </row>
    <row r="62" spans="1:31" s="25" customFormat="1" ht="24" customHeight="1">
      <c r="A62" s="53"/>
      <c r="B62" s="54"/>
      <c r="C62" s="55" t="s">
        <v>148</v>
      </c>
      <c r="D62" s="58" t="s">
        <v>180</v>
      </c>
      <c r="E62" s="52">
        <v>330000</v>
      </c>
      <c r="F62" s="52"/>
      <c r="G62" s="110">
        <f t="shared" si="4"/>
        <v>330000</v>
      </c>
      <c r="H62" s="52"/>
      <c r="I62" s="110">
        <f>SUM(G62:H62)</f>
        <v>330000</v>
      </c>
      <c r="J62" s="52"/>
      <c r="K62" s="110">
        <f>SUM(I62:J62)</f>
        <v>330000</v>
      </c>
      <c r="L62" s="52"/>
      <c r="M62" s="110">
        <f>SUM(K62:L62)</f>
        <v>330000</v>
      </c>
      <c r="N62" s="52"/>
      <c r="O62" s="110">
        <f>SUM(M62:N62)</f>
        <v>330000</v>
      </c>
      <c r="P62" s="52"/>
      <c r="Q62" s="110">
        <f>SUM(O62:P62)</f>
        <v>330000</v>
      </c>
      <c r="R62" s="52"/>
      <c r="S62" s="110">
        <f>SUM(Q62:R62)</f>
        <v>330000</v>
      </c>
      <c r="T62" s="52"/>
      <c r="U62" s="110">
        <f>SUM(S62:T62)</f>
        <v>330000</v>
      </c>
      <c r="V62" s="52"/>
      <c r="W62" s="110">
        <f>SUM(U62:V62)</f>
        <v>330000</v>
      </c>
      <c r="X62" s="52"/>
      <c r="Y62" s="110">
        <f>SUM(W62:X62)</f>
        <v>330000</v>
      </c>
      <c r="Z62" s="52"/>
      <c r="AA62" s="110">
        <f>SUM(Y62:Z62)</f>
        <v>330000</v>
      </c>
      <c r="AB62" s="52"/>
      <c r="AC62" s="110">
        <f>SUM(AA62:AB62)</f>
        <v>330000</v>
      </c>
      <c r="AD62" s="52"/>
      <c r="AE62" s="110">
        <f>SUM(AC62:AD62)</f>
        <v>330000</v>
      </c>
    </row>
    <row r="63" spans="1:31" s="25" customFormat="1" ht="45">
      <c r="A63" s="53"/>
      <c r="B63" s="54"/>
      <c r="C63" s="55" t="s">
        <v>129</v>
      </c>
      <c r="D63" s="58" t="s">
        <v>7</v>
      </c>
      <c r="E63" s="52">
        <f>170000+30000</f>
        <v>200000</v>
      </c>
      <c r="F63" s="52"/>
      <c r="G63" s="110">
        <f t="shared" si="4"/>
        <v>200000</v>
      </c>
      <c r="H63" s="52"/>
      <c r="I63" s="110">
        <f>SUM(G63:H63)</f>
        <v>200000</v>
      </c>
      <c r="J63" s="52"/>
      <c r="K63" s="110">
        <f>SUM(I63:J63)</f>
        <v>200000</v>
      </c>
      <c r="L63" s="52"/>
      <c r="M63" s="110">
        <f>SUM(K63:L63)</f>
        <v>200000</v>
      </c>
      <c r="N63" s="52"/>
      <c r="O63" s="110">
        <f>SUM(M63:N63)</f>
        <v>200000</v>
      </c>
      <c r="P63" s="52"/>
      <c r="Q63" s="110">
        <f>SUM(O63:P63)</f>
        <v>200000</v>
      </c>
      <c r="R63" s="52"/>
      <c r="S63" s="110">
        <f>SUM(Q63:R63)</f>
        <v>200000</v>
      </c>
      <c r="T63" s="52"/>
      <c r="U63" s="110">
        <f>SUM(S63:T63)</f>
        <v>200000</v>
      </c>
      <c r="V63" s="52"/>
      <c r="W63" s="110">
        <f>SUM(U63:V63)</f>
        <v>200000</v>
      </c>
      <c r="X63" s="52"/>
      <c r="Y63" s="110">
        <f>SUM(W63:X63)</f>
        <v>200000</v>
      </c>
      <c r="Z63" s="52"/>
      <c r="AA63" s="110">
        <f>SUM(Y63:Z63)</f>
        <v>200000</v>
      </c>
      <c r="AB63" s="52"/>
      <c r="AC63" s="110">
        <f>SUM(AA63:AB63)</f>
        <v>200000</v>
      </c>
      <c r="AD63" s="52"/>
      <c r="AE63" s="110">
        <f>SUM(AC63:AD63)</f>
        <v>200000</v>
      </c>
    </row>
    <row r="64" spans="1:31" s="25" customFormat="1" ht="24" customHeight="1">
      <c r="A64" s="53"/>
      <c r="B64" s="54" t="s">
        <v>41</v>
      </c>
      <c r="C64" s="61"/>
      <c r="D64" s="58" t="s">
        <v>42</v>
      </c>
      <c r="E64" s="52">
        <f aca="true" t="shared" si="74" ref="E64:K64">SUM(E65:E66)</f>
        <v>11030735</v>
      </c>
      <c r="F64" s="52">
        <f t="shared" si="74"/>
        <v>0</v>
      </c>
      <c r="G64" s="52">
        <f t="shared" si="74"/>
        <v>11030735</v>
      </c>
      <c r="H64" s="52">
        <f t="shared" si="74"/>
        <v>0</v>
      </c>
      <c r="I64" s="52">
        <f t="shared" si="74"/>
        <v>11030735</v>
      </c>
      <c r="J64" s="52">
        <f t="shared" si="74"/>
        <v>-329</v>
      </c>
      <c r="K64" s="52">
        <f t="shared" si="74"/>
        <v>11030406</v>
      </c>
      <c r="L64" s="52">
        <f aca="true" t="shared" si="75" ref="L64:Q64">SUM(L65:L66)</f>
        <v>0</v>
      </c>
      <c r="M64" s="52">
        <f t="shared" si="75"/>
        <v>11030406</v>
      </c>
      <c r="N64" s="52">
        <f t="shared" si="75"/>
        <v>0</v>
      </c>
      <c r="O64" s="52">
        <f t="shared" si="75"/>
        <v>11030406</v>
      </c>
      <c r="P64" s="52">
        <f t="shared" si="75"/>
        <v>0</v>
      </c>
      <c r="Q64" s="52">
        <f t="shared" si="75"/>
        <v>11030406</v>
      </c>
      <c r="R64" s="52">
        <f aca="true" t="shared" si="76" ref="R64:W64">SUM(R65:R66)</f>
        <v>0</v>
      </c>
      <c r="S64" s="52">
        <f t="shared" si="76"/>
        <v>11030406</v>
      </c>
      <c r="T64" s="52">
        <f t="shared" si="76"/>
        <v>0</v>
      </c>
      <c r="U64" s="52">
        <f t="shared" si="76"/>
        <v>11030406</v>
      </c>
      <c r="V64" s="52">
        <f t="shared" si="76"/>
        <v>0</v>
      </c>
      <c r="W64" s="52">
        <f t="shared" si="76"/>
        <v>11030406</v>
      </c>
      <c r="X64" s="52">
        <f aca="true" t="shared" si="77" ref="X64:AC64">SUM(X65:X66)</f>
        <v>0</v>
      </c>
      <c r="Y64" s="52">
        <f t="shared" si="77"/>
        <v>11030406</v>
      </c>
      <c r="Z64" s="52">
        <f t="shared" si="77"/>
        <v>0</v>
      </c>
      <c r="AA64" s="52">
        <f t="shared" si="77"/>
        <v>11030406</v>
      </c>
      <c r="AB64" s="52">
        <f t="shared" si="77"/>
        <v>0</v>
      </c>
      <c r="AC64" s="52">
        <f t="shared" si="77"/>
        <v>11030406</v>
      </c>
      <c r="AD64" s="52">
        <f>SUM(AD65:AD66)</f>
        <v>0</v>
      </c>
      <c r="AE64" s="52">
        <f>SUM(AE65:AE66)</f>
        <v>11030406</v>
      </c>
    </row>
    <row r="65" spans="1:31" s="25" customFormat="1" ht="21.75" customHeight="1">
      <c r="A65" s="53"/>
      <c r="B65" s="54"/>
      <c r="C65" s="55" t="s">
        <v>145</v>
      </c>
      <c r="D65" s="58" t="s">
        <v>43</v>
      </c>
      <c r="E65" s="52">
        <v>10030735</v>
      </c>
      <c r="F65" s="52"/>
      <c r="G65" s="110">
        <f t="shared" si="4"/>
        <v>10030735</v>
      </c>
      <c r="H65" s="52"/>
      <c r="I65" s="110">
        <f>SUM(G65:H65)</f>
        <v>10030735</v>
      </c>
      <c r="J65" s="52">
        <v>-329</v>
      </c>
      <c r="K65" s="110">
        <f>SUM(I65:J65)</f>
        <v>10030406</v>
      </c>
      <c r="L65" s="52"/>
      <c r="M65" s="110">
        <f>SUM(K65:L65)</f>
        <v>10030406</v>
      </c>
      <c r="N65" s="52"/>
      <c r="O65" s="110">
        <f>SUM(M65:N65)</f>
        <v>10030406</v>
      </c>
      <c r="P65" s="52"/>
      <c r="Q65" s="110">
        <f>SUM(O65:P65)</f>
        <v>10030406</v>
      </c>
      <c r="R65" s="52"/>
      <c r="S65" s="110">
        <f>SUM(Q65:R65)</f>
        <v>10030406</v>
      </c>
      <c r="T65" s="52"/>
      <c r="U65" s="110">
        <f>SUM(S65:T65)</f>
        <v>10030406</v>
      </c>
      <c r="V65" s="52"/>
      <c r="W65" s="110">
        <f>SUM(U65:V65)</f>
        <v>10030406</v>
      </c>
      <c r="X65" s="52"/>
      <c r="Y65" s="110">
        <f>SUM(W65:X65)</f>
        <v>10030406</v>
      </c>
      <c r="Z65" s="52"/>
      <c r="AA65" s="110">
        <f>SUM(Y65:Z65)</f>
        <v>10030406</v>
      </c>
      <c r="AB65" s="52"/>
      <c r="AC65" s="110">
        <f>SUM(AA65:AB65)</f>
        <v>10030406</v>
      </c>
      <c r="AD65" s="52"/>
      <c r="AE65" s="110">
        <f>SUM(AC65:AD65)</f>
        <v>10030406</v>
      </c>
    </row>
    <row r="66" spans="1:31" s="25" customFormat="1" ht="21.75" customHeight="1">
      <c r="A66" s="53"/>
      <c r="B66" s="54"/>
      <c r="C66" s="55" t="s">
        <v>146</v>
      </c>
      <c r="D66" s="58" t="s">
        <v>44</v>
      </c>
      <c r="E66" s="52">
        <v>1000000</v>
      </c>
      <c r="F66" s="52"/>
      <c r="G66" s="110">
        <f t="shared" si="4"/>
        <v>1000000</v>
      </c>
      <c r="H66" s="52"/>
      <c r="I66" s="110">
        <f>SUM(G66:H66)</f>
        <v>1000000</v>
      </c>
      <c r="J66" s="52"/>
      <c r="K66" s="110">
        <f>SUM(I66:J66)</f>
        <v>1000000</v>
      </c>
      <c r="L66" s="52"/>
      <c r="M66" s="110">
        <f>SUM(K66:L66)</f>
        <v>1000000</v>
      </c>
      <c r="N66" s="52"/>
      <c r="O66" s="110">
        <f>SUM(M66:N66)</f>
        <v>1000000</v>
      </c>
      <c r="P66" s="52"/>
      <c r="Q66" s="110">
        <f>SUM(O66:P66)</f>
        <v>1000000</v>
      </c>
      <c r="R66" s="52"/>
      <c r="S66" s="110">
        <f>SUM(Q66:R66)</f>
        <v>1000000</v>
      </c>
      <c r="T66" s="52"/>
      <c r="U66" s="110">
        <f>SUM(S66:T66)</f>
        <v>1000000</v>
      </c>
      <c r="V66" s="52"/>
      <c r="W66" s="110">
        <f>SUM(U66:V66)</f>
        <v>1000000</v>
      </c>
      <c r="X66" s="52"/>
      <c r="Y66" s="110">
        <f>SUM(W66:X66)</f>
        <v>1000000</v>
      </c>
      <c r="Z66" s="52"/>
      <c r="AA66" s="110">
        <f>SUM(Y66:Z66)</f>
        <v>1000000</v>
      </c>
      <c r="AB66" s="52"/>
      <c r="AC66" s="110">
        <f>SUM(AA66:AB66)</f>
        <v>1000000</v>
      </c>
      <c r="AD66" s="52"/>
      <c r="AE66" s="110">
        <f>SUM(AC66:AD66)</f>
        <v>1000000</v>
      </c>
    </row>
    <row r="67" spans="1:31" s="6" customFormat="1" ht="24" customHeight="1">
      <c r="A67" s="28" t="s">
        <v>45</v>
      </c>
      <c r="B67" s="2"/>
      <c r="C67" s="3"/>
      <c r="D67" s="29" t="s">
        <v>46</v>
      </c>
      <c r="E67" s="47">
        <f>SUM(E68,E70,E72,E74)</f>
        <v>19119259</v>
      </c>
      <c r="F67" s="47">
        <f>SUM(F68,F70,F72,F74)</f>
        <v>0</v>
      </c>
      <c r="G67" s="19">
        <f t="shared" si="4"/>
        <v>19119259</v>
      </c>
      <c r="H67" s="47">
        <f>SUM(H68,H70,H72,H74)</f>
        <v>0</v>
      </c>
      <c r="I67" s="19">
        <f>SUM(G67:H67)</f>
        <v>19119259</v>
      </c>
      <c r="J67" s="47">
        <f>SUM(J68,J70,J72,J74)</f>
        <v>-175597</v>
      </c>
      <c r="K67" s="19">
        <f>SUM(I67:J67)</f>
        <v>18943662</v>
      </c>
      <c r="L67" s="47">
        <f>SUM(L68,L70,L72,L74)</f>
        <v>0</v>
      </c>
      <c r="M67" s="19">
        <f>SUM(K67:L67)</f>
        <v>18943662</v>
      </c>
      <c r="N67" s="47">
        <f>SUM(N68,N70,N72,N74)</f>
        <v>0</v>
      </c>
      <c r="O67" s="19">
        <f>SUM(M67:N67)</f>
        <v>18943662</v>
      </c>
      <c r="P67" s="47">
        <f>SUM(P68,P70,P72,P74)</f>
        <v>0</v>
      </c>
      <c r="Q67" s="19">
        <f>SUM(O67:P67)</f>
        <v>18943662</v>
      </c>
      <c r="R67" s="47">
        <f>SUM(R68,R70,R72,R74)</f>
        <v>0</v>
      </c>
      <c r="S67" s="19">
        <f>SUM(Q67:R67)</f>
        <v>18943662</v>
      </c>
      <c r="T67" s="47">
        <f>SUM(T68,T70,T72,T74)</f>
        <v>0</v>
      </c>
      <c r="U67" s="19">
        <f>SUM(S67:T67)</f>
        <v>18943662</v>
      </c>
      <c r="V67" s="47">
        <f>SUM(V68,V70,V72,V74)</f>
        <v>0</v>
      </c>
      <c r="W67" s="19">
        <f>SUM(U67:V67)</f>
        <v>18943662</v>
      </c>
      <c r="X67" s="47">
        <f>SUM(X68,X70,X72,X74)</f>
        <v>0</v>
      </c>
      <c r="Y67" s="19">
        <f>SUM(W67:X67)</f>
        <v>18943662</v>
      </c>
      <c r="Z67" s="47">
        <f>SUM(Z68,Z70,Z72,Z74)</f>
        <v>0</v>
      </c>
      <c r="AA67" s="19">
        <f>SUM(Y67:Z67)</f>
        <v>18943662</v>
      </c>
      <c r="AB67" s="47">
        <f>SUM(AB68,AB70,AB72,AB74)</f>
        <v>0</v>
      </c>
      <c r="AC67" s="19">
        <f>SUM(AA67:AB67)</f>
        <v>18943662</v>
      </c>
      <c r="AD67" s="47">
        <f>SUM(AD68,AD70,AD72,AD74)</f>
        <v>0</v>
      </c>
      <c r="AE67" s="19">
        <f>SUM(AC67:AD67)</f>
        <v>18943662</v>
      </c>
    </row>
    <row r="68" spans="1:31" s="25" customFormat="1" ht="24" customHeight="1">
      <c r="A68" s="53"/>
      <c r="B68" s="54" t="s">
        <v>47</v>
      </c>
      <c r="C68" s="61"/>
      <c r="D68" s="58" t="s">
        <v>48</v>
      </c>
      <c r="E68" s="52">
        <f aca="true" t="shared" si="78" ref="E68:AE68">SUM(E69)</f>
        <v>14073448</v>
      </c>
      <c r="F68" s="52">
        <f t="shared" si="78"/>
        <v>0</v>
      </c>
      <c r="G68" s="52">
        <f t="shared" si="78"/>
        <v>14073448</v>
      </c>
      <c r="H68" s="52">
        <f t="shared" si="78"/>
        <v>0</v>
      </c>
      <c r="I68" s="52">
        <f t="shared" si="78"/>
        <v>14073448</v>
      </c>
      <c r="J68" s="52">
        <f t="shared" si="78"/>
        <v>-175597</v>
      </c>
      <c r="K68" s="52">
        <f t="shared" si="78"/>
        <v>13897851</v>
      </c>
      <c r="L68" s="52">
        <f t="shared" si="78"/>
        <v>0</v>
      </c>
      <c r="M68" s="52">
        <f t="shared" si="78"/>
        <v>13897851</v>
      </c>
      <c r="N68" s="52">
        <f t="shared" si="78"/>
        <v>0</v>
      </c>
      <c r="O68" s="52">
        <f t="shared" si="78"/>
        <v>13897851</v>
      </c>
      <c r="P68" s="52">
        <f t="shared" si="78"/>
        <v>0</v>
      </c>
      <c r="Q68" s="52">
        <f t="shared" si="78"/>
        <v>13897851</v>
      </c>
      <c r="R68" s="52">
        <f t="shared" si="78"/>
        <v>0</v>
      </c>
      <c r="S68" s="52">
        <f t="shared" si="78"/>
        <v>13897851</v>
      </c>
      <c r="T68" s="52">
        <f t="shared" si="78"/>
        <v>0</v>
      </c>
      <c r="U68" s="52">
        <f t="shared" si="78"/>
        <v>13897851</v>
      </c>
      <c r="V68" s="52">
        <f t="shared" si="78"/>
        <v>0</v>
      </c>
      <c r="W68" s="52">
        <f t="shared" si="78"/>
        <v>13897851</v>
      </c>
      <c r="X68" s="52">
        <f t="shared" si="78"/>
        <v>0</v>
      </c>
      <c r="Y68" s="52">
        <f t="shared" si="78"/>
        <v>13897851</v>
      </c>
      <c r="Z68" s="52">
        <f t="shared" si="78"/>
        <v>0</v>
      </c>
      <c r="AA68" s="52">
        <f t="shared" si="78"/>
        <v>13897851</v>
      </c>
      <c r="AB68" s="52">
        <f t="shared" si="78"/>
        <v>0</v>
      </c>
      <c r="AC68" s="52">
        <f t="shared" si="78"/>
        <v>13897851</v>
      </c>
      <c r="AD68" s="52">
        <f t="shared" si="78"/>
        <v>0</v>
      </c>
      <c r="AE68" s="52">
        <f t="shared" si="78"/>
        <v>13897851</v>
      </c>
    </row>
    <row r="69" spans="1:31" s="25" customFormat="1" ht="21.75" customHeight="1">
      <c r="A69" s="53"/>
      <c r="B69" s="54"/>
      <c r="C69" s="55">
        <v>2920</v>
      </c>
      <c r="D69" s="58" t="s">
        <v>49</v>
      </c>
      <c r="E69" s="52">
        <v>14073448</v>
      </c>
      <c r="F69" s="52"/>
      <c r="G69" s="110">
        <f t="shared" si="4"/>
        <v>14073448</v>
      </c>
      <c r="H69" s="52"/>
      <c r="I69" s="110">
        <f>SUM(G69:H69)</f>
        <v>14073448</v>
      </c>
      <c r="J69" s="52">
        <v>-175597</v>
      </c>
      <c r="K69" s="110">
        <f>SUM(I69:J69)</f>
        <v>13897851</v>
      </c>
      <c r="L69" s="52"/>
      <c r="M69" s="110">
        <f>SUM(K69:L69)</f>
        <v>13897851</v>
      </c>
      <c r="N69" s="52"/>
      <c r="O69" s="110">
        <f>SUM(M69:N69)</f>
        <v>13897851</v>
      </c>
      <c r="P69" s="52"/>
      <c r="Q69" s="110">
        <f>SUM(O69:P69)</f>
        <v>13897851</v>
      </c>
      <c r="R69" s="52"/>
      <c r="S69" s="110">
        <f>SUM(Q69:R69)</f>
        <v>13897851</v>
      </c>
      <c r="T69" s="52"/>
      <c r="U69" s="110">
        <f>SUM(S69:T69)</f>
        <v>13897851</v>
      </c>
      <c r="V69" s="52"/>
      <c r="W69" s="110">
        <f>SUM(U69:V69)</f>
        <v>13897851</v>
      </c>
      <c r="X69" s="52"/>
      <c r="Y69" s="110">
        <f>SUM(W69:X69)</f>
        <v>13897851</v>
      </c>
      <c r="Z69" s="52"/>
      <c r="AA69" s="110">
        <f>SUM(Y69:Z69)</f>
        <v>13897851</v>
      </c>
      <c r="AB69" s="52"/>
      <c r="AC69" s="110">
        <f>SUM(AA69:AB69)</f>
        <v>13897851</v>
      </c>
      <c r="AD69" s="52"/>
      <c r="AE69" s="110">
        <f>SUM(AC69:AD69)</f>
        <v>13897851</v>
      </c>
    </row>
    <row r="70" spans="1:31" s="25" customFormat="1" ht="21.75" customHeight="1">
      <c r="A70" s="53"/>
      <c r="B70" s="54" t="s">
        <v>155</v>
      </c>
      <c r="C70" s="61"/>
      <c r="D70" s="58" t="s">
        <v>154</v>
      </c>
      <c r="E70" s="52">
        <f aca="true" t="shared" si="79" ref="E70:AE70">SUM(E71)</f>
        <v>4225670</v>
      </c>
      <c r="F70" s="52">
        <f t="shared" si="79"/>
        <v>0</v>
      </c>
      <c r="G70" s="52">
        <f t="shared" si="79"/>
        <v>4225670</v>
      </c>
      <c r="H70" s="52">
        <f t="shared" si="79"/>
        <v>0</v>
      </c>
      <c r="I70" s="52">
        <f t="shared" si="79"/>
        <v>4225670</v>
      </c>
      <c r="J70" s="52">
        <f t="shared" si="79"/>
        <v>0</v>
      </c>
      <c r="K70" s="52">
        <f t="shared" si="79"/>
        <v>4225670</v>
      </c>
      <c r="L70" s="52">
        <f t="shared" si="79"/>
        <v>0</v>
      </c>
      <c r="M70" s="52">
        <f t="shared" si="79"/>
        <v>4225670</v>
      </c>
      <c r="N70" s="52">
        <f t="shared" si="79"/>
        <v>0</v>
      </c>
      <c r="O70" s="52">
        <f t="shared" si="79"/>
        <v>4225670</v>
      </c>
      <c r="P70" s="52">
        <f t="shared" si="79"/>
        <v>0</v>
      </c>
      <c r="Q70" s="52">
        <f t="shared" si="79"/>
        <v>4225670</v>
      </c>
      <c r="R70" s="52">
        <f t="shared" si="79"/>
        <v>0</v>
      </c>
      <c r="S70" s="52">
        <f t="shared" si="79"/>
        <v>4225670</v>
      </c>
      <c r="T70" s="52">
        <f t="shared" si="79"/>
        <v>0</v>
      </c>
      <c r="U70" s="52">
        <f t="shared" si="79"/>
        <v>4225670</v>
      </c>
      <c r="V70" s="52">
        <f t="shared" si="79"/>
        <v>0</v>
      </c>
      <c r="W70" s="52">
        <f t="shared" si="79"/>
        <v>4225670</v>
      </c>
      <c r="X70" s="52">
        <f t="shared" si="79"/>
        <v>0</v>
      </c>
      <c r="Y70" s="52">
        <f t="shared" si="79"/>
        <v>4225670</v>
      </c>
      <c r="Z70" s="52">
        <f t="shared" si="79"/>
        <v>0</v>
      </c>
      <c r="AA70" s="52">
        <f t="shared" si="79"/>
        <v>4225670</v>
      </c>
      <c r="AB70" s="52">
        <f t="shared" si="79"/>
        <v>0</v>
      </c>
      <c r="AC70" s="52">
        <f t="shared" si="79"/>
        <v>4225670</v>
      </c>
      <c r="AD70" s="52">
        <f t="shared" si="79"/>
        <v>0</v>
      </c>
      <c r="AE70" s="52">
        <f t="shared" si="79"/>
        <v>4225670</v>
      </c>
    </row>
    <row r="71" spans="1:31" s="25" customFormat="1" ht="21.75" customHeight="1">
      <c r="A71" s="53"/>
      <c r="B71" s="54"/>
      <c r="C71" s="55">
        <v>2920</v>
      </c>
      <c r="D71" s="58" t="s">
        <v>49</v>
      </c>
      <c r="E71" s="52">
        <v>4225670</v>
      </c>
      <c r="F71" s="52"/>
      <c r="G71" s="122">
        <f t="shared" si="4"/>
        <v>4225670</v>
      </c>
      <c r="H71" s="52"/>
      <c r="I71" s="122">
        <f>SUM(G71:H71)</f>
        <v>4225670</v>
      </c>
      <c r="J71" s="52"/>
      <c r="K71" s="122">
        <f>SUM(I71:J71)</f>
        <v>4225670</v>
      </c>
      <c r="L71" s="52"/>
      <c r="M71" s="122">
        <f>SUM(K71:L71)</f>
        <v>4225670</v>
      </c>
      <c r="N71" s="52"/>
      <c r="O71" s="122">
        <f>SUM(M71:N71)</f>
        <v>4225670</v>
      </c>
      <c r="P71" s="52"/>
      <c r="Q71" s="122">
        <f>SUM(O71:P71)</f>
        <v>4225670</v>
      </c>
      <c r="R71" s="52"/>
      <c r="S71" s="122">
        <f>SUM(Q71:R71)</f>
        <v>4225670</v>
      </c>
      <c r="T71" s="52"/>
      <c r="U71" s="122">
        <f>SUM(S71:T71)</f>
        <v>4225670</v>
      </c>
      <c r="V71" s="52"/>
      <c r="W71" s="122">
        <f>SUM(U71:V71)</f>
        <v>4225670</v>
      </c>
      <c r="X71" s="52"/>
      <c r="Y71" s="122">
        <f>SUM(W71:X71)</f>
        <v>4225670</v>
      </c>
      <c r="Z71" s="52"/>
      <c r="AA71" s="122">
        <f>SUM(Y71:Z71)</f>
        <v>4225670</v>
      </c>
      <c r="AB71" s="52"/>
      <c r="AC71" s="122">
        <f>SUM(AA71:AB71)</f>
        <v>4225670</v>
      </c>
      <c r="AD71" s="52"/>
      <c r="AE71" s="122">
        <f>SUM(AC71:AD71)</f>
        <v>4225670</v>
      </c>
    </row>
    <row r="72" spans="1:31" s="25" customFormat="1" ht="21" customHeight="1">
      <c r="A72" s="53"/>
      <c r="B72" s="54">
        <v>75814</v>
      </c>
      <c r="C72" s="61"/>
      <c r="D72" s="58" t="s">
        <v>50</v>
      </c>
      <c r="E72" s="52">
        <f aca="true" t="shared" si="80" ref="E72:AE72">SUM(E73)</f>
        <v>50000</v>
      </c>
      <c r="F72" s="52">
        <f t="shared" si="80"/>
        <v>0</v>
      </c>
      <c r="G72" s="52">
        <f t="shared" si="80"/>
        <v>50000</v>
      </c>
      <c r="H72" s="52">
        <f t="shared" si="80"/>
        <v>0</v>
      </c>
      <c r="I72" s="52">
        <f t="shared" si="80"/>
        <v>50000</v>
      </c>
      <c r="J72" s="52">
        <f t="shared" si="80"/>
        <v>0</v>
      </c>
      <c r="K72" s="52">
        <f t="shared" si="80"/>
        <v>50000</v>
      </c>
      <c r="L72" s="52">
        <f t="shared" si="80"/>
        <v>0</v>
      </c>
      <c r="M72" s="52">
        <f t="shared" si="80"/>
        <v>50000</v>
      </c>
      <c r="N72" s="52">
        <f t="shared" si="80"/>
        <v>0</v>
      </c>
      <c r="O72" s="52">
        <f t="shared" si="80"/>
        <v>50000</v>
      </c>
      <c r="P72" s="52">
        <f t="shared" si="80"/>
        <v>0</v>
      </c>
      <c r="Q72" s="52">
        <f t="shared" si="80"/>
        <v>50000</v>
      </c>
      <c r="R72" s="52">
        <f t="shared" si="80"/>
        <v>0</v>
      </c>
      <c r="S72" s="52">
        <f t="shared" si="80"/>
        <v>50000</v>
      </c>
      <c r="T72" s="52">
        <f t="shared" si="80"/>
        <v>0</v>
      </c>
      <c r="U72" s="52">
        <f t="shared" si="80"/>
        <v>50000</v>
      </c>
      <c r="V72" s="52">
        <f t="shared" si="80"/>
        <v>0</v>
      </c>
      <c r="W72" s="52">
        <f t="shared" si="80"/>
        <v>50000</v>
      </c>
      <c r="X72" s="52">
        <f t="shared" si="80"/>
        <v>0</v>
      </c>
      <c r="Y72" s="52">
        <f t="shared" si="80"/>
        <v>50000</v>
      </c>
      <c r="Z72" s="52">
        <f t="shared" si="80"/>
        <v>0</v>
      </c>
      <c r="AA72" s="52">
        <f t="shared" si="80"/>
        <v>50000</v>
      </c>
      <c r="AB72" s="52">
        <f t="shared" si="80"/>
        <v>0</v>
      </c>
      <c r="AC72" s="52">
        <f t="shared" si="80"/>
        <v>50000</v>
      </c>
      <c r="AD72" s="52">
        <f t="shared" si="80"/>
        <v>0</v>
      </c>
      <c r="AE72" s="52">
        <f t="shared" si="80"/>
        <v>50000</v>
      </c>
    </row>
    <row r="73" spans="1:31" s="25" customFormat="1" ht="21.75" customHeight="1">
      <c r="A73" s="53"/>
      <c r="B73" s="54"/>
      <c r="C73" s="55" t="s">
        <v>132</v>
      </c>
      <c r="D73" s="58" t="s">
        <v>11</v>
      </c>
      <c r="E73" s="52">
        <v>50000</v>
      </c>
      <c r="F73" s="52"/>
      <c r="G73" s="110">
        <f t="shared" si="4"/>
        <v>50000</v>
      </c>
      <c r="H73" s="52"/>
      <c r="I73" s="110">
        <f>SUM(G73:H73)</f>
        <v>50000</v>
      </c>
      <c r="J73" s="52"/>
      <c r="K73" s="110">
        <f>SUM(I73:J73)</f>
        <v>50000</v>
      </c>
      <c r="L73" s="52"/>
      <c r="M73" s="110">
        <f>SUM(K73:L73)</f>
        <v>50000</v>
      </c>
      <c r="N73" s="52"/>
      <c r="O73" s="110">
        <f>SUM(M73:N73)</f>
        <v>50000</v>
      </c>
      <c r="P73" s="52"/>
      <c r="Q73" s="110">
        <f>SUM(O73:P73)</f>
        <v>50000</v>
      </c>
      <c r="R73" s="52"/>
      <c r="S73" s="110">
        <f>SUM(Q73:R73)</f>
        <v>50000</v>
      </c>
      <c r="T73" s="52"/>
      <c r="U73" s="110">
        <f>SUM(S73:T73)</f>
        <v>50000</v>
      </c>
      <c r="V73" s="52"/>
      <c r="W73" s="110">
        <f>SUM(U73:V73)</f>
        <v>50000</v>
      </c>
      <c r="X73" s="52"/>
      <c r="Y73" s="110">
        <f>SUM(W73:X73)</f>
        <v>50000</v>
      </c>
      <c r="Z73" s="52"/>
      <c r="AA73" s="110">
        <f>SUM(Y73:Z73)</f>
        <v>50000</v>
      </c>
      <c r="AB73" s="52"/>
      <c r="AC73" s="110">
        <f>SUM(AA73:AB73)</f>
        <v>50000</v>
      </c>
      <c r="AD73" s="52"/>
      <c r="AE73" s="110">
        <f>SUM(AC73:AD73)</f>
        <v>50000</v>
      </c>
    </row>
    <row r="74" spans="1:31" s="25" customFormat="1" ht="22.5">
      <c r="A74" s="53"/>
      <c r="B74" s="54" t="s">
        <v>175</v>
      </c>
      <c r="C74" s="61"/>
      <c r="D74" s="58" t="s">
        <v>176</v>
      </c>
      <c r="E74" s="52">
        <f aca="true" t="shared" si="81" ref="E74:AE74">SUM(E75)</f>
        <v>770141</v>
      </c>
      <c r="F74" s="52">
        <f t="shared" si="81"/>
        <v>0</v>
      </c>
      <c r="G74" s="52">
        <f t="shared" si="81"/>
        <v>770141</v>
      </c>
      <c r="H74" s="52">
        <f t="shared" si="81"/>
        <v>0</v>
      </c>
      <c r="I74" s="52">
        <f t="shared" si="81"/>
        <v>770141</v>
      </c>
      <c r="J74" s="52">
        <f t="shared" si="81"/>
        <v>0</v>
      </c>
      <c r="K74" s="52">
        <f t="shared" si="81"/>
        <v>770141</v>
      </c>
      <c r="L74" s="52">
        <f t="shared" si="81"/>
        <v>0</v>
      </c>
      <c r="M74" s="52">
        <f t="shared" si="81"/>
        <v>770141</v>
      </c>
      <c r="N74" s="52">
        <f t="shared" si="81"/>
        <v>0</v>
      </c>
      <c r="O74" s="52">
        <f t="shared" si="81"/>
        <v>770141</v>
      </c>
      <c r="P74" s="52">
        <f t="shared" si="81"/>
        <v>0</v>
      </c>
      <c r="Q74" s="52">
        <f t="shared" si="81"/>
        <v>770141</v>
      </c>
      <c r="R74" s="52">
        <f t="shared" si="81"/>
        <v>0</v>
      </c>
      <c r="S74" s="52">
        <f t="shared" si="81"/>
        <v>770141</v>
      </c>
      <c r="T74" s="52">
        <f t="shared" si="81"/>
        <v>0</v>
      </c>
      <c r="U74" s="52">
        <f t="shared" si="81"/>
        <v>770141</v>
      </c>
      <c r="V74" s="52">
        <f t="shared" si="81"/>
        <v>0</v>
      </c>
      <c r="W74" s="52">
        <f t="shared" si="81"/>
        <v>770141</v>
      </c>
      <c r="X74" s="52">
        <f t="shared" si="81"/>
        <v>0</v>
      </c>
      <c r="Y74" s="52">
        <f t="shared" si="81"/>
        <v>770141</v>
      </c>
      <c r="Z74" s="52">
        <f t="shared" si="81"/>
        <v>0</v>
      </c>
      <c r="AA74" s="52">
        <f t="shared" si="81"/>
        <v>770141</v>
      </c>
      <c r="AB74" s="52">
        <f t="shared" si="81"/>
        <v>0</v>
      </c>
      <c r="AC74" s="52">
        <f t="shared" si="81"/>
        <v>770141</v>
      </c>
      <c r="AD74" s="52">
        <f t="shared" si="81"/>
        <v>0</v>
      </c>
      <c r="AE74" s="52">
        <f t="shared" si="81"/>
        <v>770141</v>
      </c>
    </row>
    <row r="75" spans="1:31" s="25" customFormat="1" ht="21.75" customHeight="1">
      <c r="A75" s="53"/>
      <c r="B75" s="54"/>
      <c r="C75" s="55">
        <v>2920</v>
      </c>
      <c r="D75" s="58" t="s">
        <v>49</v>
      </c>
      <c r="E75" s="52">
        <v>770141</v>
      </c>
      <c r="F75" s="52"/>
      <c r="G75" s="110">
        <f t="shared" si="4"/>
        <v>770141</v>
      </c>
      <c r="H75" s="52"/>
      <c r="I75" s="110">
        <f>SUM(G75:H75)</f>
        <v>770141</v>
      </c>
      <c r="J75" s="52"/>
      <c r="K75" s="110">
        <f>SUM(I75:J75)</f>
        <v>770141</v>
      </c>
      <c r="L75" s="52"/>
      <c r="M75" s="110">
        <f>SUM(K75:L75)</f>
        <v>770141</v>
      </c>
      <c r="N75" s="52"/>
      <c r="O75" s="110">
        <f>SUM(M75:N75)</f>
        <v>770141</v>
      </c>
      <c r="P75" s="52"/>
      <c r="Q75" s="110">
        <f>SUM(O75:P75)</f>
        <v>770141</v>
      </c>
      <c r="R75" s="52"/>
      <c r="S75" s="110">
        <f>SUM(Q75:R75)</f>
        <v>770141</v>
      </c>
      <c r="T75" s="52"/>
      <c r="U75" s="110">
        <f>SUM(S75:T75)</f>
        <v>770141</v>
      </c>
      <c r="V75" s="52"/>
      <c r="W75" s="110">
        <f>SUM(U75:V75)</f>
        <v>770141</v>
      </c>
      <c r="X75" s="52"/>
      <c r="Y75" s="110">
        <f>SUM(W75:X75)</f>
        <v>770141</v>
      </c>
      <c r="Z75" s="52"/>
      <c r="AA75" s="110">
        <f>SUM(Y75:Z75)</f>
        <v>770141</v>
      </c>
      <c r="AB75" s="52"/>
      <c r="AC75" s="110">
        <f>SUM(AA75:AB75)</f>
        <v>770141</v>
      </c>
      <c r="AD75" s="52"/>
      <c r="AE75" s="110">
        <f>SUM(AC75:AD75)</f>
        <v>770141</v>
      </c>
    </row>
    <row r="76" spans="1:31" s="25" customFormat="1" ht="24" customHeight="1">
      <c r="A76" s="32" t="s">
        <v>94</v>
      </c>
      <c r="B76" s="33"/>
      <c r="C76" s="34"/>
      <c r="D76" s="35" t="s">
        <v>95</v>
      </c>
      <c r="E76" s="47">
        <f aca="true" t="shared" si="82" ref="E76:K76">SUM(E77,E85,E87,E95,E92)</f>
        <v>268995</v>
      </c>
      <c r="F76" s="47">
        <f t="shared" si="82"/>
        <v>0</v>
      </c>
      <c r="G76" s="47">
        <f t="shared" si="82"/>
        <v>268995</v>
      </c>
      <c r="H76" s="47">
        <f t="shared" si="82"/>
        <v>0</v>
      </c>
      <c r="I76" s="47">
        <f t="shared" si="82"/>
        <v>268995</v>
      </c>
      <c r="J76" s="47">
        <f t="shared" si="82"/>
        <v>0</v>
      </c>
      <c r="K76" s="47">
        <f t="shared" si="82"/>
        <v>268995</v>
      </c>
      <c r="L76" s="47">
        <f aca="true" t="shared" si="83" ref="L76:Q76">SUM(L77,L85,L87,L95,L92)</f>
        <v>0</v>
      </c>
      <c r="M76" s="47">
        <f t="shared" si="83"/>
        <v>268995</v>
      </c>
      <c r="N76" s="47">
        <f t="shared" si="83"/>
        <v>0</v>
      </c>
      <c r="O76" s="47">
        <f t="shared" si="83"/>
        <v>268995</v>
      </c>
      <c r="P76" s="47">
        <f t="shared" si="83"/>
        <v>0</v>
      </c>
      <c r="Q76" s="47">
        <f t="shared" si="83"/>
        <v>268995</v>
      </c>
      <c r="R76" s="47">
        <f aca="true" t="shared" si="84" ref="R76:W76">SUM(R77,R85,R87,R95,R92)</f>
        <v>6100</v>
      </c>
      <c r="S76" s="47">
        <f t="shared" si="84"/>
        <v>275095</v>
      </c>
      <c r="T76" s="47">
        <f t="shared" si="84"/>
        <v>0</v>
      </c>
      <c r="U76" s="47">
        <f t="shared" si="84"/>
        <v>275095</v>
      </c>
      <c r="V76" s="47">
        <f t="shared" si="84"/>
        <v>1251</v>
      </c>
      <c r="W76" s="47">
        <f t="shared" si="84"/>
        <v>276346</v>
      </c>
      <c r="X76" s="47">
        <f aca="true" t="shared" si="85" ref="X76:AC76">SUM(X77,X85,X87,X95,X92)</f>
        <v>0</v>
      </c>
      <c r="Y76" s="47">
        <f t="shared" si="85"/>
        <v>276346</v>
      </c>
      <c r="Z76" s="47">
        <f t="shared" si="85"/>
        <v>44050</v>
      </c>
      <c r="AA76" s="47">
        <f t="shared" si="85"/>
        <v>320396</v>
      </c>
      <c r="AB76" s="47">
        <f t="shared" si="85"/>
        <v>0</v>
      </c>
      <c r="AC76" s="47">
        <f t="shared" si="85"/>
        <v>320396</v>
      </c>
      <c r="AD76" s="47">
        <f>SUM(AD77,AD85,AD87,AD95,AD92)</f>
        <v>-50986</v>
      </c>
      <c r="AE76" s="47">
        <f>SUM(AE77,AE85,AE87,AE95,AE92)</f>
        <v>269410</v>
      </c>
    </row>
    <row r="77" spans="1:31" s="25" customFormat="1" ht="24" customHeight="1">
      <c r="A77" s="49"/>
      <c r="B77" s="63" t="s">
        <v>96</v>
      </c>
      <c r="C77" s="66"/>
      <c r="D77" s="36" t="s">
        <v>51</v>
      </c>
      <c r="E77" s="52">
        <f aca="true" t="shared" si="86" ref="E77:K77">SUM(E78:E83)</f>
        <v>77684</v>
      </c>
      <c r="F77" s="52">
        <f t="shared" si="86"/>
        <v>0</v>
      </c>
      <c r="G77" s="52">
        <f t="shared" si="86"/>
        <v>77684</v>
      </c>
      <c r="H77" s="52">
        <f t="shared" si="86"/>
        <v>0</v>
      </c>
      <c r="I77" s="52">
        <f t="shared" si="86"/>
        <v>77684</v>
      </c>
      <c r="J77" s="52">
        <f t="shared" si="86"/>
        <v>0</v>
      </c>
      <c r="K77" s="52">
        <f t="shared" si="86"/>
        <v>77684</v>
      </c>
      <c r="L77" s="52">
        <f aca="true" t="shared" si="87" ref="L77:Q77">SUM(L78:L83)</f>
        <v>0</v>
      </c>
      <c r="M77" s="52">
        <f t="shared" si="87"/>
        <v>77684</v>
      </c>
      <c r="N77" s="52">
        <f t="shared" si="87"/>
        <v>0</v>
      </c>
      <c r="O77" s="52">
        <f t="shared" si="87"/>
        <v>77684</v>
      </c>
      <c r="P77" s="52">
        <f t="shared" si="87"/>
        <v>0</v>
      </c>
      <c r="Q77" s="52">
        <f t="shared" si="87"/>
        <v>77684</v>
      </c>
      <c r="R77" s="52">
        <f>SUM(R78:R83)</f>
        <v>6100</v>
      </c>
      <c r="S77" s="52">
        <f>SUM(S78:S83)</f>
        <v>83784</v>
      </c>
      <c r="T77" s="52">
        <f>SUM(T78:T83)</f>
        <v>0</v>
      </c>
      <c r="U77" s="52">
        <f aca="true" t="shared" si="88" ref="U77:AA77">SUM(U78:U84)</f>
        <v>83784</v>
      </c>
      <c r="V77" s="52">
        <f t="shared" si="88"/>
        <v>930</v>
      </c>
      <c r="W77" s="52">
        <f t="shared" si="88"/>
        <v>84714</v>
      </c>
      <c r="X77" s="52">
        <f t="shared" si="88"/>
        <v>0</v>
      </c>
      <c r="Y77" s="52">
        <f t="shared" si="88"/>
        <v>84714</v>
      </c>
      <c r="Z77" s="52">
        <f t="shared" si="88"/>
        <v>44050</v>
      </c>
      <c r="AA77" s="52">
        <f t="shared" si="88"/>
        <v>128764</v>
      </c>
      <c r="AB77" s="52">
        <f>SUM(AB78:AB84)</f>
        <v>0</v>
      </c>
      <c r="AC77" s="52">
        <f>SUM(AC78:AC84)</f>
        <v>128764</v>
      </c>
      <c r="AD77" s="52">
        <f>SUM(AD78:AD84)</f>
        <v>0</v>
      </c>
      <c r="AE77" s="52">
        <f>SUM(AE78:AE84)</f>
        <v>128764</v>
      </c>
    </row>
    <row r="78" spans="1:31" s="25" customFormat="1" ht="24" customHeight="1">
      <c r="A78" s="63"/>
      <c r="B78" s="63"/>
      <c r="C78" s="64" t="s">
        <v>152</v>
      </c>
      <c r="D78" s="36" t="s">
        <v>118</v>
      </c>
      <c r="E78" s="52">
        <v>400</v>
      </c>
      <c r="F78" s="52"/>
      <c r="G78" s="110">
        <f t="shared" si="4"/>
        <v>400</v>
      </c>
      <c r="H78" s="52"/>
      <c r="I78" s="110">
        <f>SUM(G78:H78)</f>
        <v>400</v>
      </c>
      <c r="J78" s="52"/>
      <c r="K78" s="110">
        <f>SUM(I78:J78)</f>
        <v>400</v>
      </c>
      <c r="L78" s="52"/>
      <c r="M78" s="110">
        <f>SUM(K78:L78)</f>
        <v>400</v>
      </c>
      <c r="N78" s="52"/>
      <c r="O78" s="110">
        <f>SUM(M78:N78)</f>
        <v>400</v>
      </c>
      <c r="P78" s="52"/>
      <c r="Q78" s="110">
        <f>SUM(O78:P78)</f>
        <v>400</v>
      </c>
      <c r="R78" s="52"/>
      <c r="S78" s="110">
        <f>SUM(Q78:R78)</f>
        <v>400</v>
      </c>
      <c r="T78" s="52"/>
      <c r="U78" s="110">
        <f>SUM(S78:T78)</f>
        <v>400</v>
      </c>
      <c r="V78" s="52"/>
      <c r="W78" s="110">
        <f aca="true" t="shared" si="89" ref="W78:W84">SUM(U78:V78)</f>
        <v>400</v>
      </c>
      <c r="X78" s="52"/>
      <c r="Y78" s="110">
        <f aca="true" t="shared" si="90" ref="Y78:Y84">SUM(W78:X78)</f>
        <v>400</v>
      </c>
      <c r="Z78" s="52"/>
      <c r="AA78" s="110">
        <f aca="true" t="shared" si="91" ref="AA78:AA84">SUM(Y78:Z78)</f>
        <v>400</v>
      </c>
      <c r="AB78" s="52"/>
      <c r="AC78" s="110">
        <f aca="true" t="shared" si="92" ref="AC78:AC84">SUM(AA78:AB78)</f>
        <v>400</v>
      </c>
      <c r="AD78" s="52"/>
      <c r="AE78" s="110">
        <f aca="true" t="shared" si="93" ref="AE78:AE84">SUM(AC78:AD78)</f>
        <v>400</v>
      </c>
    </row>
    <row r="79" spans="1:31" s="25" customFormat="1" ht="67.5">
      <c r="A79" s="63"/>
      <c r="B79" s="49"/>
      <c r="C79" s="64" t="s">
        <v>131</v>
      </c>
      <c r="D79" s="36" t="s">
        <v>55</v>
      </c>
      <c r="E79" s="52">
        <v>48899</v>
      </c>
      <c r="F79" s="52"/>
      <c r="G79" s="110">
        <f t="shared" si="4"/>
        <v>48899</v>
      </c>
      <c r="H79" s="52"/>
      <c r="I79" s="110">
        <f>SUM(G79:H79)</f>
        <v>48899</v>
      </c>
      <c r="J79" s="52"/>
      <c r="K79" s="110">
        <f>SUM(I79:J79)</f>
        <v>48899</v>
      </c>
      <c r="L79" s="52"/>
      <c r="M79" s="110">
        <f>SUM(K79:L79)</f>
        <v>48899</v>
      </c>
      <c r="N79" s="52"/>
      <c r="O79" s="110">
        <f>SUM(M79:N79)</f>
        <v>48899</v>
      </c>
      <c r="P79" s="52"/>
      <c r="Q79" s="110">
        <f>SUM(O79:P79)</f>
        <v>48899</v>
      </c>
      <c r="R79" s="52"/>
      <c r="S79" s="110">
        <f>SUM(Q79:R79)</f>
        <v>48899</v>
      </c>
      <c r="T79" s="52"/>
      <c r="U79" s="110">
        <f>SUM(S79:T79)</f>
        <v>48899</v>
      </c>
      <c r="V79" s="52"/>
      <c r="W79" s="110">
        <f t="shared" si="89"/>
        <v>48899</v>
      </c>
      <c r="X79" s="52"/>
      <c r="Y79" s="110">
        <f t="shared" si="90"/>
        <v>48899</v>
      </c>
      <c r="Z79" s="52"/>
      <c r="AA79" s="110">
        <f t="shared" si="91"/>
        <v>48899</v>
      </c>
      <c r="AB79" s="52"/>
      <c r="AC79" s="110">
        <f t="shared" si="92"/>
        <v>48899</v>
      </c>
      <c r="AD79" s="52"/>
      <c r="AE79" s="110">
        <f t="shared" si="93"/>
        <v>48899</v>
      </c>
    </row>
    <row r="80" spans="1:31" s="25" customFormat="1" ht="23.25" customHeight="1">
      <c r="A80" s="63"/>
      <c r="B80" s="49"/>
      <c r="C80" s="81" t="s">
        <v>132</v>
      </c>
      <c r="D80" s="48" t="s">
        <v>11</v>
      </c>
      <c r="E80" s="52">
        <v>853</v>
      </c>
      <c r="F80" s="52"/>
      <c r="G80" s="110">
        <f>SUM(E80:F80)</f>
        <v>853</v>
      </c>
      <c r="H80" s="52"/>
      <c r="I80" s="110">
        <f>SUM(G80:H80)</f>
        <v>853</v>
      </c>
      <c r="J80" s="52"/>
      <c r="K80" s="110">
        <f>SUM(I80:J80)</f>
        <v>853</v>
      </c>
      <c r="L80" s="52"/>
      <c r="M80" s="110">
        <f>SUM(K80:L80)</f>
        <v>853</v>
      </c>
      <c r="N80" s="52"/>
      <c r="O80" s="110">
        <f>SUM(M80:N80)</f>
        <v>853</v>
      </c>
      <c r="P80" s="52"/>
      <c r="Q80" s="110">
        <f>SUM(O80:P80)</f>
        <v>853</v>
      </c>
      <c r="R80" s="52"/>
      <c r="S80" s="110">
        <f>SUM(Q80:R80)</f>
        <v>853</v>
      </c>
      <c r="T80" s="52"/>
      <c r="U80" s="110">
        <f>SUM(S80:T80)</f>
        <v>853</v>
      </c>
      <c r="V80" s="52"/>
      <c r="W80" s="110">
        <f t="shared" si="89"/>
        <v>853</v>
      </c>
      <c r="X80" s="52"/>
      <c r="Y80" s="110">
        <f t="shared" si="90"/>
        <v>853</v>
      </c>
      <c r="Z80" s="52"/>
      <c r="AA80" s="110">
        <f t="shared" si="91"/>
        <v>853</v>
      </c>
      <c r="AB80" s="52"/>
      <c r="AC80" s="110">
        <f t="shared" si="92"/>
        <v>853</v>
      </c>
      <c r="AD80" s="52"/>
      <c r="AE80" s="110">
        <f t="shared" si="93"/>
        <v>853</v>
      </c>
    </row>
    <row r="81" spans="1:31" s="25" customFormat="1" ht="22.5" customHeight="1">
      <c r="A81" s="63"/>
      <c r="B81" s="49"/>
      <c r="C81" s="81" t="s">
        <v>133</v>
      </c>
      <c r="D81" s="36" t="s">
        <v>12</v>
      </c>
      <c r="E81" s="52">
        <v>22750</v>
      </c>
      <c r="F81" s="52"/>
      <c r="G81" s="110">
        <f>SUM(E81:F81)</f>
        <v>22750</v>
      </c>
      <c r="H81" s="52"/>
      <c r="I81" s="110">
        <f>SUM(G81:H81)</f>
        <v>22750</v>
      </c>
      <c r="J81" s="52"/>
      <c r="K81" s="110">
        <f>SUM(I81:J81)</f>
        <v>22750</v>
      </c>
      <c r="L81" s="52"/>
      <c r="M81" s="110">
        <f>SUM(K81:L81)</f>
        <v>22750</v>
      </c>
      <c r="N81" s="52"/>
      <c r="O81" s="110">
        <f>SUM(M81:N81)</f>
        <v>22750</v>
      </c>
      <c r="P81" s="52"/>
      <c r="Q81" s="110">
        <f>SUM(O81:P81)</f>
        <v>22750</v>
      </c>
      <c r="R81" s="52">
        <v>6100</v>
      </c>
      <c r="S81" s="110">
        <f>SUM(Q81:R81)</f>
        <v>28850</v>
      </c>
      <c r="T81" s="52"/>
      <c r="U81" s="110">
        <f>SUM(S81:T81)</f>
        <v>28850</v>
      </c>
      <c r="V81" s="52">
        <v>600</v>
      </c>
      <c r="W81" s="110">
        <f t="shared" si="89"/>
        <v>29450</v>
      </c>
      <c r="X81" s="52"/>
      <c r="Y81" s="110">
        <f t="shared" si="90"/>
        <v>29450</v>
      </c>
      <c r="Z81" s="52"/>
      <c r="AA81" s="110">
        <f t="shared" si="91"/>
        <v>29450</v>
      </c>
      <c r="AB81" s="52"/>
      <c r="AC81" s="110">
        <f t="shared" si="92"/>
        <v>29450</v>
      </c>
      <c r="AD81" s="52"/>
      <c r="AE81" s="110">
        <f t="shared" si="93"/>
        <v>29450</v>
      </c>
    </row>
    <row r="82" spans="1:33" s="25" customFormat="1" ht="56.25">
      <c r="A82" s="63"/>
      <c r="B82" s="49"/>
      <c r="C82" s="81">
        <v>2010</v>
      </c>
      <c r="D82" s="58" t="s">
        <v>172</v>
      </c>
      <c r="E82" s="52"/>
      <c r="F82" s="52"/>
      <c r="G82" s="110"/>
      <c r="H82" s="52"/>
      <c r="I82" s="110"/>
      <c r="J82" s="52"/>
      <c r="K82" s="110"/>
      <c r="L82" s="52"/>
      <c r="M82" s="110"/>
      <c r="N82" s="52"/>
      <c r="O82" s="110"/>
      <c r="P82" s="52"/>
      <c r="Q82" s="110"/>
      <c r="R82" s="52"/>
      <c r="S82" s="110"/>
      <c r="T82" s="52"/>
      <c r="U82" s="110"/>
      <c r="V82" s="52"/>
      <c r="W82" s="110"/>
      <c r="X82" s="52"/>
      <c r="Y82" s="110">
        <v>0</v>
      </c>
      <c r="Z82" s="52">
        <v>44050</v>
      </c>
      <c r="AA82" s="110">
        <f t="shared" si="91"/>
        <v>44050</v>
      </c>
      <c r="AB82" s="52"/>
      <c r="AC82" s="110">
        <f t="shared" si="92"/>
        <v>44050</v>
      </c>
      <c r="AD82" s="52"/>
      <c r="AE82" s="110">
        <f t="shared" si="93"/>
        <v>44050</v>
      </c>
      <c r="AF82" s="79"/>
      <c r="AG82" s="79"/>
    </row>
    <row r="83" spans="1:33" s="25" customFormat="1" ht="45">
      <c r="A83" s="63"/>
      <c r="B83" s="49"/>
      <c r="C83" s="81">
        <v>2310</v>
      </c>
      <c r="D83" s="36" t="s">
        <v>185</v>
      </c>
      <c r="E83" s="52">
        <v>4782</v>
      </c>
      <c r="F83" s="52"/>
      <c r="G83" s="110">
        <f>SUM(E83:F83)</f>
        <v>4782</v>
      </c>
      <c r="H83" s="52"/>
      <c r="I83" s="110">
        <f>SUM(G83:H83)</f>
        <v>4782</v>
      </c>
      <c r="J83" s="52"/>
      <c r="K83" s="110">
        <f>SUM(I83:J83)</f>
        <v>4782</v>
      </c>
      <c r="L83" s="52"/>
      <c r="M83" s="110">
        <f>SUM(K83:L83)</f>
        <v>4782</v>
      </c>
      <c r="N83" s="52"/>
      <c r="O83" s="110">
        <f>SUM(M83:N83)</f>
        <v>4782</v>
      </c>
      <c r="P83" s="52"/>
      <c r="Q83" s="110">
        <f>SUM(O83:P83)</f>
        <v>4782</v>
      </c>
      <c r="R83" s="52"/>
      <c r="S83" s="110">
        <f>SUM(Q83:R83)</f>
        <v>4782</v>
      </c>
      <c r="T83" s="52"/>
      <c r="U83" s="110">
        <f>SUM(S83:T83)</f>
        <v>4782</v>
      </c>
      <c r="V83" s="52"/>
      <c r="W83" s="110">
        <f t="shared" si="89"/>
        <v>4782</v>
      </c>
      <c r="X83" s="52"/>
      <c r="Y83" s="110">
        <f t="shared" si="90"/>
        <v>4782</v>
      </c>
      <c r="Z83" s="52"/>
      <c r="AA83" s="110">
        <f t="shared" si="91"/>
        <v>4782</v>
      </c>
      <c r="AB83" s="52"/>
      <c r="AC83" s="110">
        <f t="shared" si="92"/>
        <v>4782</v>
      </c>
      <c r="AD83" s="52"/>
      <c r="AE83" s="110">
        <f t="shared" si="93"/>
        <v>4782</v>
      </c>
      <c r="AF83" s="79"/>
      <c r="AG83" s="79"/>
    </row>
    <row r="84" spans="1:31" s="25" customFormat="1" ht="21.75" customHeight="1">
      <c r="A84" s="63"/>
      <c r="B84" s="49"/>
      <c r="C84" s="81">
        <v>2400</v>
      </c>
      <c r="D84" s="36" t="s">
        <v>354</v>
      </c>
      <c r="E84" s="52"/>
      <c r="F84" s="52"/>
      <c r="G84" s="110"/>
      <c r="H84" s="52"/>
      <c r="I84" s="110"/>
      <c r="J84" s="52"/>
      <c r="K84" s="110"/>
      <c r="L84" s="52"/>
      <c r="M84" s="110"/>
      <c r="N84" s="52"/>
      <c r="O84" s="110"/>
      <c r="P84" s="52"/>
      <c r="Q84" s="110"/>
      <c r="R84" s="52"/>
      <c r="S84" s="110"/>
      <c r="T84" s="52"/>
      <c r="U84" s="110">
        <v>0</v>
      </c>
      <c r="V84" s="52">
        <v>330</v>
      </c>
      <c r="W84" s="110">
        <f t="shared" si="89"/>
        <v>330</v>
      </c>
      <c r="X84" s="52"/>
      <c r="Y84" s="110">
        <f t="shared" si="90"/>
        <v>330</v>
      </c>
      <c r="Z84" s="52"/>
      <c r="AA84" s="110">
        <f t="shared" si="91"/>
        <v>330</v>
      </c>
      <c r="AB84" s="52"/>
      <c r="AC84" s="110">
        <f t="shared" si="92"/>
        <v>330</v>
      </c>
      <c r="AD84" s="52"/>
      <c r="AE84" s="110">
        <f t="shared" si="93"/>
        <v>330</v>
      </c>
    </row>
    <row r="85" spans="1:31" s="25" customFormat="1" ht="24" customHeight="1">
      <c r="A85" s="53"/>
      <c r="B85" s="54">
        <v>80104</v>
      </c>
      <c r="C85" s="55"/>
      <c r="D85" s="36" t="s">
        <v>102</v>
      </c>
      <c r="E85" s="52">
        <f aca="true" t="shared" si="94" ref="E85:AE85">SUM(E86)</f>
        <v>2000</v>
      </c>
      <c r="F85" s="52">
        <f t="shared" si="94"/>
        <v>0</v>
      </c>
      <c r="G85" s="52">
        <f t="shared" si="94"/>
        <v>2000</v>
      </c>
      <c r="H85" s="52">
        <f t="shared" si="94"/>
        <v>0</v>
      </c>
      <c r="I85" s="52">
        <f t="shared" si="94"/>
        <v>2000</v>
      </c>
      <c r="J85" s="52">
        <f t="shared" si="94"/>
        <v>0</v>
      </c>
      <c r="K85" s="52">
        <f t="shared" si="94"/>
        <v>2000</v>
      </c>
      <c r="L85" s="52">
        <f t="shared" si="94"/>
        <v>0</v>
      </c>
      <c r="M85" s="52">
        <f t="shared" si="94"/>
        <v>2000</v>
      </c>
      <c r="N85" s="52">
        <f t="shared" si="94"/>
        <v>0</v>
      </c>
      <c r="O85" s="52">
        <f t="shared" si="94"/>
        <v>2000</v>
      </c>
      <c r="P85" s="52">
        <f t="shared" si="94"/>
        <v>0</v>
      </c>
      <c r="Q85" s="52">
        <f t="shared" si="94"/>
        <v>2000</v>
      </c>
      <c r="R85" s="52">
        <f t="shared" si="94"/>
        <v>0</v>
      </c>
      <c r="S85" s="52">
        <f t="shared" si="94"/>
        <v>2000</v>
      </c>
      <c r="T85" s="52">
        <f t="shared" si="94"/>
        <v>0</v>
      </c>
      <c r="U85" s="52">
        <f t="shared" si="94"/>
        <v>2000</v>
      </c>
      <c r="V85" s="52">
        <f t="shared" si="94"/>
        <v>0</v>
      </c>
      <c r="W85" s="52">
        <f t="shared" si="94"/>
        <v>2000</v>
      </c>
      <c r="X85" s="52">
        <f t="shared" si="94"/>
        <v>0</v>
      </c>
      <c r="Y85" s="52">
        <f t="shared" si="94"/>
        <v>2000</v>
      </c>
      <c r="Z85" s="52">
        <f t="shared" si="94"/>
        <v>0</v>
      </c>
      <c r="AA85" s="52">
        <f t="shared" si="94"/>
        <v>2000</v>
      </c>
      <c r="AB85" s="52">
        <f t="shared" si="94"/>
        <v>0</v>
      </c>
      <c r="AC85" s="52">
        <f t="shared" si="94"/>
        <v>2000</v>
      </c>
      <c r="AD85" s="52">
        <f t="shared" si="94"/>
        <v>0</v>
      </c>
      <c r="AE85" s="52">
        <f t="shared" si="94"/>
        <v>2000</v>
      </c>
    </row>
    <row r="86" spans="1:31" s="25" customFormat="1" ht="67.5">
      <c r="A86" s="53"/>
      <c r="B86" s="54"/>
      <c r="C86" s="55" t="s">
        <v>131</v>
      </c>
      <c r="D86" s="36" t="s">
        <v>55</v>
      </c>
      <c r="E86" s="52">
        <v>2000</v>
      </c>
      <c r="F86" s="52"/>
      <c r="G86" s="110">
        <f>SUM(E86:F86)</f>
        <v>2000</v>
      </c>
      <c r="H86" s="52"/>
      <c r="I86" s="110">
        <f>SUM(G86:H86)</f>
        <v>2000</v>
      </c>
      <c r="J86" s="52"/>
      <c r="K86" s="110">
        <f>SUM(I86:J86)</f>
        <v>2000</v>
      </c>
      <c r="L86" s="52"/>
      <c r="M86" s="110">
        <f>SUM(K86:L86)</f>
        <v>2000</v>
      </c>
      <c r="N86" s="52"/>
      <c r="O86" s="110">
        <f>SUM(M86:N86)</f>
        <v>2000</v>
      </c>
      <c r="P86" s="52"/>
      <c r="Q86" s="110">
        <f>SUM(O86:P86)</f>
        <v>2000</v>
      </c>
      <c r="R86" s="52"/>
      <c r="S86" s="110">
        <f>SUM(Q86:R86)</f>
        <v>2000</v>
      </c>
      <c r="T86" s="52"/>
      <c r="U86" s="110">
        <f>SUM(S86:T86)</f>
        <v>2000</v>
      </c>
      <c r="V86" s="52"/>
      <c r="W86" s="110">
        <f>SUM(U86:V86)</f>
        <v>2000</v>
      </c>
      <c r="X86" s="52"/>
      <c r="Y86" s="110">
        <f>SUM(W86:X86)</f>
        <v>2000</v>
      </c>
      <c r="Z86" s="52"/>
      <c r="AA86" s="110">
        <f>SUM(Y86:Z86)</f>
        <v>2000</v>
      </c>
      <c r="AB86" s="52"/>
      <c r="AC86" s="110">
        <f>SUM(AA86:AB86)</f>
        <v>2000</v>
      </c>
      <c r="AD86" s="52"/>
      <c r="AE86" s="110">
        <f>SUM(AC86:AD86)</f>
        <v>2000</v>
      </c>
    </row>
    <row r="87" spans="1:31" s="25" customFormat="1" ht="24" customHeight="1">
      <c r="A87" s="53"/>
      <c r="B87" s="54">
        <v>80110</v>
      </c>
      <c r="C87" s="55"/>
      <c r="D87" s="36" t="s">
        <v>52</v>
      </c>
      <c r="E87" s="52">
        <f aca="true" t="shared" si="95" ref="E87:K87">SUM(E88:E89)</f>
        <v>8519</v>
      </c>
      <c r="F87" s="52">
        <f t="shared" si="95"/>
        <v>0</v>
      </c>
      <c r="G87" s="52">
        <f t="shared" si="95"/>
        <v>8519</v>
      </c>
      <c r="H87" s="52">
        <f t="shared" si="95"/>
        <v>0</v>
      </c>
      <c r="I87" s="52">
        <f t="shared" si="95"/>
        <v>8519</v>
      </c>
      <c r="J87" s="52">
        <f t="shared" si="95"/>
        <v>0</v>
      </c>
      <c r="K87" s="52">
        <f t="shared" si="95"/>
        <v>8519</v>
      </c>
      <c r="L87" s="52">
        <f aca="true" t="shared" si="96" ref="L87:Q87">SUM(L88:L89)</f>
        <v>0</v>
      </c>
      <c r="M87" s="52">
        <f t="shared" si="96"/>
        <v>8519</v>
      </c>
      <c r="N87" s="52">
        <f t="shared" si="96"/>
        <v>0</v>
      </c>
      <c r="O87" s="52">
        <f t="shared" si="96"/>
        <v>8519</v>
      </c>
      <c r="P87" s="52">
        <f t="shared" si="96"/>
        <v>0</v>
      </c>
      <c r="Q87" s="52">
        <f t="shared" si="96"/>
        <v>8519</v>
      </c>
      <c r="R87" s="52">
        <f>SUM(R88:R89)</f>
        <v>0</v>
      </c>
      <c r="S87" s="52">
        <f>SUM(S88:S89)</f>
        <v>8519</v>
      </c>
      <c r="T87" s="52">
        <f>SUM(T88:T89)</f>
        <v>0</v>
      </c>
      <c r="U87" s="52">
        <f aca="true" t="shared" si="97" ref="U87:AA87">SUM(U88:U91)</f>
        <v>8519</v>
      </c>
      <c r="V87" s="52">
        <f t="shared" si="97"/>
        <v>321</v>
      </c>
      <c r="W87" s="52">
        <f t="shared" si="97"/>
        <v>8840</v>
      </c>
      <c r="X87" s="52">
        <f t="shared" si="97"/>
        <v>0</v>
      </c>
      <c r="Y87" s="52">
        <f t="shared" si="97"/>
        <v>8840</v>
      </c>
      <c r="Z87" s="52">
        <f t="shared" si="97"/>
        <v>0</v>
      </c>
      <c r="AA87" s="52">
        <f t="shared" si="97"/>
        <v>8840</v>
      </c>
      <c r="AB87" s="52">
        <f>SUM(AB88:AB91)</f>
        <v>0</v>
      </c>
      <c r="AC87" s="52">
        <f>SUM(AC88:AC91)</f>
        <v>8840</v>
      </c>
      <c r="AD87" s="52">
        <f>SUM(AD88:AD91)</f>
        <v>0</v>
      </c>
      <c r="AE87" s="52">
        <f>SUM(AE88:AE91)</f>
        <v>8840</v>
      </c>
    </row>
    <row r="88" spans="1:31" s="25" customFormat="1" ht="67.5">
      <c r="A88" s="53"/>
      <c r="B88" s="54"/>
      <c r="C88" s="55" t="s">
        <v>131</v>
      </c>
      <c r="D88" s="36" t="s">
        <v>55</v>
      </c>
      <c r="E88" s="52">
        <v>8510</v>
      </c>
      <c r="F88" s="52"/>
      <c r="G88" s="110">
        <f>SUM(E88:F88)</f>
        <v>8510</v>
      </c>
      <c r="H88" s="52"/>
      <c r="I88" s="110">
        <f>SUM(G88:H88)</f>
        <v>8510</v>
      </c>
      <c r="J88" s="52"/>
      <c r="K88" s="110">
        <f>SUM(I88:J88)</f>
        <v>8510</v>
      </c>
      <c r="L88" s="52"/>
      <c r="M88" s="110">
        <f>SUM(K88:L88)</f>
        <v>8510</v>
      </c>
      <c r="N88" s="52"/>
      <c r="O88" s="110">
        <f>SUM(M88:N88)</f>
        <v>8510</v>
      </c>
      <c r="P88" s="52"/>
      <c r="Q88" s="110">
        <f>SUM(O88:P88)</f>
        <v>8510</v>
      </c>
      <c r="R88" s="52"/>
      <c r="S88" s="110">
        <f>SUM(Q88:R88)</f>
        <v>8510</v>
      </c>
      <c r="T88" s="52"/>
      <c r="U88" s="110">
        <f>SUM(S88:T88)</f>
        <v>8510</v>
      </c>
      <c r="V88" s="52"/>
      <c r="W88" s="110">
        <f>SUM(U88:V88)</f>
        <v>8510</v>
      </c>
      <c r="X88" s="52"/>
      <c r="Y88" s="110">
        <f>SUM(W88:X88)</f>
        <v>8510</v>
      </c>
      <c r="Z88" s="52"/>
      <c r="AA88" s="110">
        <f>SUM(Y88:Z88)</f>
        <v>8510</v>
      </c>
      <c r="AB88" s="52"/>
      <c r="AC88" s="110">
        <f>SUM(AA88:AB88)</f>
        <v>8510</v>
      </c>
      <c r="AD88" s="52"/>
      <c r="AE88" s="110">
        <f>SUM(AC88:AD88)</f>
        <v>8510</v>
      </c>
    </row>
    <row r="89" spans="1:31" s="25" customFormat="1" ht="22.5" customHeight="1">
      <c r="A89" s="53"/>
      <c r="B89" s="54"/>
      <c r="C89" s="55" t="s">
        <v>132</v>
      </c>
      <c r="D89" s="48" t="s">
        <v>11</v>
      </c>
      <c r="E89" s="52">
        <v>9</v>
      </c>
      <c r="F89" s="52"/>
      <c r="G89" s="110">
        <f>SUM(E89:F89)</f>
        <v>9</v>
      </c>
      <c r="H89" s="52"/>
      <c r="I89" s="110">
        <f>SUM(G89:H89)</f>
        <v>9</v>
      </c>
      <c r="J89" s="52"/>
      <c r="K89" s="110">
        <f>SUM(I89:J89)</f>
        <v>9</v>
      </c>
      <c r="L89" s="52"/>
      <c r="M89" s="110">
        <f>SUM(K89:L89)</f>
        <v>9</v>
      </c>
      <c r="N89" s="52"/>
      <c r="O89" s="110">
        <f>SUM(M89:N89)</f>
        <v>9</v>
      </c>
      <c r="P89" s="52"/>
      <c r="Q89" s="110">
        <f>SUM(O89:P89)</f>
        <v>9</v>
      </c>
      <c r="R89" s="52"/>
      <c r="S89" s="110">
        <f>SUM(Q89:R89)</f>
        <v>9</v>
      </c>
      <c r="T89" s="52"/>
      <c r="U89" s="110">
        <f>SUM(S89:T89)</f>
        <v>9</v>
      </c>
      <c r="V89" s="52"/>
      <c r="W89" s="110">
        <f>SUM(U89:V89)</f>
        <v>9</v>
      </c>
      <c r="X89" s="52"/>
      <c r="Y89" s="110">
        <f>SUM(W89:X89)</f>
        <v>9</v>
      </c>
      <c r="Z89" s="52"/>
      <c r="AA89" s="110">
        <f>SUM(Y89:Z89)</f>
        <v>9</v>
      </c>
      <c r="AB89" s="52"/>
      <c r="AC89" s="110">
        <f>SUM(AA89:AB89)</f>
        <v>9</v>
      </c>
      <c r="AD89" s="52"/>
      <c r="AE89" s="110">
        <f>SUM(AC89:AD89)</f>
        <v>9</v>
      </c>
    </row>
    <row r="90" spans="1:31" s="25" customFormat="1" ht="22.5" customHeight="1">
      <c r="A90" s="53"/>
      <c r="B90" s="54"/>
      <c r="C90" s="55" t="s">
        <v>133</v>
      </c>
      <c r="D90" s="36" t="s">
        <v>12</v>
      </c>
      <c r="E90" s="52"/>
      <c r="F90" s="52"/>
      <c r="G90" s="110"/>
      <c r="H90" s="52"/>
      <c r="I90" s="110"/>
      <c r="J90" s="52"/>
      <c r="K90" s="110"/>
      <c r="L90" s="52"/>
      <c r="M90" s="110"/>
      <c r="N90" s="52"/>
      <c r="O90" s="110"/>
      <c r="P90" s="52"/>
      <c r="Q90" s="110"/>
      <c r="R90" s="52"/>
      <c r="S90" s="110"/>
      <c r="T90" s="52"/>
      <c r="U90" s="110">
        <v>0</v>
      </c>
      <c r="V90" s="52">
        <v>320</v>
      </c>
      <c r="W90" s="110">
        <f>SUM(U90:V90)</f>
        <v>320</v>
      </c>
      <c r="X90" s="52"/>
      <c r="Y90" s="110">
        <f>SUM(W90:X90)</f>
        <v>320</v>
      </c>
      <c r="Z90" s="52"/>
      <c r="AA90" s="110">
        <f>SUM(Y90:Z90)</f>
        <v>320</v>
      </c>
      <c r="AB90" s="52"/>
      <c r="AC90" s="110">
        <f>SUM(AA90:AB90)</f>
        <v>320</v>
      </c>
      <c r="AD90" s="52"/>
      <c r="AE90" s="110">
        <f>SUM(AC90:AD90)</f>
        <v>320</v>
      </c>
    </row>
    <row r="91" spans="1:31" s="25" customFormat="1" ht="22.5" customHeight="1">
      <c r="A91" s="53"/>
      <c r="B91" s="54"/>
      <c r="C91" s="55">
        <v>2400</v>
      </c>
      <c r="D91" s="36" t="s">
        <v>354</v>
      </c>
      <c r="E91" s="52"/>
      <c r="F91" s="52"/>
      <c r="G91" s="110"/>
      <c r="H91" s="52"/>
      <c r="I91" s="110"/>
      <c r="J91" s="52"/>
      <c r="K91" s="110"/>
      <c r="L91" s="52"/>
      <c r="M91" s="110"/>
      <c r="N91" s="52"/>
      <c r="O91" s="110"/>
      <c r="P91" s="52"/>
      <c r="Q91" s="110"/>
      <c r="R91" s="52"/>
      <c r="S91" s="110"/>
      <c r="T91" s="52"/>
      <c r="U91" s="110">
        <v>0</v>
      </c>
      <c r="V91" s="52">
        <v>1</v>
      </c>
      <c r="W91" s="110">
        <f>SUM(U91:V91)</f>
        <v>1</v>
      </c>
      <c r="X91" s="52"/>
      <c r="Y91" s="110">
        <f>SUM(W91:X91)</f>
        <v>1</v>
      </c>
      <c r="Z91" s="52"/>
      <c r="AA91" s="110">
        <f>SUM(Y91:Z91)</f>
        <v>1</v>
      </c>
      <c r="AB91" s="52"/>
      <c r="AC91" s="110">
        <f>SUM(AA91:AB91)</f>
        <v>1</v>
      </c>
      <c r="AD91" s="52"/>
      <c r="AE91" s="110">
        <f>SUM(AC91:AD91)</f>
        <v>1</v>
      </c>
    </row>
    <row r="92" spans="1:31" s="25" customFormat="1" ht="22.5" customHeight="1">
      <c r="A92" s="53"/>
      <c r="B92" s="54">
        <v>80148</v>
      </c>
      <c r="C92" s="55"/>
      <c r="D92" s="48" t="s">
        <v>223</v>
      </c>
      <c r="E92" s="52">
        <f aca="true" t="shared" si="98" ref="E92:K92">SUM(E93:E94)</f>
        <v>129806</v>
      </c>
      <c r="F92" s="52">
        <f t="shared" si="98"/>
        <v>0</v>
      </c>
      <c r="G92" s="52">
        <f t="shared" si="98"/>
        <v>129806</v>
      </c>
      <c r="H92" s="52">
        <f t="shared" si="98"/>
        <v>0</v>
      </c>
      <c r="I92" s="52">
        <f t="shared" si="98"/>
        <v>129806</v>
      </c>
      <c r="J92" s="52">
        <f t="shared" si="98"/>
        <v>0</v>
      </c>
      <c r="K92" s="52">
        <f t="shared" si="98"/>
        <v>129806</v>
      </c>
      <c r="L92" s="52">
        <f aca="true" t="shared" si="99" ref="L92:Q92">SUM(L93:L94)</f>
        <v>0</v>
      </c>
      <c r="M92" s="52">
        <f t="shared" si="99"/>
        <v>129806</v>
      </c>
      <c r="N92" s="52">
        <f t="shared" si="99"/>
        <v>0</v>
      </c>
      <c r="O92" s="52">
        <f t="shared" si="99"/>
        <v>129806</v>
      </c>
      <c r="P92" s="52">
        <f t="shared" si="99"/>
        <v>0</v>
      </c>
      <c r="Q92" s="52">
        <f t="shared" si="99"/>
        <v>129806</v>
      </c>
      <c r="R92" s="52">
        <f aca="true" t="shared" si="100" ref="R92:W92">SUM(R93:R94)</f>
        <v>0</v>
      </c>
      <c r="S92" s="52">
        <f t="shared" si="100"/>
        <v>129806</v>
      </c>
      <c r="T92" s="52">
        <f t="shared" si="100"/>
        <v>0</v>
      </c>
      <c r="U92" s="52">
        <f t="shared" si="100"/>
        <v>129806</v>
      </c>
      <c r="V92" s="52">
        <f t="shared" si="100"/>
        <v>0</v>
      </c>
      <c r="W92" s="52">
        <f t="shared" si="100"/>
        <v>129806</v>
      </c>
      <c r="X92" s="52">
        <f aca="true" t="shared" si="101" ref="X92:AC92">SUM(X93:X94)</f>
        <v>0</v>
      </c>
      <c r="Y92" s="52">
        <f t="shared" si="101"/>
        <v>129806</v>
      </c>
      <c r="Z92" s="52">
        <f t="shared" si="101"/>
        <v>0</v>
      </c>
      <c r="AA92" s="52">
        <f t="shared" si="101"/>
        <v>129806</v>
      </c>
      <c r="AB92" s="52">
        <f t="shared" si="101"/>
        <v>0</v>
      </c>
      <c r="AC92" s="52">
        <f t="shared" si="101"/>
        <v>129806</v>
      </c>
      <c r="AD92" s="52">
        <f>SUM(AD93:AD94)</f>
        <v>0</v>
      </c>
      <c r="AE92" s="52">
        <f>SUM(AE93:AE94)</f>
        <v>129806</v>
      </c>
    </row>
    <row r="93" spans="1:31" s="25" customFormat="1" ht="22.5" customHeight="1">
      <c r="A93" s="53"/>
      <c r="B93" s="54"/>
      <c r="C93" s="55" t="s">
        <v>162</v>
      </c>
      <c r="D93" s="48" t="s">
        <v>163</v>
      </c>
      <c r="E93" s="52">
        <v>129800</v>
      </c>
      <c r="F93" s="52"/>
      <c r="G93" s="110">
        <f>SUM(E93:F93)</f>
        <v>129800</v>
      </c>
      <c r="H93" s="52"/>
      <c r="I93" s="110">
        <f>SUM(G93:H93)</f>
        <v>129800</v>
      </c>
      <c r="J93" s="52"/>
      <c r="K93" s="110">
        <f>SUM(I93:J93)</f>
        <v>129800</v>
      </c>
      <c r="L93" s="52"/>
      <c r="M93" s="110">
        <f>SUM(K93:L93)</f>
        <v>129800</v>
      </c>
      <c r="N93" s="52"/>
      <c r="O93" s="110">
        <f>SUM(M93:N93)</f>
        <v>129800</v>
      </c>
      <c r="P93" s="52"/>
      <c r="Q93" s="110">
        <f>SUM(O93:P93)</f>
        <v>129800</v>
      </c>
      <c r="R93" s="52"/>
      <c r="S93" s="110">
        <f>SUM(Q93:R93)</f>
        <v>129800</v>
      </c>
      <c r="T93" s="52"/>
      <c r="U93" s="110">
        <f>SUM(S93:T93)</f>
        <v>129800</v>
      </c>
      <c r="V93" s="52"/>
      <c r="W93" s="110">
        <f>SUM(U93:V93)</f>
        <v>129800</v>
      </c>
      <c r="X93" s="52"/>
      <c r="Y93" s="110">
        <f>SUM(W93:X93)</f>
        <v>129800</v>
      </c>
      <c r="Z93" s="52"/>
      <c r="AA93" s="110">
        <f>SUM(Y93:Z93)</f>
        <v>129800</v>
      </c>
      <c r="AB93" s="52"/>
      <c r="AC93" s="110">
        <f>SUM(AA93:AB93)</f>
        <v>129800</v>
      </c>
      <c r="AD93" s="52"/>
      <c r="AE93" s="110">
        <f>SUM(AC93:AD93)</f>
        <v>129800</v>
      </c>
    </row>
    <row r="94" spans="1:31" s="25" customFormat="1" ht="22.5" customHeight="1">
      <c r="A94" s="53"/>
      <c r="B94" s="54"/>
      <c r="C94" s="55" t="s">
        <v>132</v>
      </c>
      <c r="D94" s="48" t="s">
        <v>11</v>
      </c>
      <c r="E94" s="52">
        <v>6</v>
      </c>
      <c r="F94" s="52"/>
      <c r="G94" s="110">
        <f>SUM(E94:F94)</f>
        <v>6</v>
      </c>
      <c r="H94" s="52"/>
      <c r="I94" s="110">
        <f>SUM(G94:H94)</f>
        <v>6</v>
      </c>
      <c r="J94" s="52"/>
      <c r="K94" s="110">
        <f>SUM(I94:J94)</f>
        <v>6</v>
      </c>
      <c r="L94" s="52"/>
      <c r="M94" s="110">
        <f>SUM(K94:L94)</f>
        <v>6</v>
      </c>
      <c r="N94" s="52"/>
      <c r="O94" s="110">
        <f>SUM(M94:N94)</f>
        <v>6</v>
      </c>
      <c r="P94" s="52"/>
      <c r="Q94" s="110">
        <f>SUM(O94:P94)</f>
        <v>6</v>
      </c>
      <c r="R94" s="52"/>
      <c r="S94" s="110">
        <f>SUM(Q94:R94)</f>
        <v>6</v>
      </c>
      <c r="T94" s="52"/>
      <c r="U94" s="110">
        <f>SUM(S94:T94)</f>
        <v>6</v>
      </c>
      <c r="V94" s="52"/>
      <c r="W94" s="110">
        <f>SUM(U94:V94)</f>
        <v>6</v>
      </c>
      <c r="X94" s="52"/>
      <c r="Y94" s="110">
        <f>SUM(W94:X94)</f>
        <v>6</v>
      </c>
      <c r="Z94" s="52"/>
      <c r="AA94" s="110">
        <f>SUM(Y94:Z94)</f>
        <v>6</v>
      </c>
      <c r="AB94" s="52"/>
      <c r="AC94" s="110">
        <f>SUM(AA94:AB94)</f>
        <v>6</v>
      </c>
      <c r="AD94" s="52"/>
      <c r="AE94" s="110">
        <f>SUM(AC94:AD94)</f>
        <v>6</v>
      </c>
    </row>
    <row r="95" spans="1:31" s="25" customFormat="1" ht="24" customHeight="1">
      <c r="A95" s="53"/>
      <c r="B95" s="54">
        <v>80195</v>
      </c>
      <c r="C95" s="55"/>
      <c r="D95" s="48" t="s">
        <v>6</v>
      </c>
      <c r="E95" s="52">
        <f aca="true" t="shared" si="102" ref="E95:AE95">SUM(E96)</f>
        <v>50986</v>
      </c>
      <c r="F95" s="52">
        <f t="shared" si="102"/>
        <v>0</v>
      </c>
      <c r="G95" s="52">
        <f t="shared" si="102"/>
        <v>50986</v>
      </c>
      <c r="H95" s="52">
        <f t="shared" si="102"/>
        <v>0</v>
      </c>
      <c r="I95" s="52">
        <f t="shared" si="102"/>
        <v>50986</v>
      </c>
      <c r="J95" s="52">
        <f t="shared" si="102"/>
        <v>0</v>
      </c>
      <c r="K95" s="52">
        <f t="shared" si="102"/>
        <v>50986</v>
      </c>
      <c r="L95" s="52">
        <f t="shared" si="102"/>
        <v>0</v>
      </c>
      <c r="M95" s="52">
        <f t="shared" si="102"/>
        <v>50986</v>
      </c>
      <c r="N95" s="52">
        <f t="shared" si="102"/>
        <v>0</v>
      </c>
      <c r="O95" s="52">
        <f t="shared" si="102"/>
        <v>50986</v>
      </c>
      <c r="P95" s="52">
        <f t="shared" si="102"/>
        <v>0</v>
      </c>
      <c r="Q95" s="52">
        <f t="shared" si="102"/>
        <v>50986</v>
      </c>
      <c r="R95" s="52">
        <f t="shared" si="102"/>
        <v>0</v>
      </c>
      <c r="S95" s="52">
        <f t="shared" si="102"/>
        <v>50986</v>
      </c>
      <c r="T95" s="52">
        <f t="shared" si="102"/>
        <v>0</v>
      </c>
      <c r="U95" s="52">
        <f t="shared" si="102"/>
        <v>50986</v>
      </c>
      <c r="V95" s="52">
        <f t="shared" si="102"/>
        <v>0</v>
      </c>
      <c r="W95" s="52">
        <f t="shared" si="102"/>
        <v>50986</v>
      </c>
      <c r="X95" s="52">
        <f t="shared" si="102"/>
        <v>0</v>
      </c>
      <c r="Y95" s="52">
        <f t="shared" si="102"/>
        <v>50986</v>
      </c>
      <c r="Z95" s="52">
        <f t="shared" si="102"/>
        <v>0</v>
      </c>
      <c r="AA95" s="52">
        <f t="shared" si="102"/>
        <v>50986</v>
      </c>
      <c r="AB95" s="52">
        <f t="shared" si="102"/>
        <v>0</v>
      </c>
      <c r="AC95" s="52">
        <f t="shared" si="102"/>
        <v>50986</v>
      </c>
      <c r="AD95" s="52">
        <f t="shared" si="102"/>
        <v>-50986</v>
      </c>
      <c r="AE95" s="52">
        <f t="shared" si="102"/>
        <v>0</v>
      </c>
    </row>
    <row r="96" spans="1:33" s="25" customFormat="1" ht="33.75">
      <c r="A96" s="53"/>
      <c r="B96" s="54"/>
      <c r="C96" s="55">
        <v>2030</v>
      </c>
      <c r="D96" s="58" t="s">
        <v>173</v>
      </c>
      <c r="E96" s="52">
        <v>50986</v>
      </c>
      <c r="F96" s="52"/>
      <c r="G96" s="110">
        <f>SUM(E96:F96)</f>
        <v>50986</v>
      </c>
      <c r="H96" s="52"/>
      <c r="I96" s="110">
        <f>SUM(G96:H96)</f>
        <v>50986</v>
      </c>
      <c r="J96" s="52"/>
      <c r="K96" s="110">
        <f>SUM(I96:J96)</f>
        <v>50986</v>
      </c>
      <c r="L96" s="52"/>
      <c r="M96" s="110">
        <f>SUM(K96:L96)</f>
        <v>50986</v>
      </c>
      <c r="N96" s="52"/>
      <c r="O96" s="110">
        <f>SUM(M96:N96)</f>
        <v>50986</v>
      </c>
      <c r="P96" s="52"/>
      <c r="Q96" s="110">
        <f>SUM(O96:P96)</f>
        <v>50986</v>
      </c>
      <c r="R96" s="52"/>
      <c r="S96" s="110">
        <f>SUM(Q96:R96)</f>
        <v>50986</v>
      </c>
      <c r="T96" s="52"/>
      <c r="U96" s="110">
        <f>SUM(S96:T96)</f>
        <v>50986</v>
      </c>
      <c r="V96" s="52"/>
      <c r="W96" s="110">
        <f>SUM(U96:V96)</f>
        <v>50986</v>
      </c>
      <c r="X96" s="52"/>
      <c r="Y96" s="110">
        <f>SUM(W96:X96)</f>
        <v>50986</v>
      </c>
      <c r="Z96" s="52"/>
      <c r="AA96" s="110">
        <f>SUM(Y96:Z96)</f>
        <v>50986</v>
      </c>
      <c r="AB96" s="52"/>
      <c r="AC96" s="110">
        <f>SUM(AA96:AB96)</f>
        <v>50986</v>
      </c>
      <c r="AD96" s="52">
        <v>-50986</v>
      </c>
      <c r="AE96" s="110">
        <f>SUM(AC96:AD96)</f>
        <v>0</v>
      </c>
      <c r="AF96" s="79"/>
      <c r="AG96" s="79"/>
    </row>
    <row r="97" spans="1:31" s="6" customFormat="1" ht="24.75" customHeight="1">
      <c r="A97" s="28" t="s">
        <v>125</v>
      </c>
      <c r="B97" s="2"/>
      <c r="C97" s="3"/>
      <c r="D97" s="29" t="s">
        <v>157</v>
      </c>
      <c r="E97" s="47">
        <f aca="true" t="shared" si="103" ref="E97:AE97">SUM(E98,E100,E103,E107,E112,)</f>
        <v>9133600</v>
      </c>
      <c r="F97" s="47">
        <f t="shared" si="103"/>
        <v>0</v>
      </c>
      <c r="G97" s="47">
        <f t="shared" si="103"/>
        <v>9133600</v>
      </c>
      <c r="H97" s="47">
        <f t="shared" si="103"/>
        <v>0</v>
      </c>
      <c r="I97" s="47">
        <f t="shared" si="103"/>
        <v>9133600</v>
      </c>
      <c r="J97" s="47">
        <f t="shared" si="103"/>
        <v>312600</v>
      </c>
      <c r="K97" s="47">
        <f t="shared" si="103"/>
        <v>9446200</v>
      </c>
      <c r="L97" s="47">
        <f t="shared" si="103"/>
        <v>13050</v>
      </c>
      <c r="M97" s="47">
        <f t="shared" si="103"/>
        <v>9459250</v>
      </c>
      <c r="N97" s="47">
        <f t="shared" si="103"/>
        <v>75000</v>
      </c>
      <c r="O97" s="47">
        <f t="shared" si="103"/>
        <v>9534250</v>
      </c>
      <c r="P97" s="47">
        <f t="shared" si="103"/>
        <v>0</v>
      </c>
      <c r="Q97" s="47">
        <f t="shared" si="103"/>
        <v>9534250</v>
      </c>
      <c r="R97" s="47">
        <f t="shared" si="103"/>
        <v>0</v>
      </c>
      <c r="S97" s="47">
        <f t="shared" si="103"/>
        <v>9534250</v>
      </c>
      <c r="T97" s="47">
        <f t="shared" si="103"/>
        <v>0</v>
      </c>
      <c r="U97" s="47">
        <f t="shared" si="103"/>
        <v>9534250</v>
      </c>
      <c r="V97" s="47">
        <f t="shared" si="103"/>
        <v>2750</v>
      </c>
      <c r="W97" s="47">
        <f t="shared" si="103"/>
        <v>9537000</v>
      </c>
      <c r="X97" s="47">
        <f t="shared" si="103"/>
        <v>0</v>
      </c>
      <c r="Y97" s="47">
        <f t="shared" si="103"/>
        <v>9537000</v>
      </c>
      <c r="Z97" s="47">
        <f t="shared" si="103"/>
        <v>196618</v>
      </c>
      <c r="AA97" s="47">
        <f t="shared" si="103"/>
        <v>9733618</v>
      </c>
      <c r="AB97" s="47">
        <f t="shared" si="103"/>
        <v>0</v>
      </c>
      <c r="AC97" s="47">
        <f t="shared" si="103"/>
        <v>9733618</v>
      </c>
      <c r="AD97" s="47">
        <f t="shared" si="103"/>
        <v>-803079</v>
      </c>
      <c r="AE97" s="47">
        <f t="shared" si="103"/>
        <v>8930539</v>
      </c>
    </row>
    <row r="98" spans="1:31" s="25" customFormat="1" ht="45">
      <c r="A98" s="53"/>
      <c r="B98" s="41">
        <v>85212</v>
      </c>
      <c r="C98" s="60"/>
      <c r="D98" s="58" t="s">
        <v>298</v>
      </c>
      <c r="E98" s="52">
        <f aca="true" t="shared" si="104" ref="E98:AB98">SUM(E99:E99)</f>
        <v>6479100</v>
      </c>
      <c r="F98" s="52">
        <f t="shared" si="104"/>
        <v>0</v>
      </c>
      <c r="G98" s="52">
        <f t="shared" si="104"/>
        <v>6479100</v>
      </c>
      <c r="H98" s="52">
        <f t="shared" si="104"/>
        <v>0</v>
      </c>
      <c r="I98" s="52">
        <f t="shared" si="104"/>
        <v>6479100</v>
      </c>
      <c r="J98" s="52">
        <f t="shared" si="104"/>
        <v>334300</v>
      </c>
      <c r="K98" s="52">
        <f t="shared" si="104"/>
        <v>6813400</v>
      </c>
      <c r="L98" s="52">
        <f t="shared" si="104"/>
        <v>0</v>
      </c>
      <c r="M98" s="52">
        <f t="shared" si="104"/>
        <v>6813400</v>
      </c>
      <c r="N98" s="52">
        <f t="shared" si="104"/>
        <v>0</v>
      </c>
      <c r="O98" s="52">
        <f t="shared" si="104"/>
        <v>6813400</v>
      </c>
      <c r="P98" s="52">
        <f t="shared" si="104"/>
        <v>0</v>
      </c>
      <c r="Q98" s="52">
        <f t="shared" si="104"/>
        <v>6813400</v>
      </c>
      <c r="R98" s="52">
        <f t="shared" si="104"/>
        <v>0</v>
      </c>
      <c r="S98" s="52">
        <f t="shared" si="104"/>
        <v>6813400</v>
      </c>
      <c r="T98" s="52">
        <f t="shared" si="104"/>
        <v>0</v>
      </c>
      <c r="U98" s="52">
        <f t="shared" si="104"/>
        <v>6813400</v>
      </c>
      <c r="V98" s="52">
        <f t="shared" si="104"/>
        <v>0</v>
      </c>
      <c r="W98" s="52">
        <f t="shared" si="104"/>
        <v>6813400</v>
      </c>
      <c r="X98" s="52">
        <f t="shared" si="104"/>
        <v>0</v>
      </c>
      <c r="Y98" s="52">
        <f t="shared" si="104"/>
        <v>6813400</v>
      </c>
      <c r="Z98" s="52">
        <f t="shared" si="104"/>
        <v>0</v>
      </c>
      <c r="AA98" s="52">
        <f t="shared" si="104"/>
        <v>6813400</v>
      </c>
      <c r="AB98" s="52">
        <f t="shared" si="104"/>
        <v>0</v>
      </c>
      <c r="AC98" s="52">
        <f>SUM(AC99:AC99)</f>
        <v>6813400</v>
      </c>
      <c r="AD98" s="52">
        <f>SUM(AD99:AD99)</f>
        <v>-763299</v>
      </c>
      <c r="AE98" s="52">
        <f>SUM(AE99:AE99)</f>
        <v>6050101</v>
      </c>
    </row>
    <row r="99" spans="1:33" s="25" customFormat="1" ht="56.25">
      <c r="A99" s="53"/>
      <c r="B99" s="41"/>
      <c r="C99" s="60">
        <v>2010</v>
      </c>
      <c r="D99" s="58" t="s">
        <v>172</v>
      </c>
      <c r="E99" s="52">
        <v>6479100</v>
      </c>
      <c r="F99" s="52"/>
      <c r="G99" s="110">
        <f>SUM(E99:F99)</f>
        <v>6479100</v>
      </c>
      <c r="H99" s="52"/>
      <c r="I99" s="110">
        <f>SUM(G99:H99)</f>
        <v>6479100</v>
      </c>
      <c r="J99" s="52">
        <v>334300</v>
      </c>
      <c r="K99" s="110">
        <f>SUM(I99:J99)</f>
        <v>6813400</v>
      </c>
      <c r="L99" s="52"/>
      <c r="M99" s="110">
        <f>SUM(K99:L99)</f>
        <v>6813400</v>
      </c>
      <c r="N99" s="52"/>
      <c r="O99" s="110">
        <f>SUM(M99:N99)</f>
        <v>6813400</v>
      </c>
      <c r="P99" s="52"/>
      <c r="Q99" s="110">
        <f>SUM(O99:P99)</f>
        <v>6813400</v>
      </c>
      <c r="R99" s="52"/>
      <c r="S99" s="110">
        <f>SUM(Q99:R99)</f>
        <v>6813400</v>
      </c>
      <c r="T99" s="52"/>
      <c r="U99" s="110">
        <f>SUM(S99:T99)</f>
        <v>6813400</v>
      </c>
      <c r="V99" s="52"/>
      <c r="W99" s="110">
        <f>SUM(U99:V99)</f>
        <v>6813400</v>
      </c>
      <c r="X99" s="52"/>
      <c r="Y99" s="110">
        <f>SUM(W99:X99)</f>
        <v>6813400</v>
      </c>
      <c r="Z99" s="52"/>
      <c r="AA99" s="110">
        <f>SUM(Y99:Z99)</f>
        <v>6813400</v>
      </c>
      <c r="AB99" s="52"/>
      <c r="AC99" s="110">
        <f>SUM(AA99:AB99)</f>
        <v>6813400</v>
      </c>
      <c r="AD99" s="52">
        <v>-763299</v>
      </c>
      <c r="AE99" s="110">
        <f>SUM(AC99:AD99)</f>
        <v>6050101</v>
      </c>
      <c r="AF99" s="79"/>
      <c r="AG99" s="79"/>
    </row>
    <row r="100" spans="1:31" s="25" customFormat="1" ht="46.5" customHeight="1">
      <c r="A100" s="53"/>
      <c r="B100" s="41">
        <v>85213</v>
      </c>
      <c r="C100" s="61"/>
      <c r="D100" s="58" t="s">
        <v>250</v>
      </c>
      <c r="E100" s="52">
        <f aca="true" t="shared" si="105" ref="E100:Z100">SUM(E101)</f>
        <v>59100</v>
      </c>
      <c r="F100" s="52">
        <f t="shared" si="105"/>
        <v>0</v>
      </c>
      <c r="G100" s="52">
        <f t="shared" si="105"/>
        <v>59100</v>
      </c>
      <c r="H100" s="52">
        <f t="shared" si="105"/>
        <v>0</v>
      </c>
      <c r="I100" s="52">
        <f t="shared" si="105"/>
        <v>59100</v>
      </c>
      <c r="J100" s="52">
        <f t="shared" si="105"/>
        <v>-4100</v>
      </c>
      <c r="K100" s="52">
        <f t="shared" si="105"/>
        <v>55000</v>
      </c>
      <c r="L100" s="52">
        <f t="shared" si="105"/>
        <v>0</v>
      </c>
      <c r="M100" s="52">
        <f t="shared" si="105"/>
        <v>55000</v>
      </c>
      <c r="N100" s="52">
        <f t="shared" si="105"/>
        <v>0</v>
      </c>
      <c r="O100" s="52">
        <f t="shared" si="105"/>
        <v>55000</v>
      </c>
      <c r="P100" s="52">
        <f t="shared" si="105"/>
        <v>0</v>
      </c>
      <c r="Q100" s="52">
        <f t="shared" si="105"/>
        <v>55000</v>
      </c>
      <c r="R100" s="52">
        <f t="shared" si="105"/>
        <v>0</v>
      </c>
      <c r="S100" s="52">
        <f t="shared" si="105"/>
        <v>55000</v>
      </c>
      <c r="T100" s="52">
        <f t="shared" si="105"/>
        <v>0</v>
      </c>
      <c r="U100" s="52">
        <f t="shared" si="105"/>
        <v>55000</v>
      </c>
      <c r="V100" s="52">
        <f t="shared" si="105"/>
        <v>0</v>
      </c>
      <c r="W100" s="52">
        <f t="shared" si="105"/>
        <v>55000</v>
      </c>
      <c r="X100" s="52">
        <f t="shared" si="105"/>
        <v>0</v>
      </c>
      <c r="Y100" s="52">
        <f t="shared" si="105"/>
        <v>55000</v>
      </c>
      <c r="Z100" s="52">
        <f t="shared" si="105"/>
        <v>0</v>
      </c>
      <c r="AA100" s="52">
        <f>SUM(AA101,AA102)</f>
        <v>55000</v>
      </c>
      <c r="AB100" s="52">
        <f>SUM(AB101,AB102)</f>
        <v>0</v>
      </c>
      <c r="AC100" s="52">
        <f>SUM(AC101,AC102)</f>
        <v>55000</v>
      </c>
      <c r="AD100" s="52">
        <f>SUM(AD101,AD102)</f>
        <v>-3945</v>
      </c>
      <c r="AE100" s="52">
        <f>SUM(AE101,AE102)</f>
        <v>51055</v>
      </c>
    </row>
    <row r="101" spans="1:33" s="25" customFormat="1" ht="56.25">
      <c r="A101" s="53"/>
      <c r="B101" s="41"/>
      <c r="C101" s="61">
        <v>2010</v>
      </c>
      <c r="D101" s="58" t="s">
        <v>172</v>
      </c>
      <c r="E101" s="52">
        <v>59100</v>
      </c>
      <c r="F101" s="52"/>
      <c r="G101" s="110">
        <f>SUM(E101:F101)</f>
        <v>59100</v>
      </c>
      <c r="H101" s="52"/>
      <c r="I101" s="110">
        <f>SUM(G101:H101)</f>
        <v>59100</v>
      </c>
      <c r="J101" s="52">
        <v>-4100</v>
      </c>
      <c r="K101" s="110">
        <f>SUM(I101:J101)</f>
        <v>55000</v>
      </c>
      <c r="L101" s="52"/>
      <c r="M101" s="110">
        <f>SUM(K101:L101)</f>
        <v>55000</v>
      </c>
      <c r="N101" s="52"/>
      <c r="O101" s="110">
        <f>SUM(M101:N101)</f>
        <v>55000</v>
      </c>
      <c r="P101" s="52"/>
      <c r="Q101" s="110">
        <f>SUM(O101:P101)</f>
        <v>55000</v>
      </c>
      <c r="R101" s="52"/>
      <c r="S101" s="110">
        <f>SUM(Q101:R101)</f>
        <v>55000</v>
      </c>
      <c r="T101" s="52"/>
      <c r="U101" s="110">
        <f>SUM(S101:T101)</f>
        <v>55000</v>
      </c>
      <c r="V101" s="52"/>
      <c r="W101" s="110">
        <f>SUM(U101:V101)</f>
        <v>55000</v>
      </c>
      <c r="X101" s="52"/>
      <c r="Y101" s="110">
        <f>SUM(W101:X101)</f>
        <v>55000</v>
      </c>
      <c r="Z101" s="52"/>
      <c r="AA101" s="110">
        <f>SUM(Y101:Z101)</f>
        <v>55000</v>
      </c>
      <c r="AB101" s="52">
        <v>-18550</v>
      </c>
      <c r="AC101" s="110">
        <f>SUM(AA101:AB101)</f>
        <v>36450</v>
      </c>
      <c r="AD101" s="52">
        <v>-3945</v>
      </c>
      <c r="AE101" s="110">
        <f>SUM(AC101:AD101)</f>
        <v>32505</v>
      </c>
      <c r="AF101" s="79"/>
      <c r="AG101" s="79"/>
    </row>
    <row r="102" spans="1:33" s="25" customFormat="1" ht="33.75">
      <c r="A102" s="53"/>
      <c r="B102" s="41"/>
      <c r="C102" s="61">
        <v>2030</v>
      </c>
      <c r="D102" s="58" t="s">
        <v>173</v>
      </c>
      <c r="E102" s="52"/>
      <c r="F102" s="52"/>
      <c r="G102" s="110"/>
      <c r="H102" s="52"/>
      <c r="I102" s="110"/>
      <c r="J102" s="52"/>
      <c r="K102" s="110"/>
      <c r="L102" s="52"/>
      <c r="M102" s="110"/>
      <c r="N102" s="52"/>
      <c r="O102" s="110"/>
      <c r="P102" s="52"/>
      <c r="Q102" s="110"/>
      <c r="R102" s="52"/>
      <c r="S102" s="110"/>
      <c r="T102" s="52"/>
      <c r="U102" s="110"/>
      <c r="V102" s="52"/>
      <c r="W102" s="110"/>
      <c r="X102" s="52"/>
      <c r="Y102" s="110"/>
      <c r="Z102" s="52"/>
      <c r="AA102" s="110">
        <v>0</v>
      </c>
      <c r="AB102" s="52">
        <v>18550</v>
      </c>
      <c r="AC102" s="110">
        <f>SUM(AA102:AB102)</f>
        <v>18550</v>
      </c>
      <c r="AD102" s="52"/>
      <c r="AE102" s="110">
        <f>SUM(AC102:AD102)</f>
        <v>18550</v>
      </c>
      <c r="AF102" s="79"/>
      <c r="AG102" s="79"/>
    </row>
    <row r="103" spans="1:31" s="25" customFormat="1" ht="26.25" customHeight="1">
      <c r="A103" s="53"/>
      <c r="B103" s="54" t="s">
        <v>126</v>
      </c>
      <c r="C103" s="61"/>
      <c r="D103" s="58" t="s">
        <v>56</v>
      </c>
      <c r="E103" s="52">
        <f aca="true" t="shared" si="106" ref="E103:K103">SUM(E104:E106)</f>
        <v>1126700</v>
      </c>
      <c r="F103" s="52">
        <f t="shared" si="106"/>
        <v>0</v>
      </c>
      <c r="G103" s="52">
        <f t="shared" si="106"/>
        <v>1126700</v>
      </c>
      <c r="H103" s="52">
        <f t="shared" si="106"/>
        <v>0</v>
      </c>
      <c r="I103" s="52">
        <f t="shared" si="106"/>
        <v>1126700</v>
      </c>
      <c r="J103" s="52">
        <f t="shared" si="106"/>
        <v>-17600</v>
      </c>
      <c r="K103" s="52">
        <f t="shared" si="106"/>
        <v>1109100</v>
      </c>
      <c r="L103" s="52">
        <f aca="true" t="shared" si="107" ref="L103:Q103">SUM(L104:L106)</f>
        <v>0</v>
      </c>
      <c r="M103" s="52">
        <f t="shared" si="107"/>
        <v>1109100</v>
      </c>
      <c r="N103" s="52">
        <f t="shared" si="107"/>
        <v>0</v>
      </c>
      <c r="O103" s="52">
        <f t="shared" si="107"/>
        <v>1109100</v>
      </c>
      <c r="P103" s="52">
        <f t="shared" si="107"/>
        <v>0</v>
      </c>
      <c r="Q103" s="52">
        <f t="shared" si="107"/>
        <v>1109100</v>
      </c>
      <c r="R103" s="52">
        <f aca="true" t="shared" si="108" ref="R103:W103">SUM(R104:R106)</f>
        <v>0</v>
      </c>
      <c r="S103" s="52">
        <f t="shared" si="108"/>
        <v>1109100</v>
      </c>
      <c r="T103" s="52">
        <f t="shared" si="108"/>
        <v>0</v>
      </c>
      <c r="U103" s="52">
        <f t="shared" si="108"/>
        <v>1109100</v>
      </c>
      <c r="V103" s="52">
        <f t="shared" si="108"/>
        <v>1400</v>
      </c>
      <c r="W103" s="52">
        <f t="shared" si="108"/>
        <v>1110500</v>
      </c>
      <c r="X103" s="52">
        <f aca="true" t="shared" si="109" ref="X103:AC103">SUM(X104:X106)</f>
        <v>0</v>
      </c>
      <c r="Y103" s="52">
        <f t="shared" si="109"/>
        <v>1110500</v>
      </c>
      <c r="Z103" s="52">
        <f t="shared" si="109"/>
        <v>110109</v>
      </c>
      <c r="AA103" s="52">
        <f t="shared" si="109"/>
        <v>1220609</v>
      </c>
      <c r="AB103" s="52">
        <f t="shared" si="109"/>
        <v>0</v>
      </c>
      <c r="AC103" s="52">
        <f t="shared" si="109"/>
        <v>1220609</v>
      </c>
      <c r="AD103" s="52">
        <f>SUM(AD104:AD106)</f>
        <v>0</v>
      </c>
      <c r="AE103" s="52">
        <f>SUM(AE104:AE106)</f>
        <v>1220609</v>
      </c>
    </row>
    <row r="104" spans="1:31" s="25" customFormat="1" ht="26.25" customHeight="1">
      <c r="A104" s="53"/>
      <c r="B104" s="54"/>
      <c r="C104" s="60" t="s">
        <v>162</v>
      </c>
      <c r="D104" s="58" t="s">
        <v>163</v>
      </c>
      <c r="E104" s="52">
        <v>2600</v>
      </c>
      <c r="F104" s="52"/>
      <c r="G104" s="110">
        <f>SUM(E104:F104)</f>
        <v>2600</v>
      </c>
      <c r="H104" s="52"/>
      <c r="I104" s="110">
        <f>SUM(G104:H104)</f>
        <v>2600</v>
      </c>
      <c r="J104" s="52"/>
      <c r="K104" s="110">
        <f>SUM(I104:J104)</f>
        <v>2600</v>
      </c>
      <c r="L104" s="52"/>
      <c r="M104" s="110">
        <f>SUM(K104:L104)</f>
        <v>2600</v>
      </c>
      <c r="N104" s="52"/>
      <c r="O104" s="110">
        <f>SUM(M104:N104)</f>
        <v>2600</v>
      </c>
      <c r="P104" s="52"/>
      <c r="Q104" s="110">
        <f>SUM(O104:P104)</f>
        <v>2600</v>
      </c>
      <c r="R104" s="52"/>
      <c r="S104" s="110">
        <f>SUM(Q104:R104)</f>
        <v>2600</v>
      </c>
      <c r="T104" s="52"/>
      <c r="U104" s="110">
        <f>SUM(S104:T104)</f>
        <v>2600</v>
      </c>
      <c r="V104" s="52">
        <v>1400</v>
      </c>
      <c r="W104" s="110">
        <f>SUM(U104:V104)</f>
        <v>4000</v>
      </c>
      <c r="X104" s="52"/>
      <c r="Y104" s="110">
        <f>SUM(W104:X104)</f>
        <v>4000</v>
      </c>
      <c r="Z104" s="52"/>
      <c r="AA104" s="110">
        <f>SUM(Y104:Z104)</f>
        <v>4000</v>
      </c>
      <c r="AB104" s="52"/>
      <c r="AC104" s="110">
        <f>SUM(AA104:AB104)</f>
        <v>4000</v>
      </c>
      <c r="AD104" s="52"/>
      <c r="AE104" s="110">
        <f>SUM(AC104:AD104)</f>
        <v>4000</v>
      </c>
    </row>
    <row r="105" spans="1:33" s="25" customFormat="1" ht="67.5" customHeight="1">
      <c r="A105" s="53"/>
      <c r="B105" s="54"/>
      <c r="C105" s="55">
        <v>2010</v>
      </c>
      <c r="D105" s="58" t="s">
        <v>172</v>
      </c>
      <c r="E105" s="52">
        <v>468000</v>
      </c>
      <c r="F105" s="52"/>
      <c r="G105" s="110">
        <f>SUM(E105:F105)</f>
        <v>468000</v>
      </c>
      <c r="H105" s="52"/>
      <c r="I105" s="110">
        <f>SUM(G105:H105)</f>
        <v>468000</v>
      </c>
      <c r="J105" s="52">
        <v>50700</v>
      </c>
      <c r="K105" s="110">
        <f>SUM(I105:J105)</f>
        <v>518700</v>
      </c>
      <c r="L105" s="52"/>
      <c r="M105" s="110">
        <f>SUM(K105:L105)</f>
        <v>518700</v>
      </c>
      <c r="N105" s="52"/>
      <c r="O105" s="110">
        <f>SUM(M105:N105)</f>
        <v>518700</v>
      </c>
      <c r="P105" s="52"/>
      <c r="Q105" s="110">
        <f>SUM(O105:P105)</f>
        <v>518700</v>
      </c>
      <c r="R105" s="52"/>
      <c r="S105" s="110">
        <f>SUM(Q105:R105)</f>
        <v>518700</v>
      </c>
      <c r="T105" s="52"/>
      <c r="U105" s="110">
        <f>SUM(S105:T105)</f>
        <v>518700</v>
      </c>
      <c r="V105" s="52"/>
      <c r="W105" s="110">
        <f>SUM(U105:V105)</f>
        <v>518700</v>
      </c>
      <c r="X105" s="52"/>
      <c r="Y105" s="110">
        <f>SUM(W105:X105)</f>
        <v>518700</v>
      </c>
      <c r="Z105" s="52"/>
      <c r="AA105" s="110">
        <f>SUM(Y105:Z105)</f>
        <v>518700</v>
      </c>
      <c r="AB105" s="52">
        <v>-273035</v>
      </c>
      <c r="AC105" s="110">
        <f>SUM(AA105:AB105)</f>
        <v>245665</v>
      </c>
      <c r="AD105" s="52"/>
      <c r="AE105" s="110">
        <f>SUM(AC105:AD105)</f>
        <v>245665</v>
      </c>
      <c r="AF105" s="79"/>
      <c r="AG105" s="79"/>
    </row>
    <row r="106" spans="1:33" s="25" customFormat="1" ht="48.75" customHeight="1">
      <c r="A106" s="53"/>
      <c r="B106" s="54"/>
      <c r="C106" s="55">
        <v>2030</v>
      </c>
      <c r="D106" s="58" t="s">
        <v>173</v>
      </c>
      <c r="E106" s="52">
        <v>656100</v>
      </c>
      <c r="F106" s="52"/>
      <c r="G106" s="110">
        <f>SUM(E106:F106)</f>
        <v>656100</v>
      </c>
      <c r="H106" s="52"/>
      <c r="I106" s="110">
        <f>SUM(G106:H106)</f>
        <v>656100</v>
      </c>
      <c r="J106" s="52">
        <v>-68300</v>
      </c>
      <c r="K106" s="110">
        <f>SUM(I106:J106)</f>
        <v>587800</v>
      </c>
      <c r="L106" s="52"/>
      <c r="M106" s="110">
        <f>SUM(K106:L106)</f>
        <v>587800</v>
      </c>
      <c r="N106" s="52"/>
      <c r="O106" s="110">
        <f>SUM(M106:N106)</f>
        <v>587800</v>
      </c>
      <c r="P106" s="52"/>
      <c r="Q106" s="110">
        <f>SUM(O106:P106)</f>
        <v>587800</v>
      </c>
      <c r="R106" s="52"/>
      <c r="S106" s="110">
        <f>SUM(Q106:R106)</f>
        <v>587800</v>
      </c>
      <c r="T106" s="52"/>
      <c r="U106" s="110">
        <f>SUM(S106:T106)</f>
        <v>587800</v>
      </c>
      <c r="V106" s="52"/>
      <c r="W106" s="110">
        <f>SUM(U106:V106)</f>
        <v>587800</v>
      </c>
      <c r="X106" s="52"/>
      <c r="Y106" s="110">
        <f>SUM(W106:X106)</f>
        <v>587800</v>
      </c>
      <c r="Z106" s="52">
        <v>110109</v>
      </c>
      <c r="AA106" s="110">
        <f>SUM(Y106:Z106)</f>
        <v>697909</v>
      </c>
      <c r="AB106" s="52">
        <v>273035</v>
      </c>
      <c r="AC106" s="110">
        <f>SUM(AA106:AB106)</f>
        <v>970944</v>
      </c>
      <c r="AD106" s="52"/>
      <c r="AE106" s="110">
        <f>SUM(AC106:AD106)</f>
        <v>970944</v>
      </c>
      <c r="AF106" s="79"/>
      <c r="AG106" s="79"/>
    </row>
    <row r="107" spans="1:31" s="25" customFormat="1" ht="24" customHeight="1">
      <c r="A107" s="53"/>
      <c r="B107" s="54" t="s">
        <v>127</v>
      </c>
      <c r="C107" s="61"/>
      <c r="D107" s="58" t="s">
        <v>57</v>
      </c>
      <c r="E107" s="52">
        <f aca="true" t="shared" si="110" ref="E107:K107">SUM(E108:E111)</f>
        <v>602400</v>
      </c>
      <c r="F107" s="52">
        <f t="shared" si="110"/>
        <v>0</v>
      </c>
      <c r="G107" s="52">
        <f t="shared" si="110"/>
        <v>602400</v>
      </c>
      <c r="H107" s="52">
        <f t="shared" si="110"/>
        <v>0</v>
      </c>
      <c r="I107" s="52">
        <f t="shared" si="110"/>
        <v>602400</v>
      </c>
      <c r="J107" s="52">
        <f t="shared" si="110"/>
        <v>0</v>
      </c>
      <c r="K107" s="52">
        <f t="shared" si="110"/>
        <v>602400</v>
      </c>
      <c r="L107" s="52">
        <f aca="true" t="shared" si="111" ref="L107:Q107">SUM(L108:L111)</f>
        <v>13050</v>
      </c>
      <c r="M107" s="52">
        <f t="shared" si="111"/>
        <v>615450</v>
      </c>
      <c r="N107" s="52">
        <f t="shared" si="111"/>
        <v>0</v>
      </c>
      <c r="O107" s="52">
        <f t="shared" si="111"/>
        <v>615450</v>
      </c>
      <c r="P107" s="52">
        <f t="shared" si="111"/>
        <v>0</v>
      </c>
      <c r="Q107" s="52">
        <f t="shared" si="111"/>
        <v>615450</v>
      </c>
      <c r="R107" s="52">
        <f aca="true" t="shared" si="112" ref="R107:W107">SUM(R108:R111)</f>
        <v>0</v>
      </c>
      <c r="S107" s="52">
        <f t="shared" si="112"/>
        <v>615450</v>
      </c>
      <c r="T107" s="52">
        <f t="shared" si="112"/>
        <v>0</v>
      </c>
      <c r="U107" s="52">
        <f t="shared" si="112"/>
        <v>615450</v>
      </c>
      <c r="V107" s="52">
        <f t="shared" si="112"/>
        <v>1350</v>
      </c>
      <c r="W107" s="52">
        <f t="shared" si="112"/>
        <v>616800</v>
      </c>
      <c r="X107" s="52">
        <f aca="true" t="shared" si="113" ref="X107:AC107">SUM(X108:X111)</f>
        <v>0</v>
      </c>
      <c r="Y107" s="52">
        <f t="shared" si="113"/>
        <v>616800</v>
      </c>
      <c r="Z107" s="52">
        <f t="shared" si="113"/>
        <v>11509</v>
      </c>
      <c r="AA107" s="52">
        <f t="shared" si="113"/>
        <v>628309</v>
      </c>
      <c r="AB107" s="52">
        <f t="shared" si="113"/>
        <v>0</v>
      </c>
      <c r="AC107" s="52">
        <f t="shared" si="113"/>
        <v>628309</v>
      </c>
      <c r="AD107" s="52">
        <f>SUM(AD108:AD111)</f>
        <v>-35835</v>
      </c>
      <c r="AE107" s="52">
        <f>SUM(AE108:AE111)</f>
        <v>592474</v>
      </c>
    </row>
    <row r="108" spans="1:31" s="25" customFormat="1" ht="76.5" customHeight="1">
      <c r="A108" s="53"/>
      <c r="B108" s="54"/>
      <c r="C108" s="60" t="s">
        <v>131</v>
      </c>
      <c r="D108" s="36" t="s">
        <v>55</v>
      </c>
      <c r="E108" s="52">
        <v>2800</v>
      </c>
      <c r="F108" s="52"/>
      <c r="G108" s="110">
        <f>SUM(E108:F108)</f>
        <v>2800</v>
      </c>
      <c r="H108" s="52"/>
      <c r="I108" s="110">
        <f>SUM(G108:H108)</f>
        <v>2800</v>
      </c>
      <c r="J108" s="52"/>
      <c r="K108" s="110">
        <f>SUM(I108:J108)</f>
        <v>2800</v>
      </c>
      <c r="L108" s="52"/>
      <c r="M108" s="110">
        <f>SUM(K108:L108)</f>
        <v>2800</v>
      </c>
      <c r="N108" s="52"/>
      <c r="O108" s="110">
        <f>SUM(M108:N108)</f>
        <v>2800</v>
      </c>
      <c r="P108" s="52"/>
      <c r="Q108" s="110">
        <f>SUM(O108:P108)</f>
        <v>2800</v>
      </c>
      <c r="R108" s="52"/>
      <c r="S108" s="110">
        <f>SUM(Q108:R108)</f>
        <v>2800</v>
      </c>
      <c r="T108" s="52"/>
      <c r="U108" s="110">
        <f>SUM(S108:T108)</f>
        <v>2800</v>
      </c>
      <c r="V108" s="52"/>
      <c r="W108" s="110">
        <f>SUM(U108:V108)</f>
        <v>2800</v>
      </c>
      <c r="X108" s="52"/>
      <c r="Y108" s="110">
        <f>SUM(W108:X108)</f>
        <v>2800</v>
      </c>
      <c r="Z108" s="52"/>
      <c r="AA108" s="110">
        <f>SUM(Y108:Z108)</f>
        <v>2800</v>
      </c>
      <c r="AB108" s="52"/>
      <c r="AC108" s="110">
        <f>SUM(AA108:AB108)</f>
        <v>2800</v>
      </c>
      <c r="AD108" s="52"/>
      <c r="AE108" s="110">
        <f>SUM(AC108:AD108)</f>
        <v>2800</v>
      </c>
    </row>
    <row r="109" spans="1:31" s="25" customFormat="1" ht="21.75" customHeight="1">
      <c r="A109" s="53"/>
      <c r="B109" s="54"/>
      <c r="C109" s="60" t="s">
        <v>132</v>
      </c>
      <c r="D109" s="58" t="s">
        <v>11</v>
      </c>
      <c r="E109" s="52">
        <v>1800</v>
      </c>
      <c r="F109" s="52"/>
      <c r="G109" s="110">
        <f>SUM(E109:F109)</f>
        <v>1800</v>
      </c>
      <c r="H109" s="52"/>
      <c r="I109" s="110">
        <f>SUM(G109:H109)</f>
        <v>1800</v>
      </c>
      <c r="J109" s="52"/>
      <c r="K109" s="110">
        <f>SUM(I109:J109)</f>
        <v>1800</v>
      </c>
      <c r="L109" s="52"/>
      <c r="M109" s="110">
        <f>SUM(K109:L109)</f>
        <v>1800</v>
      </c>
      <c r="N109" s="52"/>
      <c r="O109" s="110">
        <f>SUM(M109:N109)</f>
        <v>1800</v>
      </c>
      <c r="P109" s="52"/>
      <c r="Q109" s="110">
        <f>SUM(O109:P109)</f>
        <v>1800</v>
      </c>
      <c r="R109" s="52"/>
      <c r="S109" s="110">
        <f>SUM(Q109:R109)</f>
        <v>1800</v>
      </c>
      <c r="T109" s="52"/>
      <c r="U109" s="110">
        <f>SUM(S109:T109)</f>
        <v>1800</v>
      </c>
      <c r="V109" s="52"/>
      <c r="W109" s="110">
        <f>SUM(U109:V109)</f>
        <v>1800</v>
      </c>
      <c r="X109" s="52"/>
      <c r="Y109" s="110">
        <f>SUM(W109:X109)</f>
        <v>1800</v>
      </c>
      <c r="Z109" s="52"/>
      <c r="AA109" s="110">
        <f>SUM(Y109:Z109)</f>
        <v>1800</v>
      </c>
      <c r="AB109" s="52"/>
      <c r="AC109" s="110">
        <f>SUM(AA109:AB109)</f>
        <v>1800</v>
      </c>
      <c r="AD109" s="52"/>
      <c r="AE109" s="110">
        <f>SUM(AC109:AD109)</f>
        <v>1800</v>
      </c>
    </row>
    <row r="110" spans="1:31" s="25" customFormat="1" ht="21.75" customHeight="1">
      <c r="A110" s="53"/>
      <c r="B110" s="54"/>
      <c r="C110" s="60" t="s">
        <v>133</v>
      </c>
      <c r="D110" s="36" t="s">
        <v>12</v>
      </c>
      <c r="E110" s="52"/>
      <c r="F110" s="52"/>
      <c r="G110" s="110"/>
      <c r="H110" s="52"/>
      <c r="I110" s="110"/>
      <c r="J110" s="52"/>
      <c r="K110" s="110"/>
      <c r="L110" s="52"/>
      <c r="M110" s="110"/>
      <c r="N110" s="52"/>
      <c r="O110" s="110"/>
      <c r="P110" s="52"/>
      <c r="Q110" s="110"/>
      <c r="R110" s="52"/>
      <c r="S110" s="110"/>
      <c r="T110" s="52"/>
      <c r="U110" s="110">
        <v>0</v>
      </c>
      <c r="V110" s="52">
        <v>1350</v>
      </c>
      <c r="W110" s="110">
        <f>SUM(U110:V110)</f>
        <v>1350</v>
      </c>
      <c r="X110" s="52"/>
      <c r="Y110" s="110">
        <f>SUM(W110:X110)</f>
        <v>1350</v>
      </c>
      <c r="Z110" s="52"/>
      <c r="AA110" s="110">
        <f>SUM(Y110:Z110)</f>
        <v>1350</v>
      </c>
      <c r="AB110" s="52"/>
      <c r="AC110" s="110">
        <f>SUM(AA110:AB110)</f>
        <v>1350</v>
      </c>
      <c r="AD110" s="52"/>
      <c r="AE110" s="110">
        <f>SUM(AC110:AD110)</f>
        <v>1350</v>
      </c>
    </row>
    <row r="111" spans="1:33" s="25" customFormat="1" ht="33.75">
      <c r="A111" s="53"/>
      <c r="B111" s="54"/>
      <c r="C111" s="55">
        <v>2030</v>
      </c>
      <c r="D111" s="58" t="s">
        <v>173</v>
      </c>
      <c r="E111" s="52">
        <v>597800</v>
      </c>
      <c r="F111" s="52"/>
      <c r="G111" s="110">
        <f>SUM(E111:F111)</f>
        <v>597800</v>
      </c>
      <c r="H111" s="52"/>
      <c r="I111" s="110">
        <f>SUM(G111:H111)</f>
        <v>597800</v>
      </c>
      <c r="J111" s="52"/>
      <c r="K111" s="110">
        <f>SUM(I111:J111)</f>
        <v>597800</v>
      </c>
      <c r="L111" s="52">
        <v>13050</v>
      </c>
      <c r="M111" s="110">
        <f>SUM(K111:L111)</f>
        <v>610850</v>
      </c>
      <c r="N111" s="52"/>
      <c r="O111" s="110">
        <f>SUM(M111:N111)</f>
        <v>610850</v>
      </c>
      <c r="P111" s="52"/>
      <c r="Q111" s="110">
        <f>SUM(O111:P111)</f>
        <v>610850</v>
      </c>
      <c r="R111" s="52"/>
      <c r="S111" s="110">
        <f>SUM(Q111:R111)</f>
        <v>610850</v>
      </c>
      <c r="T111" s="52"/>
      <c r="U111" s="110">
        <f>SUM(S111:T111)</f>
        <v>610850</v>
      </c>
      <c r="V111" s="52"/>
      <c r="W111" s="110">
        <f>SUM(U111:V111)</f>
        <v>610850</v>
      </c>
      <c r="X111" s="52"/>
      <c r="Y111" s="110">
        <f>SUM(W111:X111)</f>
        <v>610850</v>
      </c>
      <c r="Z111" s="52">
        <v>11509</v>
      </c>
      <c r="AA111" s="110">
        <f>SUM(Y111:Z111)</f>
        <v>622359</v>
      </c>
      <c r="AB111" s="52"/>
      <c r="AC111" s="110">
        <f>SUM(AA111:AB111)</f>
        <v>622359</v>
      </c>
      <c r="AD111" s="52">
        <v>-35835</v>
      </c>
      <c r="AE111" s="110">
        <f>SUM(AC111:AD111)</f>
        <v>586524</v>
      </c>
      <c r="AF111" s="79"/>
      <c r="AG111" s="79"/>
    </row>
    <row r="112" spans="1:31" s="25" customFormat="1" ht="24" customHeight="1">
      <c r="A112" s="53"/>
      <c r="B112" s="54">
        <v>85295</v>
      </c>
      <c r="C112" s="55"/>
      <c r="D112" s="58" t="s">
        <v>166</v>
      </c>
      <c r="E112" s="52">
        <f aca="true" t="shared" si="114" ref="E112:K112">SUM(E113:E114)</f>
        <v>866300</v>
      </c>
      <c r="F112" s="52">
        <f t="shared" si="114"/>
        <v>0</v>
      </c>
      <c r="G112" s="52">
        <f t="shared" si="114"/>
        <v>866300</v>
      </c>
      <c r="H112" s="52">
        <f t="shared" si="114"/>
        <v>0</v>
      </c>
      <c r="I112" s="52">
        <f t="shared" si="114"/>
        <v>866300</v>
      </c>
      <c r="J112" s="52">
        <f t="shared" si="114"/>
        <v>0</v>
      </c>
      <c r="K112" s="52">
        <f t="shared" si="114"/>
        <v>866300</v>
      </c>
      <c r="L112" s="52">
        <f aca="true" t="shared" si="115" ref="L112:Q112">SUM(L113:L114)</f>
        <v>0</v>
      </c>
      <c r="M112" s="52">
        <f t="shared" si="115"/>
        <v>866300</v>
      </c>
      <c r="N112" s="52">
        <f t="shared" si="115"/>
        <v>75000</v>
      </c>
      <c r="O112" s="52">
        <f t="shared" si="115"/>
        <v>941300</v>
      </c>
      <c r="P112" s="52">
        <f t="shared" si="115"/>
        <v>0</v>
      </c>
      <c r="Q112" s="52">
        <f t="shared" si="115"/>
        <v>941300</v>
      </c>
      <c r="R112" s="52">
        <f aca="true" t="shared" si="116" ref="R112:W112">SUM(R113:R114)</f>
        <v>0</v>
      </c>
      <c r="S112" s="52">
        <f t="shared" si="116"/>
        <v>941300</v>
      </c>
      <c r="T112" s="52">
        <f t="shared" si="116"/>
        <v>0</v>
      </c>
      <c r="U112" s="52">
        <f t="shared" si="116"/>
        <v>941300</v>
      </c>
      <c r="V112" s="52">
        <f t="shared" si="116"/>
        <v>0</v>
      </c>
      <c r="W112" s="52">
        <f t="shared" si="116"/>
        <v>941300</v>
      </c>
      <c r="X112" s="52">
        <f aca="true" t="shared" si="117" ref="X112:AC112">SUM(X113:X114)</f>
        <v>0</v>
      </c>
      <c r="Y112" s="52">
        <f t="shared" si="117"/>
        <v>941300</v>
      </c>
      <c r="Z112" s="52">
        <f t="shared" si="117"/>
        <v>75000</v>
      </c>
      <c r="AA112" s="52">
        <f t="shared" si="117"/>
        <v>1016300</v>
      </c>
      <c r="AB112" s="52">
        <f t="shared" si="117"/>
        <v>0</v>
      </c>
      <c r="AC112" s="52">
        <f t="shared" si="117"/>
        <v>1016300</v>
      </c>
      <c r="AD112" s="52">
        <f>SUM(AD113:AD114)</f>
        <v>0</v>
      </c>
      <c r="AE112" s="52">
        <f>SUM(AE113:AE114)</f>
        <v>1016300</v>
      </c>
    </row>
    <row r="113" spans="1:31" s="25" customFormat="1" ht="24" customHeight="1">
      <c r="A113" s="53"/>
      <c r="B113" s="54"/>
      <c r="C113" s="60" t="s">
        <v>162</v>
      </c>
      <c r="D113" s="58" t="s">
        <v>163</v>
      </c>
      <c r="E113" s="52">
        <v>325000</v>
      </c>
      <c r="F113" s="52"/>
      <c r="G113" s="110">
        <f>SUM(E113:F113)</f>
        <v>325000</v>
      </c>
      <c r="H113" s="52"/>
      <c r="I113" s="110">
        <f>SUM(G113:H113)</f>
        <v>325000</v>
      </c>
      <c r="J113" s="52"/>
      <c r="K113" s="110">
        <f>SUM(I113:J113)</f>
        <v>325000</v>
      </c>
      <c r="L113" s="52"/>
      <c r="M113" s="110">
        <f>SUM(K113:L113)</f>
        <v>325000</v>
      </c>
      <c r="N113" s="52"/>
      <c r="O113" s="110">
        <f>SUM(M113:N113)</f>
        <v>325000</v>
      </c>
      <c r="P113" s="52"/>
      <c r="Q113" s="110">
        <f>SUM(O113:P113)</f>
        <v>325000</v>
      </c>
      <c r="R113" s="52"/>
      <c r="S113" s="110">
        <f>SUM(Q113:R113)</f>
        <v>325000</v>
      </c>
      <c r="T113" s="52"/>
      <c r="U113" s="110">
        <f>SUM(S113:T113)</f>
        <v>325000</v>
      </c>
      <c r="V113" s="52"/>
      <c r="W113" s="110">
        <f>SUM(U113:V113)</f>
        <v>325000</v>
      </c>
      <c r="X113" s="52"/>
      <c r="Y113" s="110">
        <f>SUM(W113:X113)</f>
        <v>325000</v>
      </c>
      <c r="Z113" s="52"/>
      <c r="AA113" s="110">
        <f>SUM(Y113:Z113)</f>
        <v>325000</v>
      </c>
      <c r="AB113" s="52"/>
      <c r="AC113" s="110">
        <f>SUM(AA113:AB113)</f>
        <v>325000</v>
      </c>
      <c r="AD113" s="52"/>
      <c r="AE113" s="110">
        <f>SUM(AC113:AD113)</f>
        <v>325000</v>
      </c>
    </row>
    <row r="114" spans="1:33" s="25" customFormat="1" ht="33.75">
      <c r="A114" s="53"/>
      <c r="B114" s="54"/>
      <c r="C114" s="55">
        <v>2030</v>
      </c>
      <c r="D114" s="58" t="s">
        <v>173</v>
      </c>
      <c r="E114" s="52">
        <v>541300</v>
      </c>
      <c r="F114" s="52"/>
      <c r="G114" s="110">
        <f>SUM(E114:F114)</f>
        <v>541300</v>
      </c>
      <c r="H114" s="52"/>
      <c r="I114" s="110">
        <f>SUM(G114:H114)</f>
        <v>541300</v>
      </c>
      <c r="J114" s="52"/>
      <c r="K114" s="110">
        <f>SUM(I114:J114)</f>
        <v>541300</v>
      </c>
      <c r="L114" s="52"/>
      <c r="M114" s="110">
        <f>SUM(K114:L114)</f>
        <v>541300</v>
      </c>
      <c r="N114" s="52">
        <v>75000</v>
      </c>
      <c r="O114" s="110">
        <f>SUM(M114:N114)</f>
        <v>616300</v>
      </c>
      <c r="P114" s="52"/>
      <c r="Q114" s="110">
        <f>SUM(O114:P114)</f>
        <v>616300</v>
      </c>
      <c r="R114" s="52"/>
      <c r="S114" s="110">
        <f>SUM(Q114:R114)</f>
        <v>616300</v>
      </c>
      <c r="T114" s="52"/>
      <c r="U114" s="110">
        <f>SUM(S114:T114)</f>
        <v>616300</v>
      </c>
      <c r="V114" s="52"/>
      <c r="W114" s="110">
        <f>SUM(U114:V114)</f>
        <v>616300</v>
      </c>
      <c r="X114" s="52"/>
      <c r="Y114" s="110">
        <f>SUM(W114:X114)</f>
        <v>616300</v>
      </c>
      <c r="Z114" s="52">
        <v>75000</v>
      </c>
      <c r="AA114" s="110">
        <f>SUM(Y114:Z114)</f>
        <v>691300</v>
      </c>
      <c r="AB114" s="52"/>
      <c r="AC114" s="110">
        <f>SUM(AA114:AB114)</f>
        <v>691300</v>
      </c>
      <c r="AD114" s="52"/>
      <c r="AE114" s="110">
        <f>SUM(AC114:AD114)</f>
        <v>691300</v>
      </c>
      <c r="AF114" s="79"/>
      <c r="AG114" s="79"/>
    </row>
    <row r="115" spans="1:31" s="98" customFormat="1" ht="24" customHeight="1">
      <c r="A115" s="142">
        <v>853</v>
      </c>
      <c r="B115" s="148"/>
      <c r="C115" s="149"/>
      <c r="D115" s="153" t="s">
        <v>241</v>
      </c>
      <c r="E115" s="150"/>
      <c r="F115" s="150"/>
      <c r="G115" s="151"/>
      <c r="H115" s="150"/>
      <c r="I115" s="151"/>
      <c r="J115" s="150"/>
      <c r="K115" s="151"/>
      <c r="L115" s="150"/>
      <c r="M115" s="151"/>
      <c r="N115" s="150"/>
      <c r="O115" s="151"/>
      <c r="P115" s="150"/>
      <c r="Q115" s="151"/>
      <c r="R115" s="150"/>
      <c r="S115" s="151"/>
      <c r="T115" s="150"/>
      <c r="U115" s="151">
        <f aca="true" t="shared" si="118" ref="U115:AE115">SUM(U116)</f>
        <v>0</v>
      </c>
      <c r="V115" s="151">
        <f t="shared" si="118"/>
        <v>175585</v>
      </c>
      <c r="W115" s="151">
        <f t="shared" si="118"/>
        <v>175585</v>
      </c>
      <c r="X115" s="151">
        <f t="shared" si="118"/>
        <v>0</v>
      </c>
      <c r="Y115" s="151">
        <f t="shared" si="118"/>
        <v>175585</v>
      </c>
      <c r="Z115" s="151">
        <f t="shared" si="118"/>
        <v>0</v>
      </c>
      <c r="AA115" s="151">
        <f t="shared" si="118"/>
        <v>175585</v>
      </c>
      <c r="AB115" s="151">
        <f t="shared" si="118"/>
        <v>0</v>
      </c>
      <c r="AC115" s="151">
        <f t="shared" si="118"/>
        <v>175585</v>
      </c>
      <c r="AD115" s="151">
        <f t="shared" si="118"/>
        <v>0</v>
      </c>
      <c r="AE115" s="151">
        <f t="shared" si="118"/>
        <v>175585</v>
      </c>
    </row>
    <row r="116" spans="1:31" s="25" customFormat="1" ht="23.25" customHeight="1">
      <c r="A116" s="53"/>
      <c r="B116" s="54">
        <v>85395</v>
      </c>
      <c r="C116" s="55"/>
      <c r="D116" s="58" t="s">
        <v>6</v>
      </c>
      <c r="E116" s="52"/>
      <c r="F116" s="52"/>
      <c r="G116" s="110"/>
      <c r="H116" s="52"/>
      <c r="I116" s="110"/>
      <c r="J116" s="52"/>
      <c r="K116" s="110"/>
      <c r="L116" s="52"/>
      <c r="M116" s="110"/>
      <c r="N116" s="52"/>
      <c r="O116" s="110"/>
      <c r="P116" s="52"/>
      <c r="Q116" s="110"/>
      <c r="R116" s="52"/>
      <c r="S116" s="110"/>
      <c r="T116" s="52"/>
      <c r="U116" s="110">
        <f aca="true" t="shared" si="119" ref="U116:AA116">SUM(U117:U118)</f>
        <v>0</v>
      </c>
      <c r="V116" s="110">
        <f t="shared" si="119"/>
        <v>175585</v>
      </c>
      <c r="W116" s="110">
        <f t="shared" si="119"/>
        <v>175585</v>
      </c>
      <c r="X116" s="110">
        <f t="shared" si="119"/>
        <v>0</v>
      </c>
      <c r="Y116" s="110">
        <f t="shared" si="119"/>
        <v>175585</v>
      </c>
      <c r="Z116" s="110">
        <f t="shared" si="119"/>
        <v>0</v>
      </c>
      <c r="AA116" s="110">
        <f t="shared" si="119"/>
        <v>175585</v>
      </c>
      <c r="AB116" s="110">
        <f>SUM(AB117:AB118)</f>
        <v>0</v>
      </c>
      <c r="AC116" s="110">
        <f>SUM(AC117:AC118)</f>
        <v>175585</v>
      </c>
      <c r="AD116" s="110">
        <f>SUM(AD117:AD118)</f>
        <v>0</v>
      </c>
      <c r="AE116" s="110">
        <f>SUM(AE117:AE118)</f>
        <v>175585</v>
      </c>
    </row>
    <row r="117" spans="1:31" s="25" customFormat="1" ht="56.25">
      <c r="A117" s="53"/>
      <c r="B117" s="54"/>
      <c r="C117" s="55">
        <v>2708</v>
      </c>
      <c r="D117" s="58" t="s">
        <v>344</v>
      </c>
      <c r="E117" s="52"/>
      <c r="F117" s="52"/>
      <c r="G117" s="110"/>
      <c r="H117" s="52"/>
      <c r="I117" s="110"/>
      <c r="J117" s="52"/>
      <c r="K117" s="110"/>
      <c r="L117" s="52"/>
      <c r="M117" s="110"/>
      <c r="N117" s="52"/>
      <c r="O117" s="110"/>
      <c r="P117" s="52"/>
      <c r="Q117" s="110"/>
      <c r="R117" s="52"/>
      <c r="S117" s="110"/>
      <c r="T117" s="52"/>
      <c r="U117" s="110">
        <v>0</v>
      </c>
      <c r="V117" s="52">
        <f>166757</f>
        <v>166757</v>
      </c>
      <c r="W117" s="110">
        <f>SUM(U117:V117)</f>
        <v>166757</v>
      </c>
      <c r="X117" s="52"/>
      <c r="Y117" s="110">
        <f>SUM(W117:X117)</f>
        <v>166757</v>
      </c>
      <c r="Z117" s="52"/>
      <c r="AA117" s="110">
        <f>SUM(Y117:Z117)</f>
        <v>166757</v>
      </c>
      <c r="AB117" s="52"/>
      <c r="AC117" s="110">
        <f>SUM(AA117:AB117)</f>
        <v>166757</v>
      </c>
      <c r="AD117" s="52"/>
      <c r="AE117" s="110">
        <f>SUM(AC117:AD117)</f>
        <v>166757</v>
      </c>
    </row>
    <row r="118" spans="1:31" s="25" customFormat="1" ht="56.25">
      <c r="A118" s="53"/>
      <c r="B118" s="54"/>
      <c r="C118" s="55">
        <v>2709</v>
      </c>
      <c r="D118" s="58" t="s">
        <v>344</v>
      </c>
      <c r="E118" s="52"/>
      <c r="F118" s="52"/>
      <c r="G118" s="110"/>
      <c r="H118" s="52"/>
      <c r="I118" s="110"/>
      <c r="J118" s="52"/>
      <c r="K118" s="110"/>
      <c r="L118" s="52"/>
      <c r="M118" s="110"/>
      <c r="N118" s="52"/>
      <c r="O118" s="110"/>
      <c r="P118" s="52"/>
      <c r="Q118" s="110"/>
      <c r="R118" s="52"/>
      <c r="S118" s="110"/>
      <c r="T118" s="52"/>
      <c r="U118" s="110">
        <v>0</v>
      </c>
      <c r="V118" s="52">
        <v>8828</v>
      </c>
      <c r="W118" s="110">
        <f>SUM(U118:V118)</f>
        <v>8828</v>
      </c>
      <c r="X118" s="52"/>
      <c r="Y118" s="110">
        <f>SUM(W118:X118)</f>
        <v>8828</v>
      </c>
      <c r="Z118" s="52"/>
      <c r="AA118" s="110">
        <f>SUM(Y118:Z118)</f>
        <v>8828</v>
      </c>
      <c r="AB118" s="52"/>
      <c r="AC118" s="110">
        <f>SUM(AA118:AB118)</f>
        <v>8828</v>
      </c>
      <c r="AD118" s="52"/>
      <c r="AE118" s="110">
        <f>SUM(AC118:AD118)</f>
        <v>8828</v>
      </c>
    </row>
    <row r="119" spans="1:31" s="98" customFormat="1" ht="22.5" customHeight="1">
      <c r="A119" s="142">
        <v>854</v>
      </c>
      <c r="B119" s="148"/>
      <c r="C119" s="149"/>
      <c r="D119" s="35" t="s">
        <v>58</v>
      </c>
      <c r="E119" s="150"/>
      <c r="F119" s="150"/>
      <c r="G119" s="151">
        <f aca="true" t="shared" si="120" ref="G119:AD120">SUM(G120)</f>
        <v>0</v>
      </c>
      <c r="H119" s="151">
        <f t="shared" si="120"/>
        <v>252163</v>
      </c>
      <c r="I119" s="151">
        <f t="shared" si="120"/>
        <v>252163</v>
      </c>
      <c r="J119" s="151">
        <f t="shared" si="120"/>
        <v>0</v>
      </c>
      <c r="K119" s="151">
        <f t="shared" si="120"/>
        <v>252163</v>
      </c>
      <c r="L119" s="151">
        <f t="shared" si="120"/>
        <v>0</v>
      </c>
      <c r="M119" s="151">
        <f t="shared" si="120"/>
        <v>252163</v>
      </c>
      <c r="N119" s="151">
        <f t="shared" si="120"/>
        <v>0</v>
      </c>
      <c r="O119" s="151">
        <f t="shared" si="120"/>
        <v>252163</v>
      </c>
      <c r="P119" s="151">
        <f t="shared" si="120"/>
        <v>0</v>
      </c>
      <c r="Q119" s="151">
        <f t="shared" si="120"/>
        <v>252163</v>
      </c>
      <c r="R119" s="151">
        <f t="shared" si="120"/>
        <v>0</v>
      </c>
      <c r="S119" s="151">
        <f t="shared" si="120"/>
        <v>252163</v>
      </c>
      <c r="T119" s="151">
        <f t="shared" si="120"/>
        <v>0</v>
      </c>
      <c r="U119" s="151">
        <f t="shared" si="120"/>
        <v>252163</v>
      </c>
      <c r="V119" s="151">
        <f t="shared" si="120"/>
        <v>0</v>
      </c>
      <c r="W119" s="151">
        <f>SUM(W120)</f>
        <v>252163</v>
      </c>
      <c r="X119" s="151">
        <f t="shared" si="120"/>
        <v>51940</v>
      </c>
      <c r="Y119" s="151">
        <f>SUM(Y120)</f>
        <v>304103</v>
      </c>
      <c r="Z119" s="151">
        <f t="shared" si="120"/>
        <v>0</v>
      </c>
      <c r="AA119" s="151">
        <f>SUM(AA120)</f>
        <v>304103</v>
      </c>
      <c r="AB119" s="151">
        <f t="shared" si="120"/>
        <v>0</v>
      </c>
      <c r="AC119" s="151">
        <f>SUM(AC120)</f>
        <v>304103</v>
      </c>
      <c r="AD119" s="151">
        <f t="shared" si="120"/>
        <v>0</v>
      </c>
      <c r="AE119" s="151">
        <f>SUM(AE120)</f>
        <v>304103</v>
      </c>
    </row>
    <row r="120" spans="1:31" s="25" customFormat="1" ht="22.5" customHeight="1">
      <c r="A120" s="53"/>
      <c r="B120" s="54">
        <v>85415</v>
      </c>
      <c r="C120" s="55"/>
      <c r="D120" s="36" t="s">
        <v>184</v>
      </c>
      <c r="E120" s="52"/>
      <c r="F120" s="52"/>
      <c r="G120" s="65">
        <f t="shared" si="120"/>
        <v>0</v>
      </c>
      <c r="H120" s="65">
        <f t="shared" si="120"/>
        <v>252163</v>
      </c>
      <c r="I120" s="65">
        <f t="shared" si="120"/>
        <v>252163</v>
      </c>
      <c r="J120" s="65">
        <f t="shared" si="120"/>
        <v>0</v>
      </c>
      <c r="K120" s="65">
        <f t="shared" si="120"/>
        <v>252163</v>
      </c>
      <c r="L120" s="65">
        <f t="shared" si="120"/>
        <v>0</v>
      </c>
      <c r="M120" s="65">
        <f t="shared" si="120"/>
        <v>252163</v>
      </c>
      <c r="N120" s="65">
        <f t="shared" si="120"/>
        <v>0</v>
      </c>
      <c r="O120" s="65">
        <f t="shared" si="120"/>
        <v>252163</v>
      </c>
      <c r="P120" s="65">
        <f t="shared" si="120"/>
        <v>0</v>
      </c>
      <c r="Q120" s="65">
        <f t="shared" si="120"/>
        <v>252163</v>
      </c>
      <c r="R120" s="65">
        <f t="shared" si="120"/>
        <v>0</v>
      </c>
      <c r="S120" s="65">
        <f t="shared" si="120"/>
        <v>252163</v>
      </c>
      <c r="T120" s="65">
        <f t="shared" si="120"/>
        <v>0</v>
      </c>
      <c r="U120" s="65">
        <f t="shared" si="120"/>
        <v>252163</v>
      </c>
      <c r="V120" s="65">
        <f>SUM(V121)</f>
        <v>0</v>
      </c>
      <c r="W120" s="65">
        <f>SUM(W121)</f>
        <v>252163</v>
      </c>
      <c r="X120" s="65">
        <f>SUM(X121)</f>
        <v>51940</v>
      </c>
      <c r="Y120" s="65">
        <f>SUM(Y121)</f>
        <v>304103</v>
      </c>
      <c r="Z120" s="65">
        <f>SUM(Z121)</f>
        <v>0</v>
      </c>
      <c r="AA120" s="65">
        <f>SUM(AA121)</f>
        <v>304103</v>
      </c>
      <c r="AB120" s="65">
        <f>SUM(AB121)</f>
        <v>0</v>
      </c>
      <c r="AC120" s="65">
        <f>SUM(AC121)</f>
        <v>304103</v>
      </c>
      <c r="AD120" s="65">
        <f>SUM(AD121)</f>
        <v>0</v>
      </c>
      <c r="AE120" s="65">
        <f>SUM(AE121)</f>
        <v>304103</v>
      </c>
    </row>
    <row r="121" spans="1:33" s="25" customFormat="1" ht="33.75">
      <c r="A121" s="53"/>
      <c r="B121" s="54"/>
      <c r="C121" s="55">
        <v>2030</v>
      </c>
      <c r="D121" s="58" t="s">
        <v>173</v>
      </c>
      <c r="E121" s="52"/>
      <c r="F121" s="52"/>
      <c r="G121" s="65">
        <v>0</v>
      </c>
      <c r="H121" s="52">
        <v>252163</v>
      </c>
      <c r="I121" s="65">
        <f>SUM(G121:H121)</f>
        <v>252163</v>
      </c>
      <c r="J121" s="52"/>
      <c r="K121" s="65">
        <f>SUM(I121:J121)</f>
        <v>252163</v>
      </c>
      <c r="L121" s="52"/>
      <c r="M121" s="65">
        <f>SUM(K121:L121)</f>
        <v>252163</v>
      </c>
      <c r="N121" s="52"/>
      <c r="O121" s="65">
        <f>SUM(M121:N121)</f>
        <v>252163</v>
      </c>
      <c r="P121" s="52"/>
      <c r="Q121" s="65">
        <f>SUM(O121:P121)</f>
        <v>252163</v>
      </c>
      <c r="R121" s="52"/>
      <c r="S121" s="65">
        <f>SUM(Q121:R121)</f>
        <v>252163</v>
      </c>
      <c r="T121" s="52"/>
      <c r="U121" s="65">
        <f>SUM(S121:T121)</f>
        <v>252163</v>
      </c>
      <c r="V121" s="52"/>
      <c r="W121" s="65">
        <f>SUM(U121:V121)</f>
        <v>252163</v>
      </c>
      <c r="X121" s="52">
        <v>51940</v>
      </c>
      <c r="Y121" s="65">
        <f>SUM(W121:X121)</f>
        <v>304103</v>
      </c>
      <c r="Z121" s="52"/>
      <c r="AA121" s="65">
        <f>SUM(Y121:Z121)</f>
        <v>304103</v>
      </c>
      <c r="AB121" s="52"/>
      <c r="AC121" s="65">
        <f>SUM(AA121:AB121)</f>
        <v>304103</v>
      </c>
      <c r="AD121" s="52"/>
      <c r="AE121" s="65">
        <f>SUM(AC121:AD121)</f>
        <v>304103</v>
      </c>
      <c r="AF121" s="79"/>
      <c r="AG121" s="79"/>
    </row>
    <row r="122" spans="1:31" s="7" customFormat="1" ht="24" customHeight="1">
      <c r="A122" s="28">
        <v>900</v>
      </c>
      <c r="B122" s="30"/>
      <c r="C122" s="31"/>
      <c r="D122" s="29" t="s">
        <v>59</v>
      </c>
      <c r="E122" s="47">
        <f aca="true" t="shared" si="121" ref="E122:K122">SUM(E127,E123)</f>
        <v>16000</v>
      </c>
      <c r="F122" s="47">
        <f t="shared" si="121"/>
        <v>0</v>
      </c>
      <c r="G122" s="47">
        <f t="shared" si="121"/>
        <v>16000</v>
      </c>
      <c r="H122" s="47">
        <f t="shared" si="121"/>
        <v>0</v>
      </c>
      <c r="I122" s="47">
        <f t="shared" si="121"/>
        <v>16000</v>
      </c>
      <c r="J122" s="47">
        <f t="shared" si="121"/>
        <v>0</v>
      </c>
      <c r="K122" s="47">
        <f t="shared" si="121"/>
        <v>16000</v>
      </c>
      <c r="L122" s="47">
        <f aca="true" t="shared" si="122" ref="L122:Q122">SUM(L127,L123)</f>
        <v>0</v>
      </c>
      <c r="M122" s="47">
        <f t="shared" si="122"/>
        <v>16000</v>
      </c>
      <c r="N122" s="47">
        <f t="shared" si="122"/>
        <v>0</v>
      </c>
      <c r="O122" s="47">
        <f t="shared" si="122"/>
        <v>16000</v>
      </c>
      <c r="P122" s="47">
        <f t="shared" si="122"/>
        <v>0</v>
      </c>
      <c r="Q122" s="47">
        <f t="shared" si="122"/>
        <v>16000</v>
      </c>
      <c r="R122" s="47">
        <f aca="true" t="shared" si="123" ref="R122:W122">SUM(R127,R123)</f>
        <v>0</v>
      </c>
      <c r="S122" s="47">
        <f t="shared" si="123"/>
        <v>16000</v>
      </c>
      <c r="T122" s="47">
        <f t="shared" si="123"/>
        <v>0</v>
      </c>
      <c r="U122" s="47">
        <f t="shared" si="123"/>
        <v>16000</v>
      </c>
      <c r="V122" s="47">
        <f t="shared" si="123"/>
        <v>0</v>
      </c>
      <c r="W122" s="47">
        <f t="shared" si="123"/>
        <v>16000</v>
      </c>
      <c r="X122" s="47">
        <f>SUM(X127,X123)</f>
        <v>0</v>
      </c>
      <c r="Y122" s="47">
        <f>SUM(Y127,Y123)</f>
        <v>16000</v>
      </c>
      <c r="Z122" s="47">
        <f>SUM(Z127,Z123)</f>
        <v>0</v>
      </c>
      <c r="AA122" s="47">
        <f>SUM(AA127,AA123,AA125)</f>
        <v>16000</v>
      </c>
      <c r="AB122" s="47">
        <f>SUM(AB127,AB123,AB125)</f>
        <v>2700</v>
      </c>
      <c r="AC122" s="47">
        <f>SUM(AC127,AC123,AC125)</f>
        <v>18700</v>
      </c>
      <c r="AD122" s="47">
        <f>SUM(AD127,AD123,AD125)</f>
        <v>0</v>
      </c>
      <c r="AE122" s="47">
        <f>SUM(AE127,AE123,AE125)</f>
        <v>18700</v>
      </c>
    </row>
    <row r="123" spans="1:31" s="100" customFormat="1" ht="24" customHeight="1">
      <c r="A123" s="101"/>
      <c r="B123" s="102">
        <v>90001</v>
      </c>
      <c r="C123" s="103"/>
      <c r="D123" s="36" t="s">
        <v>60</v>
      </c>
      <c r="E123" s="104">
        <f aca="true" t="shared" si="124" ref="E123:AE123">SUM(E124)</f>
        <v>10000</v>
      </c>
      <c r="F123" s="104">
        <f t="shared" si="124"/>
        <v>0</v>
      </c>
      <c r="G123" s="104">
        <f t="shared" si="124"/>
        <v>10000</v>
      </c>
      <c r="H123" s="104">
        <f t="shared" si="124"/>
        <v>0</v>
      </c>
      <c r="I123" s="104">
        <f t="shared" si="124"/>
        <v>10000</v>
      </c>
      <c r="J123" s="104">
        <f t="shared" si="124"/>
        <v>0</v>
      </c>
      <c r="K123" s="104">
        <f t="shared" si="124"/>
        <v>10000</v>
      </c>
      <c r="L123" s="104">
        <f t="shared" si="124"/>
        <v>0</v>
      </c>
      <c r="M123" s="104">
        <f t="shared" si="124"/>
        <v>10000</v>
      </c>
      <c r="N123" s="104">
        <f t="shared" si="124"/>
        <v>0</v>
      </c>
      <c r="O123" s="104">
        <f t="shared" si="124"/>
        <v>10000</v>
      </c>
      <c r="P123" s="104">
        <f t="shared" si="124"/>
        <v>0</v>
      </c>
      <c r="Q123" s="104">
        <f t="shared" si="124"/>
        <v>10000</v>
      </c>
      <c r="R123" s="104">
        <f t="shared" si="124"/>
        <v>0</v>
      </c>
      <c r="S123" s="104">
        <f t="shared" si="124"/>
        <v>10000</v>
      </c>
      <c r="T123" s="104">
        <f t="shared" si="124"/>
        <v>0</v>
      </c>
      <c r="U123" s="104">
        <f t="shared" si="124"/>
        <v>10000</v>
      </c>
      <c r="V123" s="104">
        <f t="shared" si="124"/>
        <v>0</v>
      </c>
      <c r="W123" s="104">
        <f t="shared" si="124"/>
        <v>10000</v>
      </c>
      <c r="X123" s="104">
        <f t="shared" si="124"/>
        <v>0</v>
      </c>
      <c r="Y123" s="104">
        <f t="shared" si="124"/>
        <v>10000</v>
      </c>
      <c r="Z123" s="104">
        <f t="shared" si="124"/>
        <v>0</v>
      </c>
      <c r="AA123" s="104">
        <f t="shared" si="124"/>
        <v>10000</v>
      </c>
      <c r="AB123" s="104">
        <f t="shared" si="124"/>
        <v>0</v>
      </c>
      <c r="AC123" s="104">
        <f t="shared" si="124"/>
        <v>10000</v>
      </c>
      <c r="AD123" s="104">
        <f t="shared" si="124"/>
        <v>0</v>
      </c>
      <c r="AE123" s="104">
        <f t="shared" si="124"/>
        <v>10000</v>
      </c>
    </row>
    <row r="124" spans="1:31" s="100" customFormat="1" ht="24" customHeight="1">
      <c r="A124" s="105"/>
      <c r="B124" s="106"/>
      <c r="C124" s="60" t="s">
        <v>133</v>
      </c>
      <c r="D124" s="58" t="s">
        <v>12</v>
      </c>
      <c r="E124" s="104">
        <v>10000</v>
      </c>
      <c r="F124" s="104"/>
      <c r="G124" s="110">
        <f>SUM(E124:F124)</f>
        <v>10000</v>
      </c>
      <c r="H124" s="104"/>
      <c r="I124" s="110">
        <f>SUM(G124:H124)</f>
        <v>10000</v>
      </c>
      <c r="J124" s="104"/>
      <c r="K124" s="110">
        <f>SUM(I124:J124)</f>
        <v>10000</v>
      </c>
      <c r="L124" s="104"/>
      <c r="M124" s="110">
        <f>SUM(K124:L124)</f>
        <v>10000</v>
      </c>
      <c r="N124" s="104"/>
      <c r="O124" s="110">
        <f>SUM(M124:N124)</f>
        <v>10000</v>
      </c>
      <c r="P124" s="104"/>
      <c r="Q124" s="110">
        <f>SUM(O124:P124)</f>
        <v>10000</v>
      </c>
      <c r="R124" s="104"/>
      <c r="S124" s="110">
        <f>SUM(Q124:R124)</f>
        <v>10000</v>
      </c>
      <c r="T124" s="104"/>
      <c r="U124" s="110">
        <f>SUM(S124:T124)</f>
        <v>10000</v>
      </c>
      <c r="V124" s="104"/>
      <c r="W124" s="110">
        <f>SUM(U124:V124)</f>
        <v>10000</v>
      </c>
      <c r="X124" s="104"/>
      <c r="Y124" s="110">
        <f>SUM(W124:X124)</f>
        <v>10000</v>
      </c>
      <c r="Z124" s="104"/>
      <c r="AA124" s="110">
        <f>SUM(Y124:Z124)</f>
        <v>10000</v>
      </c>
      <c r="AB124" s="104"/>
      <c r="AC124" s="110">
        <f>SUM(AA124:AB124)</f>
        <v>10000</v>
      </c>
      <c r="AD124" s="104"/>
      <c r="AE124" s="110">
        <f>SUM(AC124:AD124)</f>
        <v>10000</v>
      </c>
    </row>
    <row r="125" spans="1:31" s="100" customFormat="1" ht="24" customHeight="1">
      <c r="A125" s="105"/>
      <c r="B125" s="102">
        <v>90002</v>
      </c>
      <c r="C125" s="60"/>
      <c r="D125" s="36" t="s">
        <v>454</v>
      </c>
      <c r="E125" s="104"/>
      <c r="F125" s="104"/>
      <c r="G125" s="110"/>
      <c r="H125" s="104"/>
      <c r="I125" s="110"/>
      <c r="J125" s="104"/>
      <c r="K125" s="110"/>
      <c r="L125" s="104"/>
      <c r="M125" s="110"/>
      <c r="N125" s="104"/>
      <c r="O125" s="110"/>
      <c r="P125" s="104"/>
      <c r="Q125" s="110"/>
      <c r="R125" s="104"/>
      <c r="S125" s="110"/>
      <c r="T125" s="104"/>
      <c r="U125" s="110"/>
      <c r="V125" s="104"/>
      <c r="W125" s="110"/>
      <c r="X125" s="104"/>
      <c r="Y125" s="110"/>
      <c r="Z125" s="104"/>
      <c r="AA125" s="110">
        <f>SUM(AA126)</f>
        <v>0</v>
      </c>
      <c r="AB125" s="110">
        <f>SUM(AB126)</f>
        <v>2700</v>
      </c>
      <c r="AC125" s="110">
        <f>SUM(AC126)</f>
        <v>2700</v>
      </c>
      <c r="AD125" s="110">
        <f>SUM(AD126)</f>
        <v>0</v>
      </c>
      <c r="AE125" s="110">
        <f>SUM(AE126)</f>
        <v>2700</v>
      </c>
    </row>
    <row r="126" spans="1:31" s="100" customFormat="1" ht="24" customHeight="1">
      <c r="A126" s="105"/>
      <c r="B126" s="106"/>
      <c r="C126" s="60" t="s">
        <v>467</v>
      </c>
      <c r="D126" s="58" t="s">
        <v>491</v>
      </c>
      <c r="E126" s="104"/>
      <c r="F126" s="104"/>
      <c r="G126" s="110"/>
      <c r="H126" s="104"/>
      <c r="I126" s="110"/>
      <c r="J126" s="104"/>
      <c r="K126" s="110"/>
      <c r="L126" s="104"/>
      <c r="M126" s="110"/>
      <c r="N126" s="104"/>
      <c r="O126" s="110"/>
      <c r="P126" s="104"/>
      <c r="Q126" s="110"/>
      <c r="R126" s="104"/>
      <c r="S126" s="110"/>
      <c r="T126" s="104"/>
      <c r="U126" s="110"/>
      <c r="V126" s="104"/>
      <c r="W126" s="110"/>
      <c r="X126" s="104"/>
      <c r="Y126" s="110"/>
      <c r="Z126" s="104"/>
      <c r="AA126" s="110">
        <v>0</v>
      </c>
      <c r="AB126" s="104">
        <v>2700</v>
      </c>
      <c r="AC126" s="110">
        <f>SUM(AA126:AB126)</f>
        <v>2700</v>
      </c>
      <c r="AD126" s="104"/>
      <c r="AE126" s="110">
        <f>SUM(AC126:AD126)</f>
        <v>2700</v>
      </c>
    </row>
    <row r="127" spans="1:31" s="25" customFormat="1" ht="24" customHeight="1">
      <c r="A127" s="53"/>
      <c r="B127" s="54">
        <v>90095</v>
      </c>
      <c r="C127" s="55"/>
      <c r="D127" s="58" t="s">
        <v>6</v>
      </c>
      <c r="E127" s="52">
        <f aca="true" t="shared" si="125" ref="E127:AE127">SUM(E128)</f>
        <v>6000</v>
      </c>
      <c r="F127" s="52">
        <f t="shared" si="125"/>
        <v>0</v>
      </c>
      <c r="G127" s="52">
        <f t="shared" si="125"/>
        <v>6000</v>
      </c>
      <c r="H127" s="52">
        <f t="shared" si="125"/>
        <v>0</v>
      </c>
      <c r="I127" s="52">
        <f t="shared" si="125"/>
        <v>6000</v>
      </c>
      <c r="J127" s="52">
        <f t="shared" si="125"/>
        <v>0</v>
      </c>
      <c r="K127" s="52">
        <f t="shared" si="125"/>
        <v>6000</v>
      </c>
      <c r="L127" s="52">
        <f t="shared" si="125"/>
        <v>0</v>
      </c>
      <c r="M127" s="52">
        <f t="shared" si="125"/>
        <v>6000</v>
      </c>
      <c r="N127" s="52">
        <f t="shared" si="125"/>
        <v>0</v>
      </c>
      <c r="O127" s="52">
        <f t="shared" si="125"/>
        <v>6000</v>
      </c>
      <c r="P127" s="52">
        <f t="shared" si="125"/>
        <v>0</v>
      </c>
      <c r="Q127" s="52">
        <f t="shared" si="125"/>
        <v>6000</v>
      </c>
      <c r="R127" s="52">
        <f t="shared" si="125"/>
        <v>0</v>
      </c>
      <c r="S127" s="52">
        <f t="shared" si="125"/>
        <v>6000</v>
      </c>
      <c r="T127" s="52">
        <f t="shared" si="125"/>
        <v>0</v>
      </c>
      <c r="U127" s="52">
        <f t="shared" si="125"/>
        <v>6000</v>
      </c>
      <c r="V127" s="52">
        <f t="shared" si="125"/>
        <v>0</v>
      </c>
      <c r="W127" s="52">
        <f t="shared" si="125"/>
        <v>6000</v>
      </c>
      <c r="X127" s="52">
        <f t="shared" si="125"/>
        <v>0</v>
      </c>
      <c r="Y127" s="52">
        <f t="shared" si="125"/>
        <v>6000</v>
      </c>
      <c r="Z127" s="52">
        <f t="shared" si="125"/>
        <v>0</v>
      </c>
      <c r="AA127" s="52">
        <f t="shared" si="125"/>
        <v>6000</v>
      </c>
      <c r="AB127" s="52">
        <f t="shared" si="125"/>
        <v>0</v>
      </c>
      <c r="AC127" s="52">
        <f t="shared" si="125"/>
        <v>6000</v>
      </c>
      <c r="AD127" s="52">
        <f t="shared" si="125"/>
        <v>0</v>
      </c>
      <c r="AE127" s="52">
        <f t="shared" si="125"/>
        <v>6000</v>
      </c>
    </row>
    <row r="128" spans="1:31" s="25" customFormat="1" ht="21.75" customHeight="1">
      <c r="A128" s="53"/>
      <c r="B128" s="54"/>
      <c r="C128" s="55" t="s">
        <v>147</v>
      </c>
      <c r="D128" s="58" t="s">
        <v>221</v>
      </c>
      <c r="E128" s="52">
        <v>6000</v>
      </c>
      <c r="F128" s="52"/>
      <c r="G128" s="110">
        <f>SUM(E128:F128)</f>
        <v>6000</v>
      </c>
      <c r="H128" s="52"/>
      <c r="I128" s="110">
        <f>SUM(G128:H128)</f>
        <v>6000</v>
      </c>
      <c r="J128" s="52"/>
      <c r="K128" s="110">
        <f>SUM(I128:J128)</f>
        <v>6000</v>
      </c>
      <c r="L128" s="52"/>
      <c r="M128" s="110">
        <f>SUM(K128:L128)</f>
        <v>6000</v>
      </c>
      <c r="N128" s="52"/>
      <c r="O128" s="110">
        <f>SUM(M128:N128)</f>
        <v>6000</v>
      </c>
      <c r="P128" s="52"/>
      <c r="Q128" s="110">
        <f>SUM(O128:P128)</f>
        <v>6000</v>
      </c>
      <c r="R128" s="52"/>
      <c r="S128" s="110">
        <f>SUM(Q128:R128)</f>
        <v>6000</v>
      </c>
      <c r="T128" s="52"/>
      <c r="U128" s="110">
        <f>SUM(S128:T128)</f>
        <v>6000</v>
      </c>
      <c r="V128" s="52"/>
      <c r="W128" s="110">
        <f>SUM(U128:V128)</f>
        <v>6000</v>
      </c>
      <c r="X128" s="52"/>
      <c r="Y128" s="110">
        <f>SUM(W128:X128)</f>
        <v>6000</v>
      </c>
      <c r="Z128" s="52"/>
      <c r="AA128" s="110">
        <f>SUM(Y128:Z128)</f>
        <v>6000</v>
      </c>
      <c r="AB128" s="52"/>
      <c r="AC128" s="110">
        <f>SUM(AA128:AB128)</f>
        <v>6000</v>
      </c>
      <c r="AD128" s="52"/>
      <c r="AE128" s="110">
        <f>SUM(AC128:AD128)</f>
        <v>6000</v>
      </c>
    </row>
    <row r="129" spans="1:31" s="7" customFormat="1" ht="24" customHeight="1">
      <c r="A129" s="28" t="s">
        <v>61</v>
      </c>
      <c r="B129" s="2"/>
      <c r="C129" s="3"/>
      <c r="D129" s="29" t="s">
        <v>67</v>
      </c>
      <c r="E129" s="47">
        <f>SUM(E132)</f>
        <v>60000</v>
      </c>
      <c r="F129" s="47">
        <f>SUM(F132)</f>
        <v>0</v>
      </c>
      <c r="G129" s="47">
        <f>SUM(G132)</f>
        <v>60000</v>
      </c>
      <c r="H129" s="47">
        <f>SUM(H132)</f>
        <v>0</v>
      </c>
      <c r="I129" s="47">
        <f aca="true" t="shared" si="126" ref="I129:O129">SUM(I130,I132)</f>
        <v>60000</v>
      </c>
      <c r="J129" s="47">
        <f t="shared" si="126"/>
        <v>9350</v>
      </c>
      <c r="K129" s="47">
        <f t="shared" si="126"/>
        <v>69350</v>
      </c>
      <c r="L129" s="47">
        <f t="shared" si="126"/>
        <v>0</v>
      </c>
      <c r="M129" s="47">
        <f t="shared" si="126"/>
        <v>69350</v>
      </c>
      <c r="N129" s="47">
        <f t="shared" si="126"/>
        <v>0</v>
      </c>
      <c r="O129" s="47">
        <f t="shared" si="126"/>
        <v>69350</v>
      </c>
      <c r="P129" s="47">
        <f aca="true" t="shared" si="127" ref="P129:U129">SUM(P130,P132)</f>
        <v>0</v>
      </c>
      <c r="Q129" s="47">
        <f t="shared" si="127"/>
        <v>69350</v>
      </c>
      <c r="R129" s="47">
        <f t="shared" si="127"/>
        <v>0</v>
      </c>
      <c r="S129" s="47">
        <f t="shared" si="127"/>
        <v>69350</v>
      </c>
      <c r="T129" s="47">
        <f t="shared" si="127"/>
        <v>0</v>
      </c>
      <c r="U129" s="47">
        <f t="shared" si="127"/>
        <v>69350</v>
      </c>
      <c r="V129" s="47">
        <f aca="true" t="shared" si="128" ref="V129:AA129">SUM(V130,V132)</f>
        <v>0</v>
      </c>
      <c r="W129" s="47">
        <f t="shared" si="128"/>
        <v>69350</v>
      </c>
      <c r="X129" s="47">
        <f t="shared" si="128"/>
        <v>0</v>
      </c>
      <c r="Y129" s="47">
        <f t="shared" si="128"/>
        <v>69350</v>
      </c>
      <c r="Z129" s="47">
        <f t="shared" si="128"/>
        <v>0</v>
      </c>
      <c r="AA129" s="47">
        <f t="shared" si="128"/>
        <v>69350</v>
      </c>
      <c r="AB129" s="47">
        <f>SUM(AB130,AB132)</f>
        <v>0</v>
      </c>
      <c r="AC129" s="47">
        <f>SUM(AC130,AC132)</f>
        <v>69350</v>
      </c>
      <c r="AD129" s="47">
        <f>SUM(AD130,AD132)</f>
        <v>0</v>
      </c>
      <c r="AE129" s="47">
        <f>SUM(AE130,AE132)</f>
        <v>69350</v>
      </c>
    </row>
    <row r="130" spans="1:31" s="100" customFormat="1" ht="24" customHeight="1">
      <c r="A130" s="101"/>
      <c r="B130" s="107">
        <v>92105</v>
      </c>
      <c r="C130" s="112"/>
      <c r="D130" s="154" t="s">
        <v>301</v>
      </c>
      <c r="E130" s="104"/>
      <c r="F130" s="104"/>
      <c r="G130" s="104"/>
      <c r="H130" s="104"/>
      <c r="I130" s="104">
        <f aca="true" t="shared" si="129" ref="I130:AE130">SUM(I131)</f>
        <v>0</v>
      </c>
      <c r="J130" s="104">
        <f t="shared" si="129"/>
        <v>9350</v>
      </c>
      <c r="K130" s="104">
        <f t="shared" si="129"/>
        <v>9350</v>
      </c>
      <c r="L130" s="104">
        <f t="shared" si="129"/>
        <v>0</v>
      </c>
      <c r="M130" s="104">
        <f t="shared" si="129"/>
        <v>9350</v>
      </c>
      <c r="N130" s="104">
        <f t="shared" si="129"/>
        <v>0</v>
      </c>
      <c r="O130" s="104">
        <f t="shared" si="129"/>
        <v>9350</v>
      </c>
      <c r="P130" s="104">
        <f t="shared" si="129"/>
        <v>0</v>
      </c>
      <c r="Q130" s="104">
        <f t="shared" si="129"/>
        <v>9350</v>
      </c>
      <c r="R130" s="104">
        <f t="shared" si="129"/>
        <v>0</v>
      </c>
      <c r="S130" s="104">
        <f t="shared" si="129"/>
        <v>9350</v>
      </c>
      <c r="T130" s="104">
        <f t="shared" si="129"/>
        <v>0</v>
      </c>
      <c r="U130" s="104">
        <f t="shared" si="129"/>
        <v>9350</v>
      </c>
      <c r="V130" s="104">
        <f t="shared" si="129"/>
        <v>0</v>
      </c>
      <c r="W130" s="104">
        <f t="shared" si="129"/>
        <v>9350</v>
      </c>
      <c r="X130" s="104">
        <f t="shared" si="129"/>
        <v>0</v>
      </c>
      <c r="Y130" s="104">
        <f t="shared" si="129"/>
        <v>9350</v>
      </c>
      <c r="Z130" s="104">
        <f t="shared" si="129"/>
        <v>0</v>
      </c>
      <c r="AA130" s="104">
        <f t="shared" si="129"/>
        <v>9350</v>
      </c>
      <c r="AB130" s="104">
        <f t="shared" si="129"/>
        <v>0</v>
      </c>
      <c r="AC130" s="104">
        <f t="shared" si="129"/>
        <v>9350</v>
      </c>
      <c r="AD130" s="104">
        <f t="shared" si="129"/>
        <v>0</v>
      </c>
      <c r="AE130" s="104">
        <f t="shared" si="129"/>
        <v>9350</v>
      </c>
    </row>
    <row r="131" spans="1:33" s="100" customFormat="1" ht="51" customHeight="1">
      <c r="A131" s="101"/>
      <c r="B131" s="107"/>
      <c r="C131" s="112">
        <v>2320</v>
      </c>
      <c r="D131" s="58" t="s">
        <v>174</v>
      </c>
      <c r="E131" s="104"/>
      <c r="F131" s="104"/>
      <c r="G131" s="104"/>
      <c r="H131" s="104"/>
      <c r="I131" s="104">
        <v>0</v>
      </c>
      <c r="J131" s="104">
        <f>2850+6500</f>
        <v>9350</v>
      </c>
      <c r="K131" s="104">
        <f>SUM(I131:J131)</f>
        <v>9350</v>
      </c>
      <c r="L131" s="104"/>
      <c r="M131" s="104">
        <f>SUM(K131:L131)</f>
        <v>9350</v>
      </c>
      <c r="N131" s="104"/>
      <c r="O131" s="104">
        <f>SUM(M131:N131)</f>
        <v>9350</v>
      </c>
      <c r="P131" s="104"/>
      <c r="Q131" s="104">
        <f>SUM(O131:P131)</f>
        <v>9350</v>
      </c>
      <c r="R131" s="104"/>
      <c r="S131" s="104">
        <f>SUM(Q131:R131)</f>
        <v>9350</v>
      </c>
      <c r="T131" s="104"/>
      <c r="U131" s="104">
        <f>SUM(S131:T131)</f>
        <v>9350</v>
      </c>
      <c r="V131" s="104"/>
      <c r="W131" s="104">
        <f>SUM(U131:V131)</f>
        <v>9350</v>
      </c>
      <c r="X131" s="104"/>
      <c r="Y131" s="104">
        <f>SUM(W131:X131)</f>
        <v>9350</v>
      </c>
      <c r="Z131" s="104"/>
      <c r="AA131" s="104">
        <f>SUM(Y131:Z131)</f>
        <v>9350</v>
      </c>
      <c r="AB131" s="104"/>
      <c r="AC131" s="104">
        <f>SUM(AA131:AB131)</f>
        <v>9350</v>
      </c>
      <c r="AD131" s="104"/>
      <c r="AE131" s="104">
        <f>SUM(AC131:AD131)</f>
        <v>9350</v>
      </c>
      <c r="AF131" s="234"/>
      <c r="AG131" s="234"/>
    </row>
    <row r="132" spans="1:31" s="25" customFormat="1" ht="24" customHeight="1">
      <c r="A132" s="53"/>
      <c r="B132" s="54" t="s">
        <v>62</v>
      </c>
      <c r="C132" s="61"/>
      <c r="D132" s="58" t="s">
        <v>63</v>
      </c>
      <c r="E132" s="52">
        <f aca="true" t="shared" si="130" ref="E132:AE132">SUM(E133)</f>
        <v>60000</v>
      </c>
      <c r="F132" s="52">
        <f t="shared" si="130"/>
        <v>0</v>
      </c>
      <c r="G132" s="52">
        <f t="shared" si="130"/>
        <v>60000</v>
      </c>
      <c r="H132" s="52">
        <f t="shared" si="130"/>
        <v>0</v>
      </c>
      <c r="I132" s="52">
        <f t="shared" si="130"/>
        <v>60000</v>
      </c>
      <c r="J132" s="52">
        <f t="shared" si="130"/>
        <v>0</v>
      </c>
      <c r="K132" s="52">
        <f t="shared" si="130"/>
        <v>60000</v>
      </c>
      <c r="L132" s="52">
        <f t="shared" si="130"/>
        <v>0</v>
      </c>
      <c r="M132" s="52">
        <f t="shared" si="130"/>
        <v>60000</v>
      </c>
      <c r="N132" s="52">
        <f t="shared" si="130"/>
        <v>0</v>
      </c>
      <c r="O132" s="52">
        <f t="shared" si="130"/>
        <v>60000</v>
      </c>
      <c r="P132" s="52">
        <f t="shared" si="130"/>
        <v>0</v>
      </c>
      <c r="Q132" s="52">
        <f t="shared" si="130"/>
        <v>60000</v>
      </c>
      <c r="R132" s="52">
        <f t="shared" si="130"/>
        <v>0</v>
      </c>
      <c r="S132" s="52">
        <f t="shared" si="130"/>
        <v>60000</v>
      </c>
      <c r="T132" s="52">
        <f t="shared" si="130"/>
        <v>0</v>
      </c>
      <c r="U132" s="52">
        <f t="shared" si="130"/>
        <v>60000</v>
      </c>
      <c r="V132" s="52">
        <f t="shared" si="130"/>
        <v>0</v>
      </c>
      <c r="W132" s="52">
        <f t="shared" si="130"/>
        <v>60000</v>
      </c>
      <c r="X132" s="52">
        <f t="shared" si="130"/>
        <v>0</v>
      </c>
      <c r="Y132" s="52">
        <f t="shared" si="130"/>
        <v>60000</v>
      </c>
      <c r="Z132" s="52">
        <f t="shared" si="130"/>
        <v>0</v>
      </c>
      <c r="AA132" s="52">
        <f t="shared" si="130"/>
        <v>60000</v>
      </c>
      <c r="AB132" s="52">
        <f t="shared" si="130"/>
        <v>0</v>
      </c>
      <c r="AC132" s="52">
        <f t="shared" si="130"/>
        <v>60000</v>
      </c>
      <c r="AD132" s="52">
        <f t="shared" si="130"/>
        <v>0</v>
      </c>
      <c r="AE132" s="52">
        <f t="shared" si="130"/>
        <v>60000</v>
      </c>
    </row>
    <row r="133" spans="1:33" s="25" customFormat="1" ht="54.75" customHeight="1">
      <c r="A133" s="54"/>
      <c r="B133" s="54"/>
      <c r="C133" s="55">
        <v>2320</v>
      </c>
      <c r="D133" s="58" t="s">
        <v>174</v>
      </c>
      <c r="E133" s="52">
        <v>60000</v>
      </c>
      <c r="F133" s="52"/>
      <c r="G133" s="110">
        <f>SUM(E133:F133)</f>
        <v>60000</v>
      </c>
      <c r="H133" s="52"/>
      <c r="I133" s="110">
        <f>SUM(G133:H133)</f>
        <v>60000</v>
      </c>
      <c r="J133" s="52"/>
      <c r="K133" s="110">
        <f>SUM(I133:J133)</f>
        <v>60000</v>
      </c>
      <c r="L133" s="52"/>
      <c r="M133" s="110">
        <f>SUM(K133:L133)</f>
        <v>60000</v>
      </c>
      <c r="N133" s="52"/>
      <c r="O133" s="110">
        <f>SUM(M133:N133)</f>
        <v>60000</v>
      </c>
      <c r="P133" s="52"/>
      <c r="Q133" s="110">
        <f>SUM(O133:P133)</f>
        <v>60000</v>
      </c>
      <c r="R133" s="52"/>
      <c r="S133" s="110">
        <f>SUM(Q133:R133)</f>
        <v>60000</v>
      </c>
      <c r="T133" s="52"/>
      <c r="U133" s="110">
        <f>SUM(S133:T133)</f>
        <v>60000</v>
      </c>
      <c r="V133" s="52"/>
      <c r="W133" s="110">
        <f>SUM(U133:V133)</f>
        <v>60000</v>
      </c>
      <c r="X133" s="52"/>
      <c r="Y133" s="110">
        <f>SUM(W133:X133)</f>
        <v>60000</v>
      </c>
      <c r="Z133" s="52"/>
      <c r="AA133" s="110">
        <f>SUM(Y133:Z133)</f>
        <v>60000</v>
      </c>
      <c r="AB133" s="52"/>
      <c r="AC133" s="110">
        <f>SUM(AA133:AB133)</f>
        <v>60000</v>
      </c>
      <c r="AD133" s="52"/>
      <c r="AE133" s="110">
        <f>SUM(AC133:AD133)</f>
        <v>60000</v>
      </c>
      <c r="AF133" s="79"/>
      <c r="AG133" s="79"/>
    </row>
    <row r="134" spans="1:31" s="98" customFormat="1" ht="30" customHeight="1">
      <c r="A134" s="148">
        <v>926</v>
      </c>
      <c r="B134" s="148"/>
      <c r="C134" s="148"/>
      <c r="D134" s="35" t="s">
        <v>111</v>
      </c>
      <c r="E134" s="150"/>
      <c r="F134" s="150"/>
      <c r="G134" s="151"/>
      <c r="H134" s="150"/>
      <c r="I134" s="151">
        <f aca="true" t="shared" si="131" ref="I134:AD135">SUM(I135)</f>
        <v>0</v>
      </c>
      <c r="J134" s="151">
        <f t="shared" si="131"/>
        <v>3200</v>
      </c>
      <c r="K134" s="151">
        <f t="shared" si="131"/>
        <v>3200</v>
      </c>
      <c r="L134" s="151">
        <f t="shared" si="131"/>
        <v>0</v>
      </c>
      <c r="M134" s="151">
        <f t="shared" si="131"/>
        <v>3200</v>
      </c>
      <c r="N134" s="151">
        <f t="shared" si="131"/>
        <v>0</v>
      </c>
      <c r="O134" s="151">
        <f t="shared" si="131"/>
        <v>3200</v>
      </c>
      <c r="P134" s="151">
        <f t="shared" si="131"/>
        <v>0</v>
      </c>
      <c r="Q134" s="151">
        <f t="shared" si="131"/>
        <v>3200</v>
      </c>
      <c r="R134" s="151">
        <f t="shared" si="131"/>
        <v>0</v>
      </c>
      <c r="S134" s="151">
        <f t="shared" si="131"/>
        <v>3200</v>
      </c>
      <c r="T134" s="151">
        <f t="shared" si="131"/>
        <v>0</v>
      </c>
      <c r="U134" s="151">
        <f t="shared" si="131"/>
        <v>3200</v>
      </c>
      <c r="V134" s="151">
        <f t="shared" si="131"/>
        <v>0</v>
      </c>
      <c r="W134" s="151">
        <f t="shared" si="131"/>
        <v>3200</v>
      </c>
      <c r="X134" s="151">
        <f t="shared" si="131"/>
        <v>0</v>
      </c>
      <c r="Y134" s="151">
        <f>SUM(Y135)</f>
        <v>3200</v>
      </c>
      <c r="Z134" s="151">
        <f t="shared" si="131"/>
        <v>0</v>
      </c>
      <c r="AA134" s="151">
        <f>SUM(AA135)</f>
        <v>3200</v>
      </c>
      <c r="AB134" s="151">
        <f t="shared" si="131"/>
        <v>0</v>
      </c>
      <c r="AC134" s="151">
        <f>SUM(AC135)</f>
        <v>3200</v>
      </c>
      <c r="AD134" s="151">
        <f t="shared" si="131"/>
        <v>0</v>
      </c>
      <c r="AE134" s="151">
        <f>SUM(AE135)</f>
        <v>3200</v>
      </c>
    </row>
    <row r="135" spans="1:31" s="25" customFormat="1" ht="30" customHeight="1">
      <c r="A135" s="54"/>
      <c r="B135" s="54">
        <v>92605</v>
      </c>
      <c r="C135" s="54"/>
      <c r="D135" s="36" t="s">
        <v>65</v>
      </c>
      <c r="E135" s="52"/>
      <c r="F135" s="52"/>
      <c r="G135" s="65"/>
      <c r="H135" s="52"/>
      <c r="I135" s="65">
        <f t="shared" si="131"/>
        <v>0</v>
      </c>
      <c r="J135" s="65">
        <f t="shared" si="131"/>
        <v>3200</v>
      </c>
      <c r="K135" s="65">
        <f t="shared" si="131"/>
        <v>3200</v>
      </c>
      <c r="L135" s="65">
        <f t="shared" si="131"/>
        <v>0</v>
      </c>
      <c r="M135" s="65">
        <f t="shared" si="131"/>
        <v>3200</v>
      </c>
      <c r="N135" s="65">
        <f t="shared" si="131"/>
        <v>0</v>
      </c>
      <c r="O135" s="65">
        <f t="shared" si="131"/>
        <v>3200</v>
      </c>
      <c r="P135" s="65">
        <f t="shared" si="131"/>
        <v>0</v>
      </c>
      <c r="Q135" s="65">
        <f t="shared" si="131"/>
        <v>3200</v>
      </c>
      <c r="R135" s="65">
        <f t="shared" si="131"/>
        <v>0</v>
      </c>
      <c r="S135" s="65">
        <f t="shared" si="131"/>
        <v>3200</v>
      </c>
      <c r="T135" s="65">
        <f t="shared" si="131"/>
        <v>0</v>
      </c>
      <c r="U135" s="65">
        <f t="shared" si="131"/>
        <v>3200</v>
      </c>
      <c r="V135" s="65">
        <f t="shared" si="131"/>
        <v>0</v>
      </c>
      <c r="W135" s="65">
        <f t="shared" si="131"/>
        <v>3200</v>
      </c>
      <c r="X135" s="65">
        <f>SUM(X136)</f>
        <v>0</v>
      </c>
      <c r="Y135" s="65">
        <f>SUM(Y136)</f>
        <v>3200</v>
      </c>
      <c r="Z135" s="65">
        <f>SUM(Z136)</f>
        <v>0</v>
      </c>
      <c r="AA135" s="65">
        <f>SUM(AA136)</f>
        <v>3200</v>
      </c>
      <c r="AB135" s="65">
        <f>SUM(AB136)</f>
        <v>0</v>
      </c>
      <c r="AC135" s="65">
        <f>SUM(AC136)</f>
        <v>3200</v>
      </c>
      <c r="AD135" s="65">
        <f>SUM(AD136)</f>
        <v>0</v>
      </c>
      <c r="AE135" s="65">
        <f>SUM(AE136)</f>
        <v>3200</v>
      </c>
    </row>
    <row r="136" spans="1:33" s="25" customFormat="1" ht="52.5" customHeight="1">
      <c r="A136" s="54"/>
      <c r="B136" s="54"/>
      <c r="C136" s="54">
        <v>2320</v>
      </c>
      <c r="D136" s="58" t="s">
        <v>174</v>
      </c>
      <c r="E136" s="52"/>
      <c r="F136" s="52"/>
      <c r="G136" s="65"/>
      <c r="H136" s="52"/>
      <c r="I136" s="65">
        <v>0</v>
      </c>
      <c r="J136" s="52">
        <v>3200</v>
      </c>
      <c r="K136" s="65">
        <f>SUM(I136:J136)</f>
        <v>3200</v>
      </c>
      <c r="L136" s="52"/>
      <c r="M136" s="65">
        <f>SUM(K136:L136)</f>
        <v>3200</v>
      </c>
      <c r="N136" s="52"/>
      <c r="O136" s="65">
        <f>SUM(M136:N136)</f>
        <v>3200</v>
      </c>
      <c r="P136" s="52"/>
      <c r="Q136" s="65">
        <f>SUM(O136:P136)</f>
        <v>3200</v>
      </c>
      <c r="R136" s="52"/>
      <c r="S136" s="65">
        <f>SUM(Q136:R136)</f>
        <v>3200</v>
      </c>
      <c r="T136" s="52"/>
      <c r="U136" s="65">
        <f>SUM(S136:T136)</f>
        <v>3200</v>
      </c>
      <c r="V136" s="52"/>
      <c r="W136" s="65">
        <f>SUM(U136:V136)</f>
        <v>3200</v>
      </c>
      <c r="X136" s="52"/>
      <c r="Y136" s="65">
        <f>SUM(W136:X136)</f>
        <v>3200</v>
      </c>
      <c r="Z136" s="52"/>
      <c r="AA136" s="65">
        <f>SUM(Y136:Z136)</f>
        <v>3200</v>
      </c>
      <c r="AB136" s="52"/>
      <c r="AC136" s="65">
        <f>SUM(AA136:AB136)</f>
        <v>3200</v>
      </c>
      <c r="AD136" s="52"/>
      <c r="AE136" s="65">
        <f>SUM(AC136:AD136)</f>
        <v>3200</v>
      </c>
      <c r="AF136" s="79"/>
      <c r="AG136" s="79"/>
    </row>
    <row r="137" spans="1:33" ht="26.25" customHeight="1">
      <c r="A137" s="15"/>
      <c r="B137" s="16"/>
      <c r="C137" s="17"/>
      <c r="D137" s="18" t="s">
        <v>66</v>
      </c>
      <c r="E137" s="47">
        <f>SUM(E7,E12,E22,E28,E33,E37,E67,E97,E122,E129,E76)</f>
        <v>56856085</v>
      </c>
      <c r="F137" s="47">
        <f>SUM(F7,F12,F22,F28,F33,F37,F67,F97,F122,F129,F76)</f>
        <v>600000</v>
      </c>
      <c r="G137" s="47">
        <f>SUM(G7,G12,G22,G28,G33,G37,G67,G97,G122,G129,G76,G119)</f>
        <v>57456085</v>
      </c>
      <c r="H137" s="47">
        <f>SUM(H7,H12,H22,H28,H33,H37,H67,H97,H122,H129,H76,H119)</f>
        <v>252163</v>
      </c>
      <c r="I137" s="47">
        <f aca="true" t="shared" si="132" ref="I137:T137">SUM(I7,I12,I22,I28,I33,I37,I67,I97,I122,I129,I76,I119,I19,I134)</f>
        <v>57708248</v>
      </c>
      <c r="J137" s="47">
        <f t="shared" si="132"/>
        <v>173624</v>
      </c>
      <c r="K137" s="47">
        <f t="shared" si="132"/>
        <v>57881872</v>
      </c>
      <c r="L137" s="47">
        <f t="shared" si="132"/>
        <v>46982</v>
      </c>
      <c r="M137" s="47">
        <f t="shared" si="132"/>
        <v>57928854</v>
      </c>
      <c r="N137" s="47">
        <f t="shared" si="132"/>
        <v>75000</v>
      </c>
      <c r="O137" s="47">
        <f t="shared" si="132"/>
        <v>58003854</v>
      </c>
      <c r="P137" s="47">
        <f t="shared" si="132"/>
        <v>286502</v>
      </c>
      <c r="Q137" s="47">
        <f t="shared" si="132"/>
        <v>58290356</v>
      </c>
      <c r="R137" s="47">
        <f t="shared" si="132"/>
        <v>6100</v>
      </c>
      <c r="S137" s="47">
        <f t="shared" si="132"/>
        <v>58296456</v>
      </c>
      <c r="T137" s="47">
        <f t="shared" si="132"/>
        <v>21240</v>
      </c>
      <c r="U137" s="47">
        <f aca="true" t="shared" si="133" ref="U137:AE137">SUM(U7,U12,U22,U28,U33,U37,U67,U97,U122,U129,U76,U119,U19,U134,U115)</f>
        <v>58317696</v>
      </c>
      <c r="V137" s="47">
        <f t="shared" si="133"/>
        <v>179586</v>
      </c>
      <c r="W137" s="47">
        <f t="shared" si="133"/>
        <v>58497282</v>
      </c>
      <c r="X137" s="47">
        <f t="shared" si="133"/>
        <v>51940</v>
      </c>
      <c r="Y137" s="47">
        <f t="shared" si="133"/>
        <v>58549222</v>
      </c>
      <c r="Z137" s="47">
        <f t="shared" si="133"/>
        <v>240668</v>
      </c>
      <c r="AA137" s="47">
        <f t="shared" si="133"/>
        <v>58789890</v>
      </c>
      <c r="AB137" s="47">
        <f t="shared" si="133"/>
        <v>36700</v>
      </c>
      <c r="AC137" s="47">
        <f t="shared" si="133"/>
        <v>58826590</v>
      </c>
      <c r="AD137" s="47">
        <f t="shared" si="133"/>
        <v>-854065</v>
      </c>
      <c r="AE137" s="47">
        <f t="shared" si="133"/>
        <v>57972525</v>
      </c>
      <c r="AF137" s="235"/>
      <c r="AG137" s="235"/>
    </row>
    <row r="139" spans="4:33" ht="12.75">
      <c r="D139" s="72"/>
      <c r="E139" s="27" t="e">
        <f>SUM(E137-#REF!)</f>
        <v>#REF!</v>
      </c>
      <c r="F139" s="27" t="e">
        <f>SUM(F137-#REF!)</f>
        <v>#REF!</v>
      </c>
      <c r="AG139" s="42"/>
    </row>
    <row r="140" ht="12.75">
      <c r="D140" s="72"/>
    </row>
    <row r="141" spans="4:23" ht="12.75">
      <c r="D141" s="72"/>
      <c r="J141" s="27">
        <v>12550</v>
      </c>
      <c r="K141" s="27" t="s">
        <v>302</v>
      </c>
      <c r="V141" s="27">
        <v>175585</v>
      </c>
      <c r="W141" s="27" t="s">
        <v>349</v>
      </c>
    </row>
    <row r="142" spans="4:23" ht="12.75">
      <c r="D142" s="72"/>
      <c r="J142" s="27">
        <v>-175597</v>
      </c>
      <c r="K142" s="27" t="s">
        <v>303</v>
      </c>
      <c r="V142" s="27">
        <v>600</v>
      </c>
      <c r="W142" s="27" t="s">
        <v>347</v>
      </c>
    </row>
    <row r="143" spans="4:23" ht="12.75">
      <c r="D143" s="72"/>
      <c r="E143" s="27">
        <v>19069259</v>
      </c>
      <c r="J143" s="27">
        <v>24400</v>
      </c>
      <c r="K143" s="27" t="s">
        <v>304</v>
      </c>
      <c r="V143" s="27">
        <v>320</v>
      </c>
      <c r="W143" s="27" t="s">
        <v>348</v>
      </c>
    </row>
    <row r="144" spans="4:31" ht="12.75">
      <c r="D144" s="72"/>
      <c r="J144" s="27">
        <v>-329</v>
      </c>
      <c r="K144" s="27" t="s">
        <v>306</v>
      </c>
      <c r="V144" s="27">
        <v>331</v>
      </c>
      <c r="AB144" s="229">
        <v>15000</v>
      </c>
      <c r="AC144" s="229"/>
      <c r="AD144" s="229"/>
      <c r="AE144" s="229"/>
    </row>
    <row r="145" spans="4:31" ht="12.75">
      <c r="D145" s="72"/>
      <c r="V145" s="27">
        <v>2750</v>
      </c>
      <c r="AB145" s="229">
        <v>15000</v>
      </c>
      <c r="AC145" s="229"/>
      <c r="AD145" s="229"/>
      <c r="AE145" s="229"/>
    </row>
    <row r="146" spans="4:31" ht="12.75">
      <c r="D146" s="72"/>
      <c r="J146" s="27">
        <v>334300</v>
      </c>
      <c r="K146" s="27" t="s">
        <v>307</v>
      </c>
      <c r="V146" s="99">
        <f>SUM(V141:V145)</f>
        <v>179586</v>
      </c>
      <c r="X146" s="99"/>
      <c r="Z146" s="99"/>
      <c r="AB146" s="229">
        <v>4000</v>
      </c>
      <c r="AC146" s="229"/>
      <c r="AD146" s="229"/>
      <c r="AE146" s="229"/>
    </row>
    <row r="147" spans="4:31" ht="12.75">
      <c r="D147" s="72"/>
      <c r="J147" s="27">
        <v>-4100</v>
      </c>
      <c r="K147" s="27" t="s">
        <v>308</v>
      </c>
      <c r="AB147" s="229">
        <v>2700</v>
      </c>
      <c r="AC147" s="229"/>
      <c r="AD147" s="229"/>
      <c r="AE147" s="229"/>
    </row>
    <row r="148" spans="4:31" ht="12.75">
      <c r="D148" s="72"/>
      <c r="J148" s="27">
        <v>50700</v>
      </c>
      <c r="K148" s="27" t="s">
        <v>309</v>
      </c>
      <c r="AB148" s="229"/>
      <c r="AC148" s="229"/>
      <c r="AD148" s="229"/>
      <c r="AE148" s="229"/>
    </row>
    <row r="149" spans="4:31" ht="12.75">
      <c r="D149" s="72"/>
      <c r="J149" s="27">
        <v>-68300</v>
      </c>
      <c r="K149" s="27" t="s">
        <v>310</v>
      </c>
      <c r="AB149" s="229"/>
      <c r="AC149" s="229"/>
      <c r="AD149" s="229"/>
      <c r="AE149" s="229"/>
    </row>
    <row r="150" spans="4:31" ht="12.75">
      <c r="D150" s="72"/>
      <c r="E150" s="27">
        <v>10030735</v>
      </c>
      <c r="J150" s="99">
        <f>SUM(J141:J143)</f>
        <v>-138647</v>
      </c>
      <c r="L150" s="99"/>
      <c r="N150" s="99"/>
      <c r="P150" s="99"/>
      <c r="R150" s="99"/>
      <c r="T150" s="99"/>
      <c r="V150" s="99"/>
      <c r="X150" s="99"/>
      <c r="Z150" s="99"/>
      <c r="AB150" s="229"/>
      <c r="AC150" s="229"/>
      <c r="AD150" s="229"/>
      <c r="AE150" s="229"/>
    </row>
    <row r="151" spans="4:31" ht="12.75">
      <c r="D151" s="72"/>
      <c r="E151" s="27">
        <v>9008986</v>
      </c>
      <c r="AB151" s="229"/>
      <c r="AC151" s="229"/>
      <c r="AD151" s="229"/>
      <c r="AE151" s="229"/>
    </row>
    <row r="152" spans="4:31" ht="12.75">
      <c r="D152" s="72"/>
      <c r="E152" s="27">
        <v>330000</v>
      </c>
      <c r="AB152" s="229"/>
      <c r="AC152" s="229"/>
      <c r="AD152" s="229"/>
      <c r="AE152" s="229"/>
    </row>
    <row r="153" spans="4:31" ht="12.75">
      <c r="D153" s="72"/>
      <c r="E153" s="27">
        <v>211227</v>
      </c>
      <c r="AB153" s="99">
        <f>SUM(AB144:AB152)</f>
        <v>36700</v>
      </c>
      <c r="AC153" s="229"/>
      <c r="AD153" s="99"/>
      <c r="AE153" s="229"/>
    </row>
    <row r="154" spans="4:31" ht="12.75">
      <c r="D154" s="72"/>
      <c r="E154" s="27">
        <v>3910</v>
      </c>
      <c r="AB154" s="229"/>
      <c r="AC154" s="229"/>
      <c r="AD154" s="229"/>
      <c r="AE154" s="229"/>
    </row>
    <row r="155" spans="4:31" ht="12.75">
      <c r="D155" s="72"/>
      <c r="E155" s="27">
        <v>3750</v>
      </c>
      <c r="AB155" s="229"/>
      <c r="AC155" s="229"/>
      <c r="AD155" s="229"/>
      <c r="AE155" s="229"/>
    </row>
    <row r="156" spans="4:5" ht="12.75">
      <c r="D156" s="72"/>
      <c r="E156" s="27">
        <v>60000</v>
      </c>
    </row>
    <row r="157" ht="12.75">
      <c r="D157" s="72"/>
    </row>
    <row r="158" ht="12.75">
      <c r="D158" s="72"/>
    </row>
    <row r="159" ht="12.75">
      <c r="D159" s="72"/>
    </row>
    <row r="160" ht="12.75">
      <c r="D160" s="72"/>
    </row>
    <row r="161" spans="4:31" ht="12.75">
      <c r="D161" s="72"/>
      <c r="E161" s="99">
        <f>SUM(E143:E156)</f>
        <v>38717867</v>
      </c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</row>
    <row r="162" ht="12.75">
      <c r="D162" s="72"/>
    </row>
    <row r="163" ht="12.75">
      <c r="D163" s="72"/>
    </row>
    <row r="164" spans="1:4" ht="12.75">
      <c r="A164" s="146"/>
      <c r="B164" s="146"/>
      <c r="C164" s="146"/>
      <c r="D164" s="71"/>
    </row>
    <row r="165" spans="3:4" ht="12.75">
      <c r="C165" s="146"/>
      <c r="D165" s="71"/>
    </row>
    <row r="166" ht="12.75">
      <c r="D166" s="72"/>
    </row>
    <row r="167" ht="12.75">
      <c r="D167" s="71"/>
    </row>
    <row r="180" spans="5:31" ht="12.75"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</row>
    <row r="181" spans="5:31" ht="12.75"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</row>
  </sheetData>
  <sheetProtection/>
  <printOptions horizontalCentered="1"/>
  <pageMargins left="0.33" right="0.4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&amp;C&amp;8Dochody - str.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730"/>
  <sheetViews>
    <sheetView zoomScalePageLayoutView="0" workbookViewId="0" topLeftCell="A1">
      <selection activeCell="AB508" sqref="AB508"/>
    </sheetView>
  </sheetViews>
  <sheetFormatPr defaultColWidth="9.00390625" defaultRowHeight="12.75"/>
  <cols>
    <col min="1" max="1" width="5.75390625" style="7" customWidth="1"/>
    <col min="2" max="2" width="8.125" style="7" customWidth="1"/>
    <col min="3" max="3" width="6.625" style="7" customWidth="1"/>
    <col min="4" max="4" width="32.00390625" style="7" customWidth="1"/>
    <col min="5" max="5" width="13.875" style="27" hidden="1" customWidth="1"/>
    <col min="6" max="6" width="11.875" style="27" hidden="1" customWidth="1"/>
    <col min="7" max="7" width="41.00390625" style="27" hidden="1" customWidth="1"/>
    <col min="8" max="8" width="10.375" style="27" hidden="1" customWidth="1"/>
    <col min="9" max="9" width="43.375" style="27" hidden="1" customWidth="1"/>
    <col min="10" max="10" width="10.375" style="27" hidden="1" customWidth="1"/>
    <col min="11" max="11" width="44.875" style="27" hidden="1" customWidth="1"/>
    <col min="12" max="12" width="9.375" style="27" hidden="1" customWidth="1"/>
    <col min="13" max="13" width="40.00390625" style="27" hidden="1" customWidth="1"/>
    <col min="14" max="14" width="8.875" style="27" hidden="1" customWidth="1"/>
    <col min="15" max="15" width="0.12890625" style="27" hidden="1" customWidth="1"/>
    <col min="16" max="16" width="9.875" style="27" hidden="1" customWidth="1"/>
    <col min="17" max="17" width="42.25390625" style="27" hidden="1" customWidth="1"/>
    <col min="18" max="18" width="10.375" style="27" hidden="1" customWidth="1"/>
    <col min="19" max="19" width="42.75390625" style="27" hidden="1" customWidth="1"/>
    <col min="20" max="20" width="8.875" style="27" hidden="1" customWidth="1"/>
    <col min="21" max="22" width="0.12890625" style="27" hidden="1" customWidth="1"/>
    <col min="23" max="23" width="41.375" style="27" hidden="1" customWidth="1"/>
    <col min="24" max="24" width="9.875" style="27" hidden="1" customWidth="1"/>
    <col min="25" max="25" width="45.75390625" style="27" hidden="1" customWidth="1"/>
    <col min="26" max="26" width="10.625" style="27" hidden="1" customWidth="1"/>
    <col min="27" max="27" width="13.00390625" style="27" customWidth="1"/>
    <col min="28" max="28" width="13.375" style="27" customWidth="1"/>
    <col min="29" max="29" width="14.00390625" style="27" customWidth="1"/>
    <col min="30" max="30" width="11.75390625" style="0" customWidth="1"/>
    <col min="31" max="31" width="11.375" style="0" bestFit="1" customWidth="1"/>
    <col min="32" max="32" width="10.625" style="0" bestFit="1" customWidth="1"/>
    <col min="33" max="33" width="12.75390625" style="0" bestFit="1" customWidth="1"/>
    <col min="34" max="34" width="11.25390625" style="0" customWidth="1"/>
    <col min="35" max="35" width="12.125" style="0" bestFit="1" customWidth="1"/>
  </cols>
  <sheetData>
    <row r="1" spans="1:29" ht="12.75">
      <c r="A1" s="197"/>
      <c r="B1" s="197"/>
      <c r="C1" s="197"/>
      <c r="D1" s="197"/>
      <c r="E1" s="46" t="s">
        <v>379</v>
      </c>
      <c r="F1" s="46"/>
      <c r="G1" s="46" t="s">
        <v>380</v>
      </c>
      <c r="H1" s="46"/>
      <c r="I1" s="46" t="s">
        <v>381</v>
      </c>
      <c r="J1" s="46"/>
      <c r="K1" s="46" t="s">
        <v>382</v>
      </c>
      <c r="L1" s="46"/>
      <c r="M1" s="46" t="s">
        <v>383</v>
      </c>
      <c r="N1" s="46"/>
      <c r="O1" s="46" t="s">
        <v>384</v>
      </c>
      <c r="P1" s="46"/>
      <c r="Q1" s="46" t="s">
        <v>385</v>
      </c>
      <c r="R1" s="46"/>
      <c r="S1" s="46" t="s">
        <v>386</v>
      </c>
      <c r="T1" s="46"/>
      <c r="U1" s="46" t="s">
        <v>387</v>
      </c>
      <c r="V1" s="46"/>
      <c r="W1" s="46" t="s">
        <v>388</v>
      </c>
      <c r="X1" s="46"/>
      <c r="Y1" s="46" t="s">
        <v>485</v>
      </c>
      <c r="Z1" s="46"/>
      <c r="AA1" s="46" t="s">
        <v>499</v>
      </c>
      <c r="AB1" s="46"/>
      <c r="AC1" s="46"/>
    </row>
    <row r="2" spans="1:29" ht="12.75">
      <c r="A2" s="197"/>
      <c r="B2" s="197"/>
      <c r="C2" s="197"/>
      <c r="D2" s="197"/>
      <c r="E2" s="46" t="s">
        <v>178</v>
      </c>
      <c r="F2" s="46"/>
      <c r="G2" s="46" t="s">
        <v>273</v>
      </c>
      <c r="H2" s="46"/>
      <c r="I2" s="46" t="s">
        <v>314</v>
      </c>
      <c r="J2" s="46"/>
      <c r="K2" s="46" t="s">
        <v>318</v>
      </c>
      <c r="L2" s="46"/>
      <c r="M2" s="46" t="s">
        <v>322</v>
      </c>
      <c r="N2" s="46"/>
      <c r="O2" s="46" t="s">
        <v>324</v>
      </c>
      <c r="P2" s="46"/>
      <c r="Q2" s="46" t="s">
        <v>335</v>
      </c>
      <c r="R2" s="46"/>
      <c r="S2" s="46" t="s">
        <v>389</v>
      </c>
      <c r="T2" s="46"/>
      <c r="U2" s="46" t="s">
        <v>350</v>
      </c>
      <c r="V2" s="46"/>
      <c r="W2" s="46" t="s">
        <v>367</v>
      </c>
      <c r="X2" s="46"/>
      <c r="Y2" s="46" t="s">
        <v>486</v>
      </c>
      <c r="Z2" s="46"/>
      <c r="AA2" s="46" t="s">
        <v>497</v>
      </c>
      <c r="AB2" s="46"/>
      <c r="AC2" s="46"/>
    </row>
    <row r="3" spans="1:29" ht="12.75">
      <c r="A3" s="197"/>
      <c r="B3" s="197"/>
      <c r="C3" s="197"/>
      <c r="D3" s="197"/>
      <c r="E3" s="46" t="s">
        <v>119</v>
      </c>
      <c r="F3" s="46"/>
      <c r="G3" s="46" t="s">
        <v>390</v>
      </c>
      <c r="H3" s="46"/>
      <c r="I3" s="46" t="s">
        <v>380</v>
      </c>
      <c r="J3" s="46"/>
      <c r="K3" s="46" t="s">
        <v>381</v>
      </c>
      <c r="L3" s="46"/>
      <c r="M3" s="46" t="s">
        <v>382</v>
      </c>
      <c r="N3" s="46"/>
      <c r="O3" s="46" t="s">
        <v>383</v>
      </c>
      <c r="P3" s="46"/>
      <c r="Q3" s="46" t="s">
        <v>384</v>
      </c>
      <c r="R3" s="46"/>
      <c r="S3" s="46" t="s">
        <v>385</v>
      </c>
      <c r="T3" s="46"/>
      <c r="U3" s="46" t="s">
        <v>386</v>
      </c>
      <c r="V3" s="46"/>
      <c r="W3" s="46" t="s">
        <v>391</v>
      </c>
      <c r="X3" s="46"/>
      <c r="Y3" s="46" t="s">
        <v>388</v>
      </c>
      <c r="Z3" s="46"/>
      <c r="AA3" s="46" t="s">
        <v>485</v>
      </c>
      <c r="AB3" s="46"/>
      <c r="AC3" s="46"/>
    </row>
    <row r="4" spans="1:29" ht="12.75">
      <c r="A4" s="197"/>
      <c r="B4" s="197"/>
      <c r="C4" s="197"/>
      <c r="D4" s="197"/>
      <c r="E4" s="46" t="s">
        <v>179</v>
      </c>
      <c r="F4" s="46"/>
      <c r="G4" s="46" t="s">
        <v>271</v>
      </c>
      <c r="H4" s="46"/>
      <c r="I4" s="46" t="s">
        <v>297</v>
      </c>
      <c r="J4" s="46"/>
      <c r="K4" s="46" t="s">
        <v>316</v>
      </c>
      <c r="L4" s="46"/>
      <c r="M4" s="46" t="s">
        <v>320</v>
      </c>
      <c r="N4" s="46"/>
      <c r="O4" s="46" t="s">
        <v>323</v>
      </c>
      <c r="P4" s="46"/>
      <c r="Q4" s="46" t="s">
        <v>326</v>
      </c>
      <c r="R4" s="46"/>
      <c r="S4" s="46" t="s">
        <v>339</v>
      </c>
      <c r="T4" s="46"/>
      <c r="U4" s="46" t="s">
        <v>392</v>
      </c>
      <c r="V4" s="46"/>
      <c r="W4" s="46" t="s">
        <v>393</v>
      </c>
      <c r="X4" s="46"/>
      <c r="Y4" s="46" t="s">
        <v>378</v>
      </c>
      <c r="Z4" s="46"/>
      <c r="AA4" s="46" t="s">
        <v>490</v>
      </c>
      <c r="AB4" s="46"/>
      <c r="AC4" s="46"/>
    </row>
    <row r="5" spans="1:29" ht="21" customHeight="1">
      <c r="A5" s="228" t="s">
        <v>394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/>
      <c r="AA5"/>
      <c r="AB5"/>
      <c r="AC5"/>
    </row>
    <row r="6" spans="1:33" s="7" customFormat="1" ht="24.75" customHeight="1">
      <c r="A6" s="34" t="s">
        <v>0</v>
      </c>
      <c r="B6" s="34" t="s">
        <v>1</v>
      </c>
      <c r="C6" s="34" t="s">
        <v>2</v>
      </c>
      <c r="D6" s="34" t="s">
        <v>3</v>
      </c>
      <c r="E6" s="198" t="s">
        <v>116</v>
      </c>
      <c r="F6" s="198" t="s">
        <v>263</v>
      </c>
      <c r="G6" s="198" t="s">
        <v>117</v>
      </c>
      <c r="H6" s="198" t="s">
        <v>263</v>
      </c>
      <c r="I6" s="198" t="s">
        <v>117</v>
      </c>
      <c r="J6" s="198" t="s">
        <v>263</v>
      </c>
      <c r="K6" s="198" t="s">
        <v>117</v>
      </c>
      <c r="L6" s="198" t="s">
        <v>263</v>
      </c>
      <c r="M6" s="198" t="s">
        <v>117</v>
      </c>
      <c r="N6" s="198" t="s">
        <v>263</v>
      </c>
      <c r="O6" s="198" t="s">
        <v>117</v>
      </c>
      <c r="P6" s="198" t="s">
        <v>263</v>
      </c>
      <c r="Q6" s="198" t="s">
        <v>117</v>
      </c>
      <c r="R6" s="198" t="s">
        <v>263</v>
      </c>
      <c r="S6" s="198" t="s">
        <v>117</v>
      </c>
      <c r="T6" s="198" t="s">
        <v>263</v>
      </c>
      <c r="U6" s="198" t="s">
        <v>117</v>
      </c>
      <c r="V6" s="198" t="s">
        <v>263</v>
      </c>
      <c r="W6" s="198" t="s">
        <v>117</v>
      </c>
      <c r="X6" s="198" t="s">
        <v>263</v>
      </c>
      <c r="Y6" s="198" t="s">
        <v>117</v>
      </c>
      <c r="Z6" s="198" t="s">
        <v>263</v>
      </c>
      <c r="AA6" s="198" t="s">
        <v>117</v>
      </c>
      <c r="AB6" s="198" t="s">
        <v>263</v>
      </c>
      <c r="AC6" s="198" t="s">
        <v>371</v>
      </c>
      <c r="AD6" s="98"/>
      <c r="AE6" s="98"/>
      <c r="AF6" s="98"/>
      <c r="AG6" s="98"/>
    </row>
    <row r="7" spans="1:29" s="11" customFormat="1" ht="21" customHeight="1">
      <c r="A7" s="32" t="s">
        <v>4</v>
      </c>
      <c r="B7" s="199"/>
      <c r="C7" s="168"/>
      <c r="D7" s="35" t="s">
        <v>5</v>
      </c>
      <c r="E7" s="200">
        <f>SUM(E8,E10)</f>
        <v>12000</v>
      </c>
      <c r="F7" s="200">
        <f>SUM(F8,F10)</f>
        <v>300000</v>
      </c>
      <c r="G7" s="200">
        <f>SUM(G8,G10)</f>
        <v>312000</v>
      </c>
      <c r="H7" s="200">
        <f>SUM(H8,H10)</f>
        <v>0</v>
      </c>
      <c r="I7" s="200">
        <f aca="true" t="shared" si="0" ref="I7:N7">SUM(I8,I10,I14)</f>
        <v>312000</v>
      </c>
      <c r="J7" s="200">
        <f t="shared" si="0"/>
        <v>45000</v>
      </c>
      <c r="K7" s="200">
        <f t="shared" si="0"/>
        <v>357000</v>
      </c>
      <c r="L7" s="200">
        <f t="shared" si="0"/>
        <v>0</v>
      </c>
      <c r="M7" s="200">
        <f t="shared" si="0"/>
        <v>357000</v>
      </c>
      <c r="N7" s="200">
        <f t="shared" si="0"/>
        <v>0</v>
      </c>
      <c r="O7" s="200">
        <f aca="true" t="shared" si="1" ref="O7:AC7">SUM(O8,O10,O14,O16)</f>
        <v>357000</v>
      </c>
      <c r="P7" s="200">
        <f t="shared" si="1"/>
        <v>285502</v>
      </c>
      <c r="Q7" s="200">
        <f t="shared" si="1"/>
        <v>642502</v>
      </c>
      <c r="R7" s="200">
        <f t="shared" si="1"/>
        <v>0</v>
      </c>
      <c r="S7" s="200">
        <f t="shared" si="1"/>
        <v>642502</v>
      </c>
      <c r="T7" s="200">
        <f t="shared" si="1"/>
        <v>0</v>
      </c>
      <c r="U7" s="200">
        <f t="shared" si="1"/>
        <v>642502</v>
      </c>
      <c r="V7" s="200">
        <f t="shared" si="1"/>
        <v>0</v>
      </c>
      <c r="W7" s="200">
        <f t="shared" si="1"/>
        <v>642502</v>
      </c>
      <c r="X7" s="200">
        <f t="shared" si="1"/>
        <v>0</v>
      </c>
      <c r="Y7" s="200">
        <f t="shared" si="1"/>
        <v>642502</v>
      </c>
      <c r="Z7" s="200">
        <f t="shared" si="1"/>
        <v>0</v>
      </c>
      <c r="AA7" s="200">
        <f t="shared" si="1"/>
        <v>642502</v>
      </c>
      <c r="AB7" s="200">
        <f t="shared" si="1"/>
        <v>0</v>
      </c>
      <c r="AC7" s="200">
        <f t="shared" si="1"/>
        <v>642502</v>
      </c>
    </row>
    <row r="8" spans="1:29" s="25" customFormat="1" ht="21" customHeight="1">
      <c r="A8" s="49"/>
      <c r="B8" s="63" t="s">
        <v>395</v>
      </c>
      <c r="C8" s="201"/>
      <c r="D8" s="36" t="s">
        <v>396</v>
      </c>
      <c r="E8" s="62">
        <f aca="true" t="shared" si="2" ref="E8:AC8">SUM(E9)</f>
        <v>12000</v>
      </c>
      <c r="F8" s="62">
        <f t="shared" si="2"/>
        <v>0</v>
      </c>
      <c r="G8" s="62">
        <f t="shared" si="2"/>
        <v>12000</v>
      </c>
      <c r="H8" s="62">
        <f t="shared" si="2"/>
        <v>0</v>
      </c>
      <c r="I8" s="62">
        <f t="shared" si="2"/>
        <v>12000</v>
      </c>
      <c r="J8" s="62">
        <f t="shared" si="2"/>
        <v>0</v>
      </c>
      <c r="K8" s="62">
        <f t="shared" si="2"/>
        <v>12000</v>
      </c>
      <c r="L8" s="62">
        <f t="shared" si="2"/>
        <v>0</v>
      </c>
      <c r="M8" s="62">
        <f t="shared" si="2"/>
        <v>12000</v>
      </c>
      <c r="N8" s="62">
        <f t="shared" si="2"/>
        <v>0</v>
      </c>
      <c r="O8" s="62">
        <f t="shared" si="2"/>
        <v>12000</v>
      </c>
      <c r="P8" s="62">
        <f t="shared" si="2"/>
        <v>0</v>
      </c>
      <c r="Q8" s="62">
        <f t="shared" si="2"/>
        <v>12000</v>
      </c>
      <c r="R8" s="62">
        <f t="shared" si="2"/>
        <v>0</v>
      </c>
      <c r="S8" s="62">
        <f t="shared" si="2"/>
        <v>12000</v>
      </c>
      <c r="T8" s="62">
        <f t="shared" si="2"/>
        <v>0</v>
      </c>
      <c r="U8" s="62">
        <f t="shared" si="2"/>
        <v>12000</v>
      </c>
      <c r="V8" s="62">
        <f t="shared" si="2"/>
        <v>0</v>
      </c>
      <c r="W8" s="62">
        <f t="shared" si="2"/>
        <v>12000</v>
      </c>
      <c r="X8" s="62">
        <f t="shared" si="2"/>
        <v>0</v>
      </c>
      <c r="Y8" s="62">
        <f t="shared" si="2"/>
        <v>12000</v>
      </c>
      <c r="Z8" s="62">
        <f t="shared" si="2"/>
        <v>0</v>
      </c>
      <c r="AA8" s="62">
        <f t="shared" si="2"/>
        <v>12000</v>
      </c>
      <c r="AB8" s="62">
        <f t="shared" si="2"/>
        <v>0</v>
      </c>
      <c r="AC8" s="62">
        <f t="shared" si="2"/>
        <v>12000</v>
      </c>
    </row>
    <row r="9" spans="1:29" s="25" customFormat="1" ht="36">
      <c r="A9" s="64"/>
      <c r="B9" s="202"/>
      <c r="C9" s="201">
        <v>2850</v>
      </c>
      <c r="D9" s="36" t="s">
        <v>397</v>
      </c>
      <c r="E9" s="62">
        <v>12000</v>
      </c>
      <c r="F9" s="62"/>
      <c r="G9" s="62">
        <f>SUM(E9:F9)</f>
        <v>12000</v>
      </c>
      <c r="H9" s="62"/>
      <c r="I9" s="62">
        <f>SUM(G9:H9)</f>
        <v>12000</v>
      </c>
      <c r="J9" s="62"/>
      <c r="K9" s="62">
        <f>SUM(I9:J9)</f>
        <v>12000</v>
      </c>
      <c r="L9" s="62"/>
      <c r="M9" s="62">
        <f>SUM(K9:L9)</f>
        <v>12000</v>
      </c>
      <c r="N9" s="62"/>
      <c r="O9" s="62">
        <f>SUM(M9:N9)</f>
        <v>12000</v>
      </c>
      <c r="P9" s="62"/>
      <c r="Q9" s="62">
        <f>SUM(O9:P9)</f>
        <v>12000</v>
      </c>
      <c r="R9" s="62"/>
      <c r="S9" s="62">
        <f>SUM(Q9:R9)</f>
        <v>12000</v>
      </c>
      <c r="T9" s="62"/>
      <c r="U9" s="62">
        <f>SUM(S9:T9)</f>
        <v>12000</v>
      </c>
      <c r="V9" s="62"/>
      <c r="W9" s="62">
        <f>SUM(U9:V9)</f>
        <v>12000</v>
      </c>
      <c r="X9" s="62"/>
      <c r="Y9" s="62">
        <f>SUM(W9:X9)</f>
        <v>12000</v>
      </c>
      <c r="Z9" s="62"/>
      <c r="AA9" s="62">
        <f>SUM(Y9:Z9)</f>
        <v>12000</v>
      </c>
      <c r="AB9" s="62"/>
      <c r="AC9" s="62">
        <f>SUM(AA9:AB9)</f>
        <v>12000</v>
      </c>
    </row>
    <row r="10" spans="1:29" s="204" customFormat="1" ht="24" customHeight="1">
      <c r="A10" s="203"/>
      <c r="B10" s="202" t="s">
        <v>398</v>
      </c>
      <c r="C10" s="201"/>
      <c r="D10" s="36" t="s">
        <v>399</v>
      </c>
      <c r="E10" s="62">
        <f aca="true" t="shared" si="3" ref="E10:Z10">SUM(E11)</f>
        <v>0</v>
      </c>
      <c r="F10" s="62">
        <f t="shared" si="3"/>
        <v>300000</v>
      </c>
      <c r="G10" s="62">
        <f t="shared" si="3"/>
        <v>300000</v>
      </c>
      <c r="H10" s="62">
        <f t="shared" si="3"/>
        <v>0</v>
      </c>
      <c r="I10" s="62">
        <f t="shared" si="3"/>
        <v>300000</v>
      </c>
      <c r="J10" s="62">
        <f t="shared" si="3"/>
        <v>0</v>
      </c>
      <c r="K10" s="62">
        <f t="shared" si="3"/>
        <v>300000</v>
      </c>
      <c r="L10" s="62">
        <f t="shared" si="3"/>
        <v>0</v>
      </c>
      <c r="M10" s="62">
        <f t="shared" si="3"/>
        <v>300000</v>
      </c>
      <c r="N10" s="62">
        <f t="shared" si="3"/>
        <v>0</v>
      </c>
      <c r="O10" s="62">
        <f t="shared" si="3"/>
        <v>300000</v>
      </c>
      <c r="P10" s="62">
        <f t="shared" si="3"/>
        <v>0</v>
      </c>
      <c r="Q10" s="62">
        <f t="shared" si="3"/>
        <v>300000</v>
      </c>
      <c r="R10" s="62">
        <f t="shared" si="3"/>
        <v>0</v>
      </c>
      <c r="S10" s="62">
        <f t="shared" si="3"/>
        <v>300000</v>
      </c>
      <c r="T10" s="62">
        <f t="shared" si="3"/>
        <v>0</v>
      </c>
      <c r="U10" s="62">
        <f t="shared" si="3"/>
        <v>300000</v>
      </c>
      <c r="V10" s="62">
        <f t="shared" si="3"/>
        <v>0</v>
      </c>
      <c r="W10" s="62">
        <f t="shared" si="3"/>
        <v>300000</v>
      </c>
      <c r="X10" s="62">
        <f t="shared" si="3"/>
        <v>0</v>
      </c>
      <c r="Y10" s="62">
        <f t="shared" si="3"/>
        <v>300000</v>
      </c>
      <c r="Z10" s="62">
        <f t="shared" si="3"/>
        <v>0</v>
      </c>
      <c r="AA10" s="62">
        <f>SUM(AA11:AA13)</f>
        <v>300000</v>
      </c>
      <c r="AB10" s="62">
        <f>SUM(AB11:AB13)</f>
        <v>0</v>
      </c>
      <c r="AC10" s="62">
        <f>SUM(AC11:AC13)</f>
        <v>300000</v>
      </c>
    </row>
    <row r="11" spans="1:29" s="25" customFormat="1" ht="20.25" customHeight="1">
      <c r="A11" s="64"/>
      <c r="B11" s="202"/>
      <c r="C11" s="201">
        <v>4300</v>
      </c>
      <c r="D11" s="36" t="s">
        <v>75</v>
      </c>
      <c r="E11" s="62">
        <v>0</v>
      </c>
      <c r="F11" s="62">
        <v>300000</v>
      </c>
      <c r="G11" s="62">
        <f>SUM(E11:F11)</f>
        <v>300000</v>
      </c>
      <c r="H11" s="62"/>
      <c r="I11" s="62">
        <f>SUM(G11:H11)</f>
        <v>300000</v>
      </c>
      <c r="J11" s="62"/>
      <c r="K11" s="62">
        <f>SUM(I11:J11)</f>
        <v>300000</v>
      </c>
      <c r="L11" s="62"/>
      <c r="M11" s="62">
        <f>SUM(K11:L11)</f>
        <v>300000</v>
      </c>
      <c r="N11" s="62"/>
      <c r="O11" s="62">
        <f>SUM(M11:N11)</f>
        <v>300000</v>
      </c>
      <c r="P11" s="62"/>
      <c r="Q11" s="62">
        <f>SUM(O11:P11)</f>
        <v>300000</v>
      </c>
      <c r="R11" s="62"/>
      <c r="S11" s="62">
        <f>SUM(Q11:R11)</f>
        <v>300000</v>
      </c>
      <c r="T11" s="62"/>
      <c r="U11" s="62">
        <f>SUM(S11:T11)</f>
        <v>300000</v>
      </c>
      <c r="V11" s="62"/>
      <c r="W11" s="62">
        <f>SUM(U11:V11)</f>
        <v>300000</v>
      </c>
      <c r="X11" s="62"/>
      <c r="Y11" s="62">
        <f>SUM(W11:X11)</f>
        <v>300000</v>
      </c>
      <c r="Z11" s="62"/>
      <c r="AA11" s="62">
        <f>SUM(Y11:Z11)</f>
        <v>300000</v>
      </c>
      <c r="AB11" s="62">
        <f>-3000-293-135</f>
        <v>-3428</v>
      </c>
      <c r="AC11" s="62">
        <f>SUM(AA11:AB11)</f>
        <v>296572</v>
      </c>
    </row>
    <row r="12" spans="1:31" s="25" customFormat="1" ht="20.25" customHeight="1">
      <c r="A12" s="64"/>
      <c r="B12" s="202"/>
      <c r="C12" s="201">
        <v>4110</v>
      </c>
      <c r="D12" s="36" t="s">
        <v>81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>
        <v>0</v>
      </c>
      <c r="AB12" s="62">
        <f>293+135</f>
        <v>428</v>
      </c>
      <c r="AC12" s="62">
        <f>SUM(AA12:AB12)</f>
        <v>428</v>
      </c>
      <c r="AD12" s="79"/>
      <c r="AE12" s="79"/>
    </row>
    <row r="13" spans="1:31" s="25" customFormat="1" ht="20.25" customHeight="1">
      <c r="A13" s="64"/>
      <c r="B13" s="202"/>
      <c r="C13" s="201">
        <v>4170</v>
      </c>
      <c r="D13" s="36" t="s">
        <v>161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>
        <v>0</v>
      </c>
      <c r="AB13" s="62">
        <v>3000</v>
      </c>
      <c r="AC13" s="62">
        <f>SUM(AA13:AB13)</f>
        <v>3000</v>
      </c>
      <c r="AD13" s="79"/>
      <c r="AE13" s="79"/>
    </row>
    <row r="14" spans="1:29" s="25" customFormat="1" ht="20.25" customHeight="1">
      <c r="A14" s="64"/>
      <c r="B14" s="202" t="s">
        <v>305</v>
      </c>
      <c r="C14" s="201"/>
      <c r="D14" s="36" t="s">
        <v>400</v>
      </c>
      <c r="E14" s="62"/>
      <c r="F14" s="62"/>
      <c r="G14" s="62"/>
      <c r="H14" s="62"/>
      <c r="I14" s="62">
        <f aca="true" t="shared" si="4" ref="I14:AC14">SUM(I15)</f>
        <v>0</v>
      </c>
      <c r="J14" s="62">
        <f t="shared" si="4"/>
        <v>45000</v>
      </c>
      <c r="K14" s="62">
        <f t="shared" si="4"/>
        <v>45000</v>
      </c>
      <c r="L14" s="62">
        <f t="shared" si="4"/>
        <v>0</v>
      </c>
      <c r="M14" s="62">
        <f t="shared" si="4"/>
        <v>45000</v>
      </c>
      <c r="N14" s="62">
        <f t="shared" si="4"/>
        <v>0</v>
      </c>
      <c r="O14" s="62">
        <f t="shared" si="4"/>
        <v>45000</v>
      </c>
      <c r="P14" s="62">
        <f t="shared" si="4"/>
        <v>0</v>
      </c>
      <c r="Q14" s="62">
        <f t="shared" si="4"/>
        <v>45000</v>
      </c>
      <c r="R14" s="62">
        <f t="shared" si="4"/>
        <v>0</v>
      </c>
      <c r="S14" s="62">
        <f t="shared" si="4"/>
        <v>45000</v>
      </c>
      <c r="T14" s="62">
        <f t="shared" si="4"/>
        <v>0</v>
      </c>
      <c r="U14" s="62">
        <f t="shared" si="4"/>
        <v>45000</v>
      </c>
      <c r="V14" s="62">
        <f t="shared" si="4"/>
        <v>0</v>
      </c>
      <c r="W14" s="62">
        <f t="shared" si="4"/>
        <v>45000</v>
      </c>
      <c r="X14" s="62">
        <f t="shared" si="4"/>
        <v>0</v>
      </c>
      <c r="Y14" s="62">
        <f t="shared" si="4"/>
        <v>45000</v>
      </c>
      <c r="Z14" s="62">
        <f t="shared" si="4"/>
        <v>0</v>
      </c>
      <c r="AA14" s="62">
        <f t="shared" si="4"/>
        <v>45000</v>
      </c>
      <c r="AB14" s="62">
        <f t="shared" si="4"/>
        <v>0</v>
      </c>
      <c r="AC14" s="62">
        <f t="shared" si="4"/>
        <v>45000</v>
      </c>
    </row>
    <row r="15" spans="1:35" s="25" customFormat="1" ht="60">
      <c r="A15" s="64"/>
      <c r="B15" s="202"/>
      <c r="C15" s="201">
        <v>2830</v>
      </c>
      <c r="D15" s="36" t="s">
        <v>296</v>
      </c>
      <c r="E15" s="62"/>
      <c r="F15" s="62"/>
      <c r="G15" s="62"/>
      <c r="H15" s="62"/>
      <c r="I15" s="62">
        <v>0</v>
      </c>
      <c r="J15" s="62">
        <v>45000</v>
      </c>
      <c r="K15" s="62">
        <f>SUM(I15:J15)</f>
        <v>45000</v>
      </c>
      <c r="L15" s="62"/>
      <c r="M15" s="62">
        <f>SUM(K15:L15)</f>
        <v>45000</v>
      </c>
      <c r="N15" s="62"/>
      <c r="O15" s="62">
        <f>SUM(M15:N15)</f>
        <v>45000</v>
      </c>
      <c r="P15" s="62"/>
      <c r="Q15" s="62">
        <f>SUM(O15:P15)</f>
        <v>45000</v>
      </c>
      <c r="R15" s="62"/>
      <c r="S15" s="62">
        <f>SUM(Q15:R15)</f>
        <v>45000</v>
      </c>
      <c r="T15" s="62"/>
      <c r="U15" s="62">
        <f>SUM(S15:T15)</f>
        <v>45000</v>
      </c>
      <c r="V15" s="62"/>
      <c r="W15" s="62">
        <f>SUM(U15:V15)</f>
        <v>45000</v>
      </c>
      <c r="X15" s="62"/>
      <c r="Y15" s="62">
        <f>SUM(W15:X15)</f>
        <v>45000</v>
      </c>
      <c r="Z15" s="62"/>
      <c r="AA15" s="62">
        <f>SUM(Y15:Z15)</f>
        <v>45000</v>
      </c>
      <c r="AB15" s="62"/>
      <c r="AC15" s="62">
        <f>SUM(AA15:AB15)</f>
        <v>45000</v>
      </c>
      <c r="AH15" s="79"/>
      <c r="AI15" s="79"/>
    </row>
    <row r="16" spans="1:29" s="25" customFormat="1" ht="21" customHeight="1">
      <c r="A16" s="64"/>
      <c r="B16" s="202" t="s">
        <v>218</v>
      </c>
      <c r="C16" s="201"/>
      <c r="D16" s="36" t="s">
        <v>6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>
        <f>SUM(O20:O22)</f>
        <v>0</v>
      </c>
      <c r="P16" s="62">
        <f>SUM(P20:P22)</f>
        <v>285502</v>
      </c>
      <c r="Q16" s="62">
        <f aca="true" t="shared" si="5" ref="Q16:W16">SUM(Q17:Q24)</f>
        <v>285502</v>
      </c>
      <c r="R16" s="62">
        <f t="shared" si="5"/>
        <v>0</v>
      </c>
      <c r="S16" s="62">
        <f t="shared" si="5"/>
        <v>285502</v>
      </c>
      <c r="T16" s="62">
        <f t="shared" si="5"/>
        <v>0</v>
      </c>
      <c r="U16" s="62">
        <f t="shared" si="5"/>
        <v>285502</v>
      </c>
      <c r="V16" s="62">
        <f t="shared" si="5"/>
        <v>0</v>
      </c>
      <c r="W16" s="62">
        <f t="shared" si="5"/>
        <v>285502</v>
      </c>
      <c r="X16" s="62">
        <f aca="true" t="shared" si="6" ref="X16:AC16">SUM(X17:X24)</f>
        <v>0</v>
      </c>
      <c r="Y16" s="62">
        <f t="shared" si="6"/>
        <v>285502</v>
      </c>
      <c r="Z16" s="62">
        <f t="shared" si="6"/>
        <v>0</v>
      </c>
      <c r="AA16" s="62">
        <f t="shared" si="6"/>
        <v>285502</v>
      </c>
      <c r="AB16" s="62">
        <f t="shared" si="6"/>
        <v>0</v>
      </c>
      <c r="AC16" s="62">
        <f t="shared" si="6"/>
        <v>285502</v>
      </c>
    </row>
    <row r="17" spans="1:31" s="25" customFormat="1" ht="21" customHeight="1">
      <c r="A17" s="64"/>
      <c r="B17" s="202"/>
      <c r="C17" s="201">
        <v>4010</v>
      </c>
      <c r="D17" s="36" t="s">
        <v>79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>
        <v>0</v>
      </c>
      <c r="R17" s="62">
        <v>3378</v>
      </c>
      <c r="S17" s="62">
        <f aca="true" t="shared" si="7" ref="S17:S24">SUM(Q17:R17)</f>
        <v>3378</v>
      </c>
      <c r="T17" s="62"/>
      <c r="U17" s="62">
        <f aca="true" t="shared" si="8" ref="U17:U24">SUM(S17:T17)</f>
        <v>3378</v>
      </c>
      <c r="V17" s="62"/>
      <c r="W17" s="62">
        <f aca="true" t="shared" si="9" ref="W17:W24">SUM(U17:V17)</f>
        <v>3378</v>
      </c>
      <c r="X17" s="62"/>
      <c r="Y17" s="62">
        <f aca="true" t="shared" si="10" ref="Y17:Y24">SUM(W17:X17)</f>
        <v>3378</v>
      </c>
      <c r="Z17" s="62"/>
      <c r="AA17" s="62">
        <f aca="true" t="shared" si="11" ref="AA17:AA24">SUM(Y17:Z17)</f>
        <v>3378</v>
      </c>
      <c r="AB17" s="62"/>
      <c r="AC17" s="62">
        <f aca="true" t="shared" si="12" ref="AC17:AC24">SUM(AA17:AB17)</f>
        <v>3378</v>
      </c>
      <c r="AD17" s="79"/>
      <c r="AE17" s="79"/>
    </row>
    <row r="18" spans="1:31" s="25" customFormat="1" ht="21" customHeight="1">
      <c r="A18" s="64"/>
      <c r="B18" s="202"/>
      <c r="C18" s="201">
        <v>4110</v>
      </c>
      <c r="D18" s="36" t="s">
        <v>81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>
        <v>0</v>
      </c>
      <c r="R18" s="62">
        <v>513</v>
      </c>
      <c r="S18" s="62">
        <f t="shared" si="7"/>
        <v>513</v>
      </c>
      <c r="T18" s="62"/>
      <c r="U18" s="62">
        <f t="shared" si="8"/>
        <v>513</v>
      </c>
      <c r="V18" s="62"/>
      <c r="W18" s="62">
        <f t="shared" si="9"/>
        <v>513</v>
      </c>
      <c r="X18" s="62"/>
      <c r="Y18" s="62">
        <f t="shared" si="10"/>
        <v>513</v>
      </c>
      <c r="Z18" s="62"/>
      <c r="AA18" s="62">
        <f t="shared" si="11"/>
        <v>513</v>
      </c>
      <c r="AB18" s="62"/>
      <c r="AC18" s="62">
        <f t="shared" si="12"/>
        <v>513</v>
      </c>
      <c r="AD18" s="79"/>
      <c r="AE18" s="79"/>
    </row>
    <row r="19" spans="1:31" s="25" customFormat="1" ht="21" customHeight="1">
      <c r="A19" s="64"/>
      <c r="B19" s="202"/>
      <c r="C19" s="201">
        <v>4120</v>
      </c>
      <c r="D19" s="36" t="s">
        <v>82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>
        <v>0</v>
      </c>
      <c r="R19" s="62">
        <v>82</v>
      </c>
      <c r="S19" s="62">
        <f t="shared" si="7"/>
        <v>82</v>
      </c>
      <c r="T19" s="62"/>
      <c r="U19" s="62">
        <f t="shared" si="8"/>
        <v>82</v>
      </c>
      <c r="V19" s="62"/>
      <c r="W19" s="62">
        <f t="shared" si="9"/>
        <v>82</v>
      </c>
      <c r="X19" s="62"/>
      <c r="Y19" s="62">
        <f t="shared" si="10"/>
        <v>82</v>
      </c>
      <c r="Z19" s="62"/>
      <c r="AA19" s="62">
        <f t="shared" si="11"/>
        <v>82</v>
      </c>
      <c r="AB19" s="62"/>
      <c r="AC19" s="62">
        <f t="shared" si="12"/>
        <v>82</v>
      </c>
      <c r="AD19" s="79"/>
      <c r="AE19" s="79"/>
    </row>
    <row r="20" spans="1:29" s="25" customFormat="1" ht="21.75" customHeight="1">
      <c r="A20" s="64"/>
      <c r="B20" s="202"/>
      <c r="C20" s="201">
        <v>4210</v>
      </c>
      <c r="D20" s="36" t="s">
        <v>68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>
        <v>0</v>
      </c>
      <c r="P20" s="62">
        <v>5598</v>
      </c>
      <c r="Q20" s="62">
        <f>SUM(O20:P20)</f>
        <v>5598</v>
      </c>
      <c r="R20" s="62">
        <v>-5347</v>
      </c>
      <c r="S20" s="62">
        <f t="shared" si="7"/>
        <v>251</v>
      </c>
      <c r="T20" s="62"/>
      <c r="U20" s="62">
        <f t="shared" si="8"/>
        <v>251</v>
      </c>
      <c r="V20" s="62"/>
      <c r="W20" s="62">
        <f t="shared" si="9"/>
        <v>251</v>
      </c>
      <c r="X20" s="62"/>
      <c r="Y20" s="62">
        <f t="shared" si="10"/>
        <v>251</v>
      </c>
      <c r="Z20" s="62"/>
      <c r="AA20" s="62">
        <f t="shared" si="11"/>
        <v>251</v>
      </c>
      <c r="AB20" s="62"/>
      <c r="AC20" s="62">
        <f t="shared" si="12"/>
        <v>251</v>
      </c>
    </row>
    <row r="21" spans="1:29" s="25" customFormat="1" ht="21.75" customHeight="1">
      <c r="A21" s="64"/>
      <c r="B21" s="202"/>
      <c r="C21" s="201">
        <v>4300</v>
      </c>
      <c r="D21" s="36" t="s">
        <v>75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>
        <v>0</v>
      </c>
      <c r="R21" s="62">
        <v>1090</v>
      </c>
      <c r="S21" s="62">
        <f t="shared" si="7"/>
        <v>1090</v>
      </c>
      <c r="T21" s="62"/>
      <c r="U21" s="62">
        <f t="shared" si="8"/>
        <v>1090</v>
      </c>
      <c r="V21" s="62"/>
      <c r="W21" s="62">
        <f t="shared" si="9"/>
        <v>1090</v>
      </c>
      <c r="X21" s="62"/>
      <c r="Y21" s="62">
        <f t="shared" si="10"/>
        <v>1090</v>
      </c>
      <c r="Z21" s="62"/>
      <c r="AA21" s="62">
        <f t="shared" si="11"/>
        <v>1090</v>
      </c>
      <c r="AB21" s="62"/>
      <c r="AC21" s="62">
        <f t="shared" si="12"/>
        <v>1090</v>
      </c>
    </row>
    <row r="22" spans="1:29" s="25" customFormat="1" ht="22.5" customHeight="1">
      <c r="A22" s="64"/>
      <c r="B22" s="202"/>
      <c r="C22" s="201">
        <v>4430</v>
      </c>
      <c r="D22" s="36" t="s">
        <v>87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>
        <v>0</v>
      </c>
      <c r="P22" s="62">
        <v>279904</v>
      </c>
      <c r="Q22" s="62">
        <f>SUM(O22:P22)</f>
        <v>279904</v>
      </c>
      <c r="R22" s="62">
        <v>0</v>
      </c>
      <c r="S22" s="62">
        <f t="shared" si="7"/>
        <v>279904</v>
      </c>
      <c r="T22" s="62"/>
      <c r="U22" s="62">
        <f t="shared" si="8"/>
        <v>279904</v>
      </c>
      <c r="V22" s="62"/>
      <c r="W22" s="62">
        <f t="shared" si="9"/>
        <v>279904</v>
      </c>
      <c r="X22" s="62"/>
      <c r="Y22" s="62">
        <f t="shared" si="10"/>
        <v>279904</v>
      </c>
      <c r="Z22" s="62"/>
      <c r="AA22" s="62">
        <f t="shared" si="11"/>
        <v>279904</v>
      </c>
      <c r="AB22" s="62"/>
      <c r="AC22" s="62">
        <f t="shared" si="12"/>
        <v>279904</v>
      </c>
    </row>
    <row r="23" spans="1:29" s="25" customFormat="1" ht="36">
      <c r="A23" s="64"/>
      <c r="B23" s="202"/>
      <c r="C23" s="201">
        <v>4740</v>
      </c>
      <c r="D23" s="36" t="s">
        <v>183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>
        <v>0</v>
      </c>
      <c r="R23" s="62">
        <v>25</v>
      </c>
      <c r="S23" s="62">
        <f t="shared" si="7"/>
        <v>25</v>
      </c>
      <c r="T23" s="62"/>
      <c r="U23" s="62">
        <f t="shared" si="8"/>
        <v>25</v>
      </c>
      <c r="V23" s="62"/>
      <c r="W23" s="62">
        <f t="shared" si="9"/>
        <v>25</v>
      </c>
      <c r="X23" s="62"/>
      <c r="Y23" s="62">
        <f t="shared" si="10"/>
        <v>25</v>
      </c>
      <c r="Z23" s="62"/>
      <c r="AA23" s="62">
        <f t="shared" si="11"/>
        <v>25</v>
      </c>
      <c r="AB23" s="62"/>
      <c r="AC23" s="62">
        <f t="shared" si="12"/>
        <v>25</v>
      </c>
    </row>
    <row r="24" spans="1:29" s="25" customFormat="1" ht="24">
      <c r="A24" s="64"/>
      <c r="B24" s="202"/>
      <c r="C24" s="201">
        <v>4750</v>
      </c>
      <c r="D24" s="36" t="s">
        <v>401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>
        <v>0</v>
      </c>
      <c r="R24" s="62">
        <v>259</v>
      </c>
      <c r="S24" s="62">
        <f t="shared" si="7"/>
        <v>259</v>
      </c>
      <c r="T24" s="62"/>
      <c r="U24" s="62">
        <f t="shared" si="8"/>
        <v>259</v>
      </c>
      <c r="V24" s="62"/>
      <c r="W24" s="62">
        <f t="shared" si="9"/>
        <v>259</v>
      </c>
      <c r="X24" s="62"/>
      <c r="Y24" s="62">
        <f t="shared" si="10"/>
        <v>259</v>
      </c>
      <c r="Z24" s="62"/>
      <c r="AA24" s="62">
        <f t="shared" si="11"/>
        <v>259</v>
      </c>
      <c r="AB24" s="62"/>
      <c r="AC24" s="62">
        <f t="shared" si="12"/>
        <v>259</v>
      </c>
    </row>
    <row r="25" spans="1:29" s="6" customFormat="1" ht="21" customHeight="1">
      <c r="A25" s="32" t="s">
        <v>70</v>
      </c>
      <c r="B25" s="33"/>
      <c r="C25" s="34"/>
      <c r="D25" s="35" t="s">
        <v>71</v>
      </c>
      <c r="E25" s="200">
        <f aca="true" t="shared" si="13" ref="E25:T25">E28</f>
        <v>5719925</v>
      </c>
      <c r="F25" s="200">
        <f t="shared" si="13"/>
        <v>1935000</v>
      </c>
      <c r="G25" s="200">
        <f t="shared" si="13"/>
        <v>7654925</v>
      </c>
      <c r="H25" s="200">
        <f t="shared" si="13"/>
        <v>0</v>
      </c>
      <c r="I25" s="200">
        <f t="shared" si="13"/>
        <v>7654925</v>
      </c>
      <c r="J25" s="200">
        <f t="shared" si="13"/>
        <v>20000</v>
      </c>
      <c r="K25" s="200">
        <f t="shared" si="13"/>
        <v>7674925</v>
      </c>
      <c r="L25" s="200">
        <f t="shared" si="13"/>
        <v>25000</v>
      </c>
      <c r="M25" s="200">
        <f t="shared" si="13"/>
        <v>7699925</v>
      </c>
      <c r="N25" s="200">
        <f t="shared" si="13"/>
        <v>0</v>
      </c>
      <c r="O25" s="200">
        <f t="shared" si="13"/>
        <v>7699925</v>
      </c>
      <c r="P25" s="200">
        <f t="shared" si="13"/>
        <v>0</v>
      </c>
      <c r="Q25" s="200">
        <f t="shared" si="13"/>
        <v>7699925</v>
      </c>
      <c r="R25" s="200">
        <f t="shared" si="13"/>
        <v>300</v>
      </c>
      <c r="S25" s="200">
        <f t="shared" si="13"/>
        <v>7700225</v>
      </c>
      <c r="T25" s="200">
        <f t="shared" si="13"/>
        <v>0</v>
      </c>
      <c r="U25" s="200">
        <f aca="true" t="shared" si="14" ref="U25:AA25">U28+U26</f>
        <v>7700225</v>
      </c>
      <c r="V25" s="200">
        <f t="shared" si="14"/>
        <v>-300</v>
      </c>
      <c r="W25" s="200">
        <f t="shared" si="14"/>
        <v>7699925</v>
      </c>
      <c r="X25" s="200">
        <f t="shared" si="14"/>
        <v>0</v>
      </c>
      <c r="Y25" s="200">
        <f t="shared" si="14"/>
        <v>7699925</v>
      </c>
      <c r="Z25" s="200">
        <f t="shared" si="14"/>
        <v>108400</v>
      </c>
      <c r="AA25" s="200">
        <f t="shared" si="14"/>
        <v>7808325</v>
      </c>
      <c r="AB25" s="200">
        <f>AB28+AB26</f>
        <v>0</v>
      </c>
      <c r="AC25" s="200">
        <f>AC28+AC26</f>
        <v>7808325</v>
      </c>
    </row>
    <row r="26" spans="1:29" s="100" customFormat="1" ht="21" customHeight="1">
      <c r="A26" s="173"/>
      <c r="B26" s="159">
        <v>60013</v>
      </c>
      <c r="C26" s="160"/>
      <c r="D26" s="158" t="s">
        <v>342</v>
      </c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>
        <f aca="true" t="shared" si="15" ref="U26:AC26">SUM(U27)</f>
        <v>0</v>
      </c>
      <c r="V26" s="205">
        <f t="shared" si="15"/>
        <v>19600</v>
      </c>
      <c r="W26" s="205">
        <f t="shared" si="15"/>
        <v>19600</v>
      </c>
      <c r="X26" s="205">
        <f t="shared" si="15"/>
        <v>0</v>
      </c>
      <c r="Y26" s="205">
        <f t="shared" si="15"/>
        <v>19600</v>
      </c>
      <c r="Z26" s="205">
        <f t="shared" si="15"/>
        <v>0</v>
      </c>
      <c r="AA26" s="205">
        <f t="shared" si="15"/>
        <v>19600</v>
      </c>
      <c r="AB26" s="205">
        <f t="shared" si="15"/>
        <v>0</v>
      </c>
      <c r="AC26" s="205">
        <f t="shared" si="15"/>
        <v>19600</v>
      </c>
    </row>
    <row r="27" spans="1:35" s="100" customFormat="1" ht="60">
      <c r="A27" s="173"/>
      <c r="B27" s="159"/>
      <c r="C27" s="160">
        <v>6300</v>
      </c>
      <c r="D27" s="158" t="s">
        <v>343</v>
      </c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>
        <v>0</v>
      </c>
      <c r="V27" s="205">
        <v>19600</v>
      </c>
      <c r="W27" s="205">
        <f>SUM(U27:V27)</f>
        <v>19600</v>
      </c>
      <c r="X27" s="205"/>
      <c r="Y27" s="205">
        <f>SUM(W27:X27)</f>
        <v>19600</v>
      </c>
      <c r="Z27" s="205"/>
      <c r="AA27" s="205">
        <f>SUM(Y27:Z27)</f>
        <v>19600</v>
      </c>
      <c r="AB27" s="205"/>
      <c r="AC27" s="205">
        <f>SUM(AA27:AB27)</f>
        <v>19600</v>
      </c>
      <c r="AF27" s="234"/>
      <c r="AG27" s="234"/>
      <c r="AH27" s="234"/>
      <c r="AI27" s="234"/>
    </row>
    <row r="28" spans="1:29" s="25" customFormat="1" ht="21" customHeight="1">
      <c r="A28" s="49"/>
      <c r="B28" s="63" t="s">
        <v>72</v>
      </c>
      <c r="C28" s="66"/>
      <c r="D28" s="36" t="s">
        <v>73</v>
      </c>
      <c r="E28" s="62">
        <f aca="true" t="shared" si="16" ref="E28:W28">SUM(E29:E33)</f>
        <v>5719925</v>
      </c>
      <c r="F28" s="62">
        <f t="shared" si="16"/>
        <v>1935000</v>
      </c>
      <c r="G28" s="62">
        <f t="shared" si="16"/>
        <v>7654925</v>
      </c>
      <c r="H28" s="62">
        <f t="shared" si="16"/>
        <v>0</v>
      </c>
      <c r="I28" s="62">
        <f t="shared" si="16"/>
        <v>7654925</v>
      </c>
      <c r="J28" s="62">
        <f t="shared" si="16"/>
        <v>20000</v>
      </c>
      <c r="K28" s="62">
        <f t="shared" si="16"/>
        <v>7674925</v>
      </c>
      <c r="L28" s="62">
        <f t="shared" si="16"/>
        <v>25000</v>
      </c>
      <c r="M28" s="62">
        <f t="shared" si="16"/>
        <v>7699925</v>
      </c>
      <c r="N28" s="62">
        <f t="shared" si="16"/>
        <v>0</v>
      </c>
      <c r="O28" s="62">
        <f t="shared" si="16"/>
        <v>7699925</v>
      </c>
      <c r="P28" s="62">
        <f t="shared" si="16"/>
        <v>0</v>
      </c>
      <c r="Q28" s="62">
        <f t="shared" si="16"/>
        <v>7699925</v>
      </c>
      <c r="R28" s="62">
        <f t="shared" si="16"/>
        <v>300</v>
      </c>
      <c r="S28" s="62">
        <f t="shared" si="16"/>
        <v>7700225</v>
      </c>
      <c r="T28" s="62">
        <f t="shared" si="16"/>
        <v>0</v>
      </c>
      <c r="U28" s="62">
        <f t="shared" si="16"/>
        <v>7700225</v>
      </c>
      <c r="V28" s="62">
        <f t="shared" si="16"/>
        <v>-19900</v>
      </c>
      <c r="W28" s="62">
        <f t="shared" si="16"/>
        <v>7680325</v>
      </c>
      <c r="X28" s="62">
        <f aca="true" t="shared" si="17" ref="X28:AC28">SUM(X29:X33)</f>
        <v>0</v>
      </c>
      <c r="Y28" s="62">
        <f t="shared" si="17"/>
        <v>7680325</v>
      </c>
      <c r="Z28" s="62">
        <f t="shared" si="17"/>
        <v>108400</v>
      </c>
      <c r="AA28" s="62">
        <f t="shared" si="17"/>
        <v>7788725</v>
      </c>
      <c r="AB28" s="62">
        <f t="shared" si="17"/>
        <v>0</v>
      </c>
      <c r="AC28" s="62">
        <f t="shared" si="17"/>
        <v>7788725</v>
      </c>
    </row>
    <row r="29" spans="1:29" s="25" customFormat="1" ht="21" customHeight="1">
      <c r="A29" s="49"/>
      <c r="B29" s="206"/>
      <c r="C29" s="49">
        <v>4210</v>
      </c>
      <c r="D29" s="36" t="s">
        <v>68</v>
      </c>
      <c r="E29" s="62">
        <v>57205</v>
      </c>
      <c r="F29" s="62"/>
      <c r="G29" s="62">
        <f>SUM(E29:F29)</f>
        <v>57205</v>
      </c>
      <c r="H29" s="62"/>
      <c r="I29" s="62">
        <f>SUM(G29:H29)</f>
        <v>57205</v>
      </c>
      <c r="J29" s="62"/>
      <c r="K29" s="62">
        <f>SUM(I29:J29)</f>
        <v>57205</v>
      </c>
      <c r="L29" s="62"/>
      <c r="M29" s="62">
        <f>SUM(K29:L29)</f>
        <v>57205</v>
      </c>
      <c r="N29" s="62"/>
      <c r="O29" s="62">
        <f>SUM(M29:N29)</f>
        <v>57205</v>
      </c>
      <c r="P29" s="62"/>
      <c r="Q29" s="62">
        <f>SUM(O29:P29)</f>
        <v>57205</v>
      </c>
      <c r="R29" s="62">
        <v>300</v>
      </c>
      <c r="S29" s="62">
        <f>SUM(Q29:R29)</f>
        <v>57505</v>
      </c>
      <c r="T29" s="62"/>
      <c r="U29" s="62">
        <f>SUM(S29:T29)</f>
        <v>57505</v>
      </c>
      <c r="V29" s="62">
        <f>1000-1440</f>
        <v>-440</v>
      </c>
      <c r="W29" s="62">
        <v>45845</v>
      </c>
      <c r="X29" s="62"/>
      <c r="Y29" s="62">
        <f>SUM(W29:X29)</f>
        <v>45845</v>
      </c>
      <c r="Z29" s="62">
        <v>-500</v>
      </c>
      <c r="AA29" s="62">
        <f>SUM(Y29:Z29)</f>
        <v>45345</v>
      </c>
      <c r="AB29" s="62"/>
      <c r="AC29" s="62">
        <f>SUM(AA29:AB29)</f>
        <v>45345</v>
      </c>
    </row>
    <row r="30" spans="1:29" s="25" customFormat="1" ht="21" customHeight="1">
      <c r="A30" s="49"/>
      <c r="B30" s="206"/>
      <c r="C30" s="49">
        <v>4270</v>
      </c>
      <c r="D30" s="36" t="s">
        <v>74</v>
      </c>
      <c r="E30" s="62">
        <f>70000+15000+60000</f>
        <v>145000</v>
      </c>
      <c r="F30" s="62">
        <v>100000</v>
      </c>
      <c r="G30" s="62">
        <f>SUM(E30:F30)</f>
        <v>245000</v>
      </c>
      <c r="H30" s="62"/>
      <c r="I30" s="62">
        <f>SUM(G30:H30)</f>
        <v>245000</v>
      </c>
      <c r="J30" s="62"/>
      <c r="K30" s="62">
        <f>SUM(I30:J30)</f>
        <v>245000</v>
      </c>
      <c r="L30" s="62"/>
      <c r="M30" s="62">
        <f>SUM(K30:L30)</f>
        <v>245000</v>
      </c>
      <c r="N30" s="62"/>
      <c r="O30" s="62">
        <f>SUM(M30:N30)</f>
        <v>245000</v>
      </c>
      <c r="P30" s="62"/>
      <c r="Q30" s="62">
        <f>SUM(O30:P30)</f>
        <v>245000</v>
      </c>
      <c r="R30" s="62"/>
      <c r="S30" s="62">
        <f>SUM(Q30:R30)</f>
        <v>245000</v>
      </c>
      <c r="T30" s="62"/>
      <c r="U30" s="62">
        <f>SUM(S30:T30)</f>
        <v>245000</v>
      </c>
      <c r="V30" s="62"/>
      <c r="W30" s="62">
        <f>SUM(U30:V30)</f>
        <v>245000</v>
      </c>
      <c r="X30" s="62"/>
      <c r="Y30" s="62">
        <f>SUM(W30:X30)</f>
        <v>245000</v>
      </c>
      <c r="Z30" s="62"/>
      <c r="AA30" s="62">
        <f>SUM(Y30:Z30)</f>
        <v>245000</v>
      </c>
      <c r="AB30" s="62"/>
      <c r="AC30" s="62">
        <f>SUM(AA30:AB30)</f>
        <v>245000</v>
      </c>
    </row>
    <row r="31" spans="1:29" s="25" customFormat="1" ht="21" customHeight="1">
      <c r="A31" s="49"/>
      <c r="B31" s="206"/>
      <c r="C31" s="49">
        <v>4300</v>
      </c>
      <c r="D31" s="36" t="s">
        <v>75</v>
      </c>
      <c r="E31" s="62">
        <f>21800+200000+80000+30000+25000</f>
        <v>356800</v>
      </c>
      <c r="F31" s="62"/>
      <c r="G31" s="62">
        <f>SUM(E31:F31)</f>
        <v>356800</v>
      </c>
      <c r="H31" s="62"/>
      <c r="I31" s="62">
        <f>SUM(G31:H31)</f>
        <v>356800</v>
      </c>
      <c r="J31" s="62"/>
      <c r="K31" s="62">
        <f>SUM(I31:J31)</f>
        <v>356800</v>
      </c>
      <c r="L31" s="62"/>
      <c r="M31" s="62">
        <f>SUM(K31:L31)</f>
        <v>356800</v>
      </c>
      <c r="N31" s="62"/>
      <c r="O31" s="62">
        <f>SUM(M31:N31)</f>
        <v>356800</v>
      </c>
      <c r="P31" s="62"/>
      <c r="Q31" s="62">
        <f>SUM(O31:P31)</f>
        <v>356800</v>
      </c>
      <c r="R31" s="62"/>
      <c r="S31" s="62">
        <f>SUM(Q31:R31)</f>
        <v>356800</v>
      </c>
      <c r="T31" s="62"/>
      <c r="U31" s="62">
        <f>SUM(S31:T31)</f>
        <v>356800</v>
      </c>
      <c r="V31" s="62">
        <f>-1000-300+1440</f>
        <v>140</v>
      </c>
      <c r="W31" s="62">
        <v>368160</v>
      </c>
      <c r="X31" s="62"/>
      <c r="Y31" s="62">
        <f>SUM(W31:X31)</f>
        <v>368160</v>
      </c>
      <c r="Z31" s="62">
        <f>-2000+2000-2000</f>
        <v>-2000</v>
      </c>
      <c r="AA31" s="62">
        <f>SUM(Y31:Z31)</f>
        <v>366160</v>
      </c>
      <c r="AB31" s="62"/>
      <c r="AC31" s="62">
        <f>SUM(AA31:AB31)</f>
        <v>366160</v>
      </c>
    </row>
    <row r="32" spans="1:33" s="25" customFormat="1" ht="21" customHeight="1">
      <c r="A32" s="49"/>
      <c r="B32" s="206"/>
      <c r="C32" s="49">
        <v>6050</v>
      </c>
      <c r="D32" s="36" t="s">
        <v>69</v>
      </c>
      <c r="E32" s="62">
        <f>14120+3800+18000+5110000</f>
        <v>5145920</v>
      </c>
      <c r="F32" s="62">
        <f>-190000-1500000-490000-70000-70000-70000+135000+340000+500000+250000+250000+800000+700000+700000+500000+50000</f>
        <v>1835000</v>
      </c>
      <c r="G32" s="62">
        <f>SUM(E32:F32)</f>
        <v>6980920</v>
      </c>
      <c r="H32" s="62"/>
      <c r="I32" s="62">
        <f>SUM(G32:H32)</f>
        <v>6980920</v>
      </c>
      <c r="J32" s="62">
        <v>20000</v>
      </c>
      <c r="K32" s="62">
        <f>SUM(I32:J32)</f>
        <v>7000920</v>
      </c>
      <c r="L32" s="62">
        <v>25000</v>
      </c>
      <c r="M32" s="62">
        <f>SUM(K32:L32)</f>
        <v>7025920</v>
      </c>
      <c r="N32" s="62"/>
      <c r="O32" s="62">
        <f>SUM(M32:N32)</f>
        <v>7025920</v>
      </c>
      <c r="P32" s="62"/>
      <c r="Q32" s="62">
        <f>SUM(O32:P32)</f>
        <v>7025920</v>
      </c>
      <c r="R32" s="62"/>
      <c r="S32" s="62">
        <f>SUM(Q32:R32)</f>
        <v>7025920</v>
      </c>
      <c r="T32" s="62"/>
      <c r="U32" s="62">
        <f>SUM(S32:T32)</f>
        <v>7025920</v>
      </c>
      <c r="V32" s="62">
        <v>-19600</v>
      </c>
      <c r="W32" s="62">
        <f>SUM(U32:V32)</f>
        <v>7006320</v>
      </c>
      <c r="X32" s="62"/>
      <c r="Y32" s="62">
        <f>SUM(W32:X32)</f>
        <v>7006320</v>
      </c>
      <c r="Z32" s="62">
        <v>110900</v>
      </c>
      <c r="AA32" s="62">
        <f>SUM(Y32:Z32)</f>
        <v>7117220</v>
      </c>
      <c r="AB32" s="62"/>
      <c r="AC32" s="62">
        <f>SUM(AA32:AB32)</f>
        <v>7117220</v>
      </c>
      <c r="AF32" s="79"/>
      <c r="AG32" s="79"/>
    </row>
    <row r="33" spans="1:33" s="25" customFormat="1" ht="24">
      <c r="A33" s="49"/>
      <c r="B33" s="206"/>
      <c r="C33" s="49">
        <v>6060</v>
      </c>
      <c r="D33" s="36" t="s">
        <v>89</v>
      </c>
      <c r="E33" s="62">
        <v>15000</v>
      </c>
      <c r="F33" s="62"/>
      <c r="G33" s="62">
        <f>SUM(E33:F33)</f>
        <v>15000</v>
      </c>
      <c r="H33" s="62"/>
      <c r="I33" s="62">
        <f>SUM(G33:H33)</f>
        <v>15000</v>
      </c>
      <c r="J33" s="62"/>
      <c r="K33" s="62">
        <f>SUM(I33:J33)</f>
        <v>15000</v>
      </c>
      <c r="L33" s="62"/>
      <c r="M33" s="62">
        <f>SUM(K33:L33)</f>
        <v>15000</v>
      </c>
      <c r="N33" s="62"/>
      <c r="O33" s="62">
        <f>SUM(M33:N33)</f>
        <v>15000</v>
      </c>
      <c r="P33" s="62"/>
      <c r="Q33" s="62">
        <f>SUM(O33:P33)</f>
        <v>15000</v>
      </c>
      <c r="R33" s="62"/>
      <c r="S33" s="62">
        <f>SUM(Q33:R33)</f>
        <v>15000</v>
      </c>
      <c r="T33" s="62"/>
      <c r="U33" s="62">
        <f>SUM(S33:T33)</f>
        <v>15000</v>
      </c>
      <c r="V33" s="62"/>
      <c r="W33" s="62">
        <f>SUM(U33:V33)</f>
        <v>15000</v>
      </c>
      <c r="X33" s="62"/>
      <c r="Y33" s="62">
        <f>SUM(W33:X33)</f>
        <v>15000</v>
      </c>
      <c r="Z33" s="62"/>
      <c r="AA33" s="62">
        <f>SUM(Y33:Z33)</f>
        <v>15000</v>
      </c>
      <c r="AB33" s="62"/>
      <c r="AC33" s="62">
        <f>SUM(AA33:AB33)</f>
        <v>15000</v>
      </c>
      <c r="AF33" s="79"/>
      <c r="AG33" s="79"/>
    </row>
    <row r="34" spans="1:29" s="6" customFormat="1" ht="21" customHeight="1">
      <c r="A34" s="32" t="s">
        <v>8</v>
      </c>
      <c r="B34" s="33"/>
      <c r="C34" s="34"/>
      <c r="D34" s="35" t="s">
        <v>9</v>
      </c>
      <c r="E34" s="200">
        <f aca="true" t="shared" si="18" ref="E34:W34">SUM(E35,E37,E48,E51)</f>
        <v>3482512</v>
      </c>
      <c r="F34" s="200">
        <f t="shared" si="18"/>
        <v>80000</v>
      </c>
      <c r="G34" s="200">
        <f t="shared" si="18"/>
        <v>3562512</v>
      </c>
      <c r="H34" s="200">
        <f t="shared" si="18"/>
        <v>0</v>
      </c>
      <c r="I34" s="200">
        <f t="shared" si="18"/>
        <v>3562512</v>
      </c>
      <c r="J34" s="200">
        <f t="shared" si="18"/>
        <v>0</v>
      </c>
      <c r="K34" s="200">
        <f t="shared" si="18"/>
        <v>3562512</v>
      </c>
      <c r="L34" s="200">
        <f t="shared" si="18"/>
        <v>0</v>
      </c>
      <c r="M34" s="200">
        <f t="shared" si="18"/>
        <v>3562512</v>
      </c>
      <c r="N34" s="200">
        <f t="shared" si="18"/>
        <v>0</v>
      </c>
      <c r="O34" s="200">
        <f t="shared" si="18"/>
        <v>3562512</v>
      </c>
      <c r="P34" s="200">
        <f t="shared" si="18"/>
        <v>0</v>
      </c>
      <c r="Q34" s="200">
        <f t="shared" si="18"/>
        <v>3562512</v>
      </c>
      <c r="R34" s="200">
        <f t="shared" si="18"/>
        <v>5000</v>
      </c>
      <c r="S34" s="200">
        <f t="shared" si="18"/>
        <v>3567512</v>
      </c>
      <c r="T34" s="200">
        <f t="shared" si="18"/>
        <v>0</v>
      </c>
      <c r="U34" s="200">
        <f t="shared" si="18"/>
        <v>3567512</v>
      </c>
      <c r="V34" s="200">
        <f t="shared" si="18"/>
        <v>0</v>
      </c>
      <c r="W34" s="200">
        <f t="shared" si="18"/>
        <v>3567512</v>
      </c>
      <c r="X34" s="200">
        <f aca="true" t="shared" si="19" ref="X34:AC34">SUM(X35,X37,X48,X51)</f>
        <v>0</v>
      </c>
      <c r="Y34" s="200">
        <f t="shared" si="19"/>
        <v>3567512</v>
      </c>
      <c r="Z34" s="200">
        <f t="shared" si="19"/>
        <v>0</v>
      </c>
      <c r="AA34" s="200">
        <f t="shared" si="19"/>
        <v>3567512</v>
      </c>
      <c r="AB34" s="200">
        <f t="shared" si="19"/>
        <v>0</v>
      </c>
      <c r="AC34" s="200">
        <f t="shared" si="19"/>
        <v>3567512</v>
      </c>
    </row>
    <row r="35" spans="1:29" s="25" customFormat="1" ht="24">
      <c r="A35" s="49"/>
      <c r="B35" s="206">
        <v>70004</v>
      </c>
      <c r="C35" s="66"/>
      <c r="D35" s="36" t="s">
        <v>402</v>
      </c>
      <c r="E35" s="62">
        <f aca="true" t="shared" si="20" ref="E35:AC35">SUM(E36)</f>
        <v>45000</v>
      </c>
      <c r="F35" s="62">
        <f t="shared" si="20"/>
        <v>0</v>
      </c>
      <c r="G35" s="62">
        <f t="shared" si="20"/>
        <v>45000</v>
      </c>
      <c r="H35" s="62">
        <f t="shared" si="20"/>
        <v>0</v>
      </c>
      <c r="I35" s="62">
        <f t="shared" si="20"/>
        <v>45000</v>
      </c>
      <c r="J35" s="62">
        <f t="shared" si="20"/>
        <v>0</v>
      </c>
      <c r="K35" s="62">
        <f t="shared" si="20"/>
        <v>45000</v>
      </c>
      <c r="L35" s="62">
        <f t="shared" si="20"/>
        <v>0</v>
      </c>
      <c r="M35" s="62">
        <f t="shared" si="20"/>
        <v>45000</v>
      </c>
      <c r="N35" s="62">
        <f t="shared" si="20"/>
        <v>0</v>
      </c>
      <c r="O35" s="62">
        <f t="shared" si="20"/>
        <v>45000</v>
      </c>
      <c r="P35" s="62">
        <f t="shared" si="20"/>
        <v>0</v>
      </c>
      <c r="Q35" s="62">
        <f t="shared" si="20"/>
        <v>45000</v>
      </c>
      <c r="R35" s="62">
        <f t="shared" si="20"/>
        <v>0</v>
      </c>
      <c r="S35" s="62">
        <f t="shared" si="20"/>
        <v>45000</v>
      </c>
      <c r="T35" s="62">
        <f t="shared" si="20"/>
        <v>0</v>
      </c>
      <c r="U35" s="62">
        <f t="shared" si="20"/>
        <v>45000</v>
      </c>
      <c r="V35" s="62">
        <f t="shared" si="20"/>
        <v>0</v>
      </c>
      <c r="W35" s="62">
        <f t="shared" si="20"/>
        <v>45000</v>
      </c>
      <c r="X35" s="62">
        <f t="shared" si="20"/>
        <v>0</v>
      </c>
      <c r="Y35" s="62">
        <f t="shared" si="20"/>
        <v>45000</v>
      </c>
      <c r="Z35" s="62">
        <f t="shared" si="20"/>
        <v>0</v>
      </c>
      <c r="AA35" s="62">
        <f t="shared" si="20"/>
        <v>45000</v>
      </c>
      <c r="AB35" s="62">
        <f t="shared" si="20"/>
        <v>0</v>
      </c>
      <c r="AC35" s="62">
        <f t="shared" si="20"/>
        <v>45000</v>
      </c>
    </row>
    <row r="36" spans="1:29" s="25" customFormat="1" ht="21" customHeight="1">
      <c r="A36" s="49"/>
      <c r="B36" s="206"/>
      <c r="C36" s="66">
        <v>4300</v>
      </c>
      <c r="D36" s="36" t="s">
        <v>75</v>
      </c>
      <c r="E36" s="62">
        <v>45000</v>
      </c>
      <c r="F36" s="62"/>
      <c r="G36" s="62">
        <f>SUM(E36:F36)</f>
        <v>45000</v>
      </c>
      <c r="H36" s="62"/>
      <c r="I36" s="62">
        <f>SUM(G36:H36)</f>
        <v>45000</v>
      </c>
      <c r="J36" s="62"/>
      <c r="K36" s="62">
        <f>SUM(I36:J36)</f>
        <v>45000</v>
      </c>
      <c r="L36" s="62"/>
      <c r="M36" s="62">
        <f>SUM(K36:L36)</f>
        <v>45000</v>
      </c>
      <c r="N36" s="62"/>
      <c r="O36" s="62">
        <f>SUM(M36:N36)</f>
        <v>45000</v>
      </c>
      <c r="P36" s="62"/>
      <c r="Q36" s="62">
        <f>SUM(O36:P36)</f>
        <v>45000</v>
      </c>
      <c r="R36" s="62"/>
      <c r="S36" s="62">
        <f>SUM(Q36:R36)</f>
        <v>45000</v>
      </c>
      <c r="T36" s="62"/>
      <c r="U36" s="62">
        <f>SUM(S36:T36)</f>
        <v>45000</v>
      </c>
      <c r="V36" s="62"/>
      <c r="W36" s="62">
        <f>SUM(U36:V36)</f>
        <v>45000</v>
      </c>
      <c r="X36" s="62"/>
      <c r="Y36" s="62">
        <f>SUM(W36:X36)</f>
        <v>45000</v>
      </c>
      <c r="Z36" s="62"/>
      <c r="AA36" s="62">
        <f>SUM(Y36:Z36)</f>
        <v>45000</v>
      </c>
      <c r="AB36" s="62"/>
      <c r="AC36" s="62">
        <f>SUM(AA36:AB36)</f>
        <v>45000</v>
      </c>
    </row>
    <row r="37" spans="1:29" s="25" customFormat="1" ht="21" customHeight="1">
      <c r="A37" s="49"/>
      <c r="B37" s="63" t="s">
        <v>10</v>
      </c>
      <c r="C37" s="66"/>
      <c r="D37" s="36" t="s">
        <v>121</v>
      </c>
      <c r="E37" s="62">
        <f aca="true" t="shared" si="21" ref="E37:J37">SUM(E39:E47)</f>
        <v>2236932</v>
      </c>
      <c r="F37" s="62">
        <f t="shared" si="21"/>
        <v>0</v>
      </c>
      <c r="G37" s="62">
        <f t="shared" si="21"/>
        <v>2236932</v>
      </c>
      <c r="H37" s="62">
        <f t="shared" si="21"/>
        <v>0</v>
      </c>
      <c r="I37" s="62">
        <f t="shared" si="21"/>
        <v>2236932</v>
      </c>
      <c r="J37" s="62">
        <f t="shared" si="21"/>
        <v>0</v>
      </c>
      <c r="K37" s="62">
        <f aca="true" t="shared" si="22" ref="K37:W37">SUM(K38:K47)</f>
        <v>2236932</v>
      </c>
      <c r="L37" s="62">
        <f t="shared" si="22"/>
        <v>0</v>
      </c>
      <c r="M37" s="62">
        <f t="shared" si="22"/>
        <v>2236932</v>
      </c>
      <c r="N37" s="62">
        <f t="shared" si="22"/>
        <v>0</v>
      </c>
      <c r="O37" s="62">
        <f t="shared" si="22"/>
        <v>2236932</v>
      </c>
      <c r="P37" s="62">
        <f t="shared" si="22"/>
        <v>0</v>
      </c>
      <c r="Q37" s="62">
        <f t="shared" si="22"/>
        <v>2236932</v>
      </c>
      <c r="R37" s="62">
        <f t="shared" si="22"/>
        <v>5000</v>
      </c>
      <c r="S37" s="62">
        <f t="shared" si="22"/>
        <v>2241932</v>
      </c>
      <c r="T37" s="62">
        <f t="shared" si="22"/>
        <v>0</v>
      </c>
      <c r="U37" s="62">
        <f t="shared" si="22"/>
        <v>2241932</v>
      </c>
      <c r="V37" s="62">
        <f t="shared" si="22"/>
        <v>0</v>
      </c>
      <c r="W37" s="62">
        <f t="shared" si="22"/>
        <v>2241932</v>
      </c>
      <c r="X37" s="62">
        <f aca="true" t="shared" si="23" ref="X37:AC37">SUM(X38:X47)</f>
        <v>0</v>
      </c>
      <c r="Y37" s="62">
        <f t="shared" si="23"/>
        <v>2241932</v>
      </c>
      <c r="Z37" s="62">
        <f t="shared" si="23"/>
        <v>0</v>
      </c>
      <c r="AA37" s="62">
        <f t="shared" si="23"/>
        <v>2241932</v>
      </c>
      <c r="AB37" s="62">
        <f t="shared" si="23"/>
        <v>0</v>
      </c>
      <c r="AC37" s="62">
        <f t="shared" si="23"/>
        <v>2241932</v>
      </c>
    </row>
    <row r="38" spans="1:31" s="25" customFormat="1" ht="21" customHeight="1">
      <c r="A38" s="49"/>
      <c r="B38" s="63"/>
      <c r="C38" s="66">
        <v>4170</v>
      </c>
      <c r="D38" s="36" t="s">
        <v>161</v>
      </c>
      <c r="E38" s="62"/>
      <c r="F38" s="62"/>
      <c r="G38" s="62"/>
      <c r="H38" s="62"/>
      <c r="I38" s="62"/>
      <c r="J38" s="62"/>
      <c r="K38" s="62">
        <v>0</v>
      </c>
      <c r="L38" s="62">
        <v>3000</v>
      </c>
      <c r="M38" s="62">
        <f>SUM(K38:L38)</f>
        <v>3000</v>
      </c>
      <c r="N38" s="62"/>
      <c r="O38" s="62">
        <f>SUM(M38:N38)</f>
        <v>3000</v>
      </c>
      <c r="P38" s="62"/>
      <c r="Q38" s="62">
        <f>SUM(O38:P38)</f>
        <v>3000</v>
      </c>
      <c r="R38" s="62">
        <v>5000</v>
      </c>
      <c r="S38" s="62">
        <f>SUM(Q38:R38)</f>
        <v>8000</v>
      </c>
      <c r="T38" s="62"/>
      <c r="U38" s="62">
        <f>SUM(S38:T38)</f>
        <v>8000</v>
      </c>
      <c r="V38" s="62"/>
      <c r="W38" s="62">
        <f>SUM(U38:V38)</f>
        <v>8000</v>
      </c>
      <c r="X38" s="62"/>
      <c r="Y38" s="62">
        <f>SUM(W38:X38)</f>
        <v>8000</v>
      </c>
      <c r="Z38" s="62"/>
      <c r="AA38" s="62">
        <f>SUM(Y38:Z38)</f>
        <v>8000</v>
      </c>
      <c r="AB38" s="62"/>
      <c r="AC38" s="62">
        <f>SUM(AA38:AB38)</f>
        <v>8000</v>
      </c>
      <c r="AD38" s="79"/>
      <c r="AE38" s="79"/>
    </row>
    <row r="39" spans="1:29" s="25" customFormat="1" ht="21" customHeight="1">
      <c r="A39" s="49"/>
      <c r="B39" s="63"/>
      <c r="C39" s="66">
        <v>4210</v>
      </c>
      <c r="D39" s="36" t="s">
        <v>68</v>
      </c>
      <c r="E39" s="62">
        <v>30000</v>
      </c>
      <c r="F39" s="62"/>
      <c r="G39" s="62">
        <f>SUM(E39:F39)</f>
        <v>30000</v>
      </c>
      <c r="H39" s="62"/>
      <c r="I39" s="62">
        <f>SUM(G39:H39)</f>
        <v>30000</v>
      </c>
      <c r="J39" s="62">
        <v>52000</v>
      </c>
      <c r="K39" s="62">
        <f>SUM(I39:J39)</f>
        <v>82000</v>
      </c>
      <c r="L39" s="62"/>
      <c r="M39" s="62">
        <f>SUM(K39:L39)</f>
        <v>82000</v>
      </c>
      <c r="N39" s="62"/>
      <c r="O39" s="62">
        <f>SUM(M39:N39)</f>
        <v>82000</v>
      </c>
      <c r="P39" s="62"/>
      <c r="Q39" s="62">
        <f>SUM(O39:P39)</f>
        <v>82000</v>
      </c>
      <c r="R39" s="62"/>
      <c r="S39" s="62">
        <f>SUM(Q39:R39)</f>
        <v>82000</v>
      </c>
      <c r="T39" s="62"/>
      <c r="U39" s="62">
        <f>SUM(S39:T39)</f>
        <v>82000</v>
      </c>
      <c r="V39" s="62"/>
      <c r="W39" s="62">
        <f>SUM(U39:V39)</f>
        <v>82000</v>
      </c>
      <c r="X39" s="62"/>
      <c r="Y39" s="62">
        <f>SUM(W39:X39)</f>
        <v>82000</v>
      </c>
      <c r="Z39" s="62"/>
      <c r="AA39" s="62">
        <f>SUM(Y39:Z39)</f>
        <v>82000</v>
      </c>
      <c r="AB39" s="62"/>
      <c r="AC39" s="62">
        <f>SUM(AA39:AB39)</f>
        <v>82000</v>
      </c>
    </row>
    <row r="40" spans="1:29" s="25" customFormat="1" ht="21" customHeight="1">
      <c r="A40" s="49"/>
      <c r="B40" s="63"/>
      <c r="C40" s="66">
        <v>4260</v>
      </c>
      <c r="D40" s="36" t="s">
        <v>88</v>
      </c>
      <c r="E40" s="62">
        <v>106000</v>
      </c>
      <c r="F40" s="62"/>
      <c r="G40" s="62">
        <f aca="true" t="shared" si="24" ref="G40:G47">SUM(E40:F40)</f>
        <v>106000</v>
      </c>
      <c r="H40" s="62"/>
      <c r="I40" s="62">
        <f aca="true" t="shared" si="25" ref="I40:I47">SUM(G40:H40)</f>
        <v>106000</v>
      </c>
      <c r="J40" s="62">
        <v>-52000</v>
      </c>
      <c r="K40" s="62">
        <f aca="true" t="shared" si="26" ref="K40:K47">SUM(I40:J40)</f>
        <v>54000</v>
      </c>
      <c r="L40" s="62"/>
      <c r="M40" s="62">
        <f aca="true" t="shared" si="27" ref="M40:M47">SUM(K40:L40)</f>
        <v>54000</v>
      </c>
      <c r="N40" s="62"/>
      <c r="O40" s="62">
        <f aca="true" t="shared" si="28" ref="O40:O47">SUM(M40:N40)</f>
        <v>54000</v>
      </c>
      <c r="P40" s="62"/>
      <c r="Q40" s="62">
        <f aca="true" t="shared" si="29" ref="Q40:Q47">SUM(O40:P40)</f>
        <v>54000</v>
      </c>
      <c r="R40" s="62"/>
      <c r="S40" s="62">
        <f aca="true" t="shared" si="30" ref="S40:S47">SUM(Q40:R40)</f>
        <v>54000</v>
      </c>
      <c r="T40" s="62"/>
      <c r="U40" s="62">
        <f aca="true" t="shared" si="31" ref="U40:U47">SUM(S40:T40)</f>
        <v>54000</v>
      </c>
      <c r="V40" s="62"/>
      <c r="W40" s="62">
        <f aca="true" t="shared" si="32" ref="W40:W47">SUM(U40:V40)</f>
        <v>54000</v>
      </c>
      <c r="X40" s="62"/>
      <c r="Y40" s="62">
        <f aca="true" t="shared" si="33" ref="Y40:Y47">SUM(W40:X40)</f>
        <v>54000</v>
      </c>
      <c r="Z40" s="62"/>
      <c r="AA40" s="62">
        <f aca="true" t="shared" si="34" ref="AA40:AA47">SUM(Y40:Z40)</f>
        <v>54000</v>
      </c>
      <c r="AB40" s="62"/>
      <c r="AC40" s="62">
        <f aca="true" t="shared" si="35" ref="AC40:AC47">SUM(AA40:AB40)</f>
        <v>54000</v>
      </c>
    </row>
    <row r="41" spans="1:29" s="25" customFormat="1" ht="21" customHeight="1">
      <c r="A41" s="49"/>
      <c r="B41" s="63"/>
      <c r="C41" s="66">
        <v>4270</v>
      </c>
      <c r="D41" s="36" t="s">
        <v>74</v>
      </c>
      <c r="E41" s="62">
        <v>900000</v>
      </c>
      <c r="F41" s="62"/>
      <c r="G41" s="62">
        <f t="shared" si="24"/>
        <v>900000</v>
      </c>
      <c r="H41" s="62"/>
      <c r="I41" s="62">
        <f t="shared" si="25"/>
        <v>900000</v>
      </c>
      <c r="J41" s="62"/>
      <c r="K41" s="62">
        <f t="shared" si="26"/>
        <v>900000</v>
      </c>
      <c r="L41" s="62">
        <v>-3000</v>
      </c>
      <c r="M41" s="62">
        <f t="shared" si="27"/>
        <v>897000</v>
      </c>
      <c r="N41" s="62"/>
      <c r="O41" s="62">
        <f t="shared" si="28"/>
        <v>897000</v>
      </c>
      <c r="P41" s="62"/>
      <c r="Q41" s="62">
        <f t="shared" si="29"/>
        <v>897000</v>
      </c>
      <c r="R41" s="62"/>
      <c r="S41" s="62">
        <f t="shared" si="30"/>
        <v>897000</v>
      </c>
      <c r="T41" s="62"/>
      <c r="U41" s="62">
        <f t="shared" si="31"/>
        <v>897000</v>
      </c>
      <c r="V41" s="62"/>
      <c r="W41" s="62">
        <f t="shared" si="32"/>
        <v>897000</v>
      </c>
      <c r="X41" s="62"/>
      <c r="Y41" s="62">
        <f t="shared" si="33"/>
        <v>897000</v>
      </c>
      <c r="Z41" s="62"/>
      <c r="AA41" s="62">
        <f t="shared" si="34"/>
        <v>897000</v>
      </c>
      <c r="AB41" s="62"/>
      <c r="AC41" s="62">
        <f t="shared" si="35"/>
        <v>897000</v>
      </c>
    </row>
    <row r="42" spans="1:29" s="25" customFormat="1" ht="21" customHeight="1">
      <c r="A42" s="49"/>
      <c r="B42" s="206"/>
      <c r="C42" s="49">
        <v>4300</v>
      </c>
      <c r="D42" s="36" t="s">
        <v>75</v>
      </c>
      <c r="E42" s="62">
        <f>136600+160000</f>
        <v>296600</v>
      </c>
      <c r="F42" s="62"/>
      <c r="G42" s="62">
        <f t="shared" si="24"/>
        <v>296600</v>
      </c>
      <c r="H42" s="62"/>
      <c r="I42" s="62">
        <f t="shared" si="25"/>
        <v>296600</v>
      </c>
      <c r="J42" s="62"/>
      <c r="K42" s="62">
        <f t="shared" si="26"/>
        <v>296600</v>
      </c>
      <c r="L42" s="62"/>
      <c r="M42" s="62">
        <f t="shared" si="27"/>
        <v>296600</v>
      </c>
      <c r="N42" s="62"/>
      <c r="O42" s="62">
        <f t="shared" si="28"/>
        <v>296600</v>
      </c>
      <c r="P42" s="62"/>
      <c r="Q42" s="62">
        <f t="shared" si="29"/>
        <v>296600</v>
      </c>
      <c r="R42" s="62"/>
      <c r="S42" s="62">
        <f t="shared" si="30"/>
        <v>296600</v>
      </c>
      <c r="T42" s="62"/>
      <c r="U42" s="62">
        <f t="shared" si="31"/>
        <v>296600</v>
      </c>
      <c r="V42" s="62"/>
      <c r="W42" s="62">
        <f t="shared" si="32"/>
        <v>296600</v>
      </c>
      <c r="X42" s="62"/>
      <c r="Y42" s="62">
        <f t="shared" si="33"/>
        <v>296600</v>
      </c>
      <c r="Z42" s="62"/>
      <c r="AA42" s="62">
        <f t="shared" si="34"/>
        <v>296600</v>
      </c>
      <c r="AB42" s="62">
        <v>-5000</v>
      </c>
      <c r="AC42" s="62">
        <f t="shared" si="35"/>
        <v>291600</v>
      </c>
    </row>
    <row r="43" spans="1:29" s="25" customFormat="1" ht="24">
      <c r="A43" s="49"/>
      <c r="B43" s="206"/>
      <c r="C43" s="49">
        <v>4400</v>
      </c>
      <c r="D43" s="36" t="s">
        <v>217</v>
      </c>
      <c r="E43" s="62">
        <v>778500</v>
      </c>
      <c r="F43" s="62"/>
      <c r="G43" s="62">
        <f t="shared" si="24"/>
        <v>778500</v>
      </c>
      <c r="H43" s="62"/>
      <c r="I43" s="62">
        <f t="shared" si="25"/>
        <v>778500</v>
      </c>
      <c r="J43" s="62"/>
      <c r="K43" s="62">
        <f t="shared" si="26"/>
        <v>778500</v>
      </c>
      <c r="L43" s="62"/>
      <c r="M43" s="62">
        <f t="shared" si="27"/>
        <v>778500</v>
      </c>
      <c r="N43" s="62"/>
      <c r="O43" s="62">
        <f t="shared" si="28"/>
        <v>778500</v>
      </c>
      <c r="P43" s="62"/>
      <c r="Q43" s="62">
        <f t="shared" si="29"/>
        <v>778500</v>
      </c>
      <c r="R43" s="62"/>
      <c r="S43" s="62">
        <f t="shared" si="30"/>
        <v>778500</v>
      </c>
      <c r="T43" s="62"/>
      <c r="U43" s="62">
        <f t="shared" si="31"/>
        <v>778500</v>
      </c>
      <c r="V43" s="62"/>
      <c r="W43" s="62">
        <f t="shared" si="32"/>
        <v>778500</v>
      </c>
      <c r="X43" s="62"/>
      <c r="Y43" s="62">
        <f t="shared" si="33"/>
        <v>778500</v>
      </c>
      <c r="Z43" s="62"/>
      <c r="AA43" s="62">
        <f t="shared" si="34"/>
        <v>778500</v>
      </c>
      <c r="AB43" s="62"/>
      <c r="AC43" s="62">
        <f t="shared" si="35"/>
        <v>778500</v>
      </c>
    </row>
    <row r="44" spans="1:29" s="25" customFormat="1" ht="21" customHeight="1">
      <c r="A44" s="49"/>
      <c r="B44" s="206"/>
      <c r="C44" s="49">
        <v>4480</v>
      </c>
      <c r="D44" s="36" t="s">
        <v>30</v>
      </c>
      <c r="E44" s="62">
        <v>132</v>
      </c>
      <c r="F44" s="62"/>
      <c r="G44" s="62">
        <f t="shared" si="24"/>
        <v>132</v>
      </c>
      <c r="H44" s="62"/>
      <c r="I44" s="62">
        <f t="shared" si="25"/>
        <v>132</v>
      </c>
      <c r="J44" s="62"/>
      <c r="K44" s="62">
        <f t="shared" si="26"/>
        <v>132</v>
      </c>
      <c r="L44" s="62"/>
      <c r="M44" s="62">
        <f t="shared" si="27"/>
        <v>132</v>
      </c>
      <c r="N44" s="62"/>
      <c r="O44" s="62">
        <f t="shared" si="28"/>
        <v>132</v>
      </c>
      <c r="P44" s="62"/>
      <c r="Q44" s="62">
        <f t="shared" si="29"/>
        <v>132</v>
      </c>
      <c r="R44" s="62"/>
      <c r="S44" s="62">
        <f t="shared" si="30"/>
        <v>132</v>
      </c>
      <c r="T44" s="62"/>
      <c r="U44" s="62">
        <f t="shared" si="31"/>
        <v>132</v>
      </c>
      <c r="V44" s="62"/>
      <c r="W44" s="62">
        <f t="shared" si="32"/>
        <v>132</v>
      </c>
      <c r="X44" s="62"/>
      <c r="Y44" s="62">
        <f t="shared" si="33"/>
        <v>132</v>
      </c>
      <c r="Z44" s="62"/>
      <c r="AA44" s="62">
        <f t="shared" si="34"/>
        <v>132</v>
      </c>
      <c r="AB44" s="62"/>
      <c r="AC44" s="62">
        <f t="shared" si="35"/>
        <v>132</v>
      </c>
    </row>
    <row r="45" spans="1:29" s="25" customFormat="1" ht="21" customHeight="1">
      <c r="A45" s="49"/>
      <c r="B45" s="206"/>
      <c r="C45" s="66">
        <v>4510</v>
      </c>
      <c r="D45" s="36" t="s">
        <v>403</v>
      </c>
      <c r="E45" s="62">
        <v>700</v>
      </c>
      <c r="F45" s="62"/>
      <c r="G45" s="62">
        <f t="shared" si="24"/>
        <v>700</v>
      </c>
      <c r="H45" s="62"/>
      <c r="I45" s="62">
        <f t="shared" si="25"/>
        <v>700</v>
      </c>
      <c r="J45" s="62"/>
      <c r="K45" s="62">
        <f t="shared" si="26"/>
        <v>700</v>
      </c>
      <c r="L45" s="62"/>
      <c r="M45" s="62">
        <f t="shared" si="27"/>
        <v>700</v>
      </c>
      <c r="N45" s="62"/>
      <c r="O45" s="62">
        <f t="shared" si="28"/>
        <v>700</v>
      </c>
      <c r="P45" s="62"/>
      <c r="Q45" s="62">
        <f t="shared" si="29"/>
        <v>700</v>
      </c>
      <c r="R45" s="62"/>
      <c r="S45" s="62">
        <f t="shared" si="30"/>
        <v>700</v>
      </c>
      <c r="T45" s="62"/>
      <c r="U45" s="62">
        <f t="shared" si="31"/>
        <v>700</v>
      </c>
      <c r="V45" s="62"/>
      <c r="W45" s="62">
        <f t="shared" si="32"/>
        <v>700</v>
      </c>
      <c r="X45" s="62"/>
      <c r="Y45" s="62">
        <f t="shared" si="33"/>
        <v>700</v>
      </c>
      <c r="Z45" s="62"/>
      <c r="AA45" s="62">
        <f t="shared" si="34"/>
        <v>700</v>
      </c>
      <c r="AB45" s="62"/>
      <c r="AC45" s="62">
        <f t="shared" si="35"/>
        <v>700</v>
      </c>
    </row>
    <row r="46" spans="1:29" s="25" customFormat="1" ht="21" customHeight="1">
      <c r="A46" s="49"/>
      <c r="B46" s="206"/>
      <c r="C46" s="66">
        <v>4610</v>
      </c>
      <c r="D46" s="36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>
        <v>0</v>
      </c>
      <c r="AB46" s="62">
        <v>5000</v>
      </c>
      <c r="AC46" s="62">
        <f t="shared" si="35"/>
        <v>5000</v>
      </c>
    </row>
    <row r="47" spans="1:33" s="25" customFormat="1" ht="24">
      <c r="A47" s="49"/>
      <c r="B47" s="206"/>
      <c r="C47" s="49">
        <v>6050</v>
      </c>
      <c r="D47" s="36" t="s">
        <v>69</v>
      </c>
      <c r="E47" s="62">
        <f>65000+60000</f>
        <v>125000</v>
      </c>
      <c r="F47" s="62"/>
      <c r="G47" s="62">
        <f t="shared" si="24"/>
        <v>125000</v>
      </c>
      <c r="H47" s="62"/>
      <c r="I47" s="62">
        <f t="shared" si="25"/>
        <v>125000</v>
      </c>
      <c r="J47" s="62"/>
      <c r="K47" s="62">
        <f t="shared" si="26"/>
        <v>125000</v>
      </c>
      <c r="L47" s="62"/>
      <c r="M47" s="62">
        <f t="shared" si="27"/>
        <v>125000</v>
      </c>
      <c r="N47" s="62"/>
      <c r="O47" s="62">
        <f t="shared" si="28"/>
        <v>125000</v>
      </c>
      <c r="P47" s="62"/>
      <c r="Q47" s="62">
        <f t="shared" si="29"/>
        <v>125000</v>
      </c>
      <c r="R47" s="62"/>
      <c r="S47" s="62">
        <f t="shared" si="30"/>
        <v>125000</v>
      </c>
      <c r="T47" s="62"/>
      <c r="U47" s="62">
        <f t="shared" si="31"/>
        <v>125000</v>
      </c>
      <c r="V47" s="62"/>
      <c r="W47" s="62">
        <f t="shared" si="32"/>
        <v>125000</v>
      </c>
      <c r="X47" s="62"/>
      <c r="Y47" s="62">
        <f t="shared" si="33"/>
        <v>125000</v>
      </c>
      <c r="Z47" s="62"/>
      <c r="AA47" s="62">
        <f t="shared" si="34"/>
        <v>125000</v>
      </c>
      <c r="AB47" s="62"/>
      <c r="AC47" s="62">
        <f t="shared" si="35"/>
        <v>125000</v>
      </c>
      <c r="AF47" s="79"/>
      <c r="AG47" s="79"/>
    </row>
    <row r="48" spans="1:29" s="25" customFormat="1" ht="21" customHeight="1">
      <c r="A48" s="49"/>
      <c r="B48" s="206">
        <v>70021</v>
      </c>
      <c r="C48" s="49"/>
      <c r="D48" s="36" t="s">
        <v>150</v>
      </c>
      <c r="E48" s="62">
        <f>SUM(E49:E49)</f>
        <v>400000</v>
      </c>
      <c r="F48" s="62">
        <f>SUM(F49:F49)</f>
        <v>280000</v>
      </c>
      <c r="G48" s="62">
        <f>SUM(G49:G49)</f>
        <v>680000</v>
      </c>
      <c r="H48" s="62">
        <f>SUM(H49:H49)</f>
        <v>0</v>
      </c>
      <c r="I48" s="62">
        <f aca="true" t="shared" si="36" ref="I48:U48">SUM(I49:I50)</f>
        <v>680000</v>
      </c>
      <c r="J48" s="62">
        <f t="shared" si="36"/>
        <v>0</v>
      </c>
      <c r="K48" s="62">
        <f t="shared" si="36"/>
        <v>680000</v>
      </c>
      <c r="L48" s="62">
        <f t="shared" si="36"/>
        <v>0</v>
      </c>
      <c r="M48" s="62">
        <f t="shared" si="36"/>
        <v>680000</v>
      </c>
      <c r="N48" s="62">
        <f t="shared" si="36"/>
        <v>0</v>
      </c>
      <c r="O48" s="62">
        <f t="shared" si="36"/>
        <v>680000</v>
      </c>
      <c r="P48" s="62">
        <f t="shared" si="36"/>
        <v>0</v>
      </c>
      <c r="Q48" s="62">
        <f t="shared" si="36"/>
        <v>680000</v>
      </c>
      <c r="R48" s="62">
        <f t="shared" si="36"/>
        <v>0</v>
      </c>
      <c r="S48" s="62">
        <f t="shared" si="36"/>
        <v>680000</v>
      </c>
      <c r="T48" s="62">
        <f t="shared" si="36"/>
        <v>0</v>
      </c>
      <c r="U48" s="62">
        <f t="shared" si="36"/>
        <v>680000</v>
      </c>
      <c r="V48" s="62">
        <f aca="true" t="shared" si="37" ref="V48:AA48">SUM(V49:V50)</f>
        <v>0</v>
      </c>
      <c r="W48" s="62">
        <f t="shared" si="37"/>
        <v>680000</v>
      </c>
      <c r="X48" s="62">
        <f t="shared" si="37"/>
        <v>0</v>
      </c>
      <c r="Y48" s="62">
        <f t="shared" si="37"/>
        <v>680000</v>
      </c>
      <c r="Z48" s="62">
        <f t="shared" si="37"/>
        <v>0</v>
      </c>
      <c r="AA48" s="62">
        <f t="shared" si="37"/>
        <v>680000</v>
      </c>
      <c r="AB48" s="62">
        <f>SUM(AB49:AB50)</f>
        <v>0</v>
      </c>
      <c r="AC48" s="62">
        <f>SUM(AC49:AC50)</f>
        <v>680000</v>
      </c>
    </row>
    <row r="49" spans="1:29" s="25" customFormat="1" ht="21" customHeight="1">
      <c r="A49" s="49"/>
      <c r="B49" s="206"/>
      <c r="C49" s="49">
        <v>4150</v>
      </c>
      <c r="D49" s="36" t="s">
        <v>404</v>
      </c>
      <c r="E49" s="62">
        <v>400000</v>
      </c>
      <c r="F49" s="62">
        <f>280000</f>
        <v>280000</v>
      </c>
      <c r="G49" s="62">
        <f>SUM(E49:F49)</f>
        <v>680000</v>
      </c>
      <c r="H49" s="62"/>
      <c r="I49" s="62">
        <f>SUM(G49:H49)</f>
        <v>680000</v>
      </c>
      <c r="J49" s="62">
        <v>-280000</v>
      </c>
      <c r="K49" s="62">
        <f>SUM(I49:J49)</f>
        <v>400000</v>
      </c>
      <c r="L49" s="62"/>
      <c r="M49" s="62">
        <f>SUM(K49:L49)</f>
        <v>400000</v>
      </c>
      <c r="N49" s="62"/>
      <c r="O49" s="62">
        <f>SUM(M49:N49)</f>
        <v>400000</v>
      </c>
      <c r="P49" s="62"/>
      <c r="Q49" s="62">
        <f>SUM(O49:P49)</f>
        <v>400000</v>
      </c>
      <c r="R49" s="62"/>
      <c r="S49" s="62">
        <f>SUM(Q49:R49)</f>
        <v>400000</v>
      </c>
      <c r="T49" s="62"/>
      <c r="U49" s="62">
        <f>SUM(S49:T49)</f>
        <v>400000</v>
      </c>
      <c r="V49" s="62"/>
      <c r="W49" s="62">
        <f>SUM(U49:V49)</f>
        <v>400000</v>
      </c>
      <c r="X49" s="62"/>
      <c r="Y49" s="62">
        <f>SUM(W49:X49)</f>
        <v>400000</v>
      </c>
      <c r="Z49" s="62"/>
      <c r="AA49" s="62">
        <f>SUM(Y49:Z49)</f>
        <v>400000</v>
      </c>
      <c r="AB49" s="62"/>
      <c r="AC49" s="62">
        <f>SUM(AA49:AB49)</f>
        <v>400000</v>
      </c>
    </row>
    <row r="50" spans="1:33" s="25" customFormat="1" ht="58.5" customHeight="1">
      <c r="A50" s="49"/>
      <c r="B50" s="206"/>
      <c r="C50" s="49">
        <v>6010</v>
      </c>
      <c r="D50" s="36" t="s">
        <v>242</v>
      </c>
      <c r="E50" s="62"/>
      <c r="F50" s="62"/>
      <c r="G50" s="62"/>
      <c r="H50" s="62"/>
      <c r="I50" s="62">
        <v>0</v>
      </c>
      <c r="J50" s="62">
        <v>280000</v>
      </c>
      <c r="K50" s="62">
        <f>SUM(I50:J50)</f>
        <v>280000</v>
      </c>
      <c r="L50" s="62"/>
      <c r="M50" s="62">
        <f>SUM(K50:L50)</f>
        <v>280000</v>
      </c>
      <c r="N50" s="62"/>
      <c r="O50" s="62">
        <f>SUM(M50:N50)</f>
        <v>280000</v>
      </c>
      <c r="P50" s="62"/>
      <c r="Q50" s="62">
        <f>SUM(O50:P50)</f>
        <v>280000</v>
      </c>
      <c r="R50" s="62"/>
      <c r="S50" s="62">
        <f>SUM(Q50:R50)</f>
        <v>280000</v>
      </c>
      <c r="T50" s="62"/>
      <c r="U50" s="62">
        <f>SUM(S50:T50)</f>
        <v>280000</v>
      </c>
      <c r="V50" s="62"/>
      <c r="W50" s="62">
        <f>SUM(U50:V50)</f>
        <v>280000</v>
      </c>
      <c r="X50" s="62"/>
      <c r="Y50" s="62">
        <f>SUM(W50:X50)</f>
        <v>280000</v>
      </c>
      <c r="Z50" s="62"/>
      <c r="AA50" s="62">
        <f>SUM(Y50:Z50)</f>
        <v>280000</v>
      </c>
      <c r="AB50" s="62"/>
      <c r="AC50" s="62">
        <f>SUM(AA50:AB50)</f>
        <v>280000</v>
      </c>
      <c r="AF50" s="79"/>
      <c r="AG50" s="79"/>
    </row>
    <row r="51" spans="1:29" s="25" customFormat="1" ht="21" customHeight="1">
      <c r="A51" s="49"/>
      <c r="B51" s="63">
        <v>70095</v>
      </c>
      <c r="C51" s="66"/>
      <c r="D51" s="36" t="s">
        <v>6</v>
      </c>
      <c r="E51" s="62">
        <f aca="true" t="shared" si="38" ref="E51:W51">SUM(E52:E54)</f>
        <v>800580</v>
      </c>
      <c r="F51" s="62">
        <f t="shared" si="38"/>
        <v>-200000</v>
      </c>
      <c r="G51" s="62">
        <f t="shared" si="38"/>
        <v>600580</v>
      </c>
      <c r="H51" s="62">
        <f t="shared" si="38"/>
        <v>0</v>
      </c>
      <c r="I51" s="62">
        <f t="shared" si="38"/>
        <v>600580</v>
      </c>
      <c r="J51" s="62">
        <f t="shared" si="38"/>
        <v>0</v>
      </c>
      <c r="K51" s="62">
        <f t="shared" si="38"/>
        <v>600580</v>
      </c>
      <c r="L51" s="62">
        <f t="shared" si="38"/>
        <v>0</v>
      </c>
      <c r="M51" s="62">
        <f t="shared" si="38"/>
        <v>600580</v>
      </c>
      <c r="N51" s="62">
        <f t="shared" si="38"/>
        <v>0</v>
      </c>
      <c r="O51" s="62">
        <f t="shared" si="38"/>
        <v>600580</v>
      </c>
      <c r="P51" s="62">
        <f t="shared" si="38"/>
        <v>0</v>
      </c>
      <c r="Q51" s="62">
        <f t="shared" si="38"/>
        <v>600580</v>
      </c>
      <c r="R51" s="62">
        <f t="shared" si="38"/>
        <v>0</v>
      </c>
      <c r="S51" s="62">
        <f t="shared" si="38"/>
        <v>600580</v>
      </c>
      <c r="T51" s="62">
        <f t="shared" si="38"/>
        <v>0</v>
      </c>
      <c r="U51" s="62">
        <f t="shared" si="38"/>
        <v>600580</v>
      </c>
      <c r="V51" s="62">
        <f t="shared" si="38"/>
        <v>0</v>
      </c>
      <c r="W51" s="62">
        <f t="shared" si="38"/>
        <v>600580</v>
      </c>
      <c r="X51" s="62">
        <f aca="true" t="shared" si="39" ref="X51:AC51">SUM(X52:X54)</f>
        <v>0</v>
      </c>
      <c r="Y51" s="62">
        <f t="shared" si="39"/>
        <v>600580</v>
      </c>
      <c r="Z51" s="62">
        <f t="shared" si="39"/>
        <v>0</v>
      </c>
      <c r="AA51" s="62">
        <f t="shared" si="39"/>
        <v>600580</v>
      </c>
      <c r="AB51" s="62">
        <f t="shared" si="39"/>
        <v>0</v>
      </c>
      <c r="AC51" s="62">
        <f t="shared" si="39"/>
        <v>600580</v>
      </c>
    </row>
    <row r="52" spans="1:29" s="25" customFormat="1" ht="21" customHeight="1">
      <c r="A52" s="49"/>
      <c r="B52" s="63"/>
      <c r="C52" s="66">
        <v>4260</v>
      </c>
      <c r="D52" s="36" t="s">
        <v>88</v>
      </c>
      <c r="E52" s="62">
        <v>500</v>
      </c>
      <c r="F52" s="62"/>
      <c r="G52" s="62">
        <f>SUM(E52:F52)</f>
        <v>500</v>
      </c>
      <c r="H52" s="62"/>
      <c r="I52" s="62">
        <f>SUM(G52:H52)</f>
        <v>500</v>
      </c>
      <c r="J52" s="62"/>
      <c r="K52" s="62">
        <f>SUM(I52:J52)</f>
        <v>500</v>
      </c>
      <c r="L52" s="62"/>
      <c r="M52" s="62">
        <f>SUM(K52:L52)</f>
        <v>500</v>
      </c>
      <c r="N52" s="62"/>
      <c r="O52" s="62">
        <f>SUM(M52:N52)</f>
        <v>500</v>
      </c>
      <c r="P52" s="62"/>
      <c r="Q52" s="62">
        <f>SUM(O52:P52)</f>
        <v>500</v>
      </c>
      <c r="R52" s="62"/>
      <c r="S52" s="62">
        <f>SUM(Q52:R52)</f>
        <v>500</v>
      </c>
      <c r="T52" s="62"/>
      <c r="U52" s="62">
        <f>SUM(S52:T52)</f>
        <v>500</v>
      </c>
      <c r="V52" s="62"/>
      <c r="W52" s="62">
        <f>SUM(U52:V52)</f>
        <v>500</v>
      </c>
      <c r="X52" s="62"/>
      <c r="Y52" s="62">
        <f>SUM(W52:X52)</f>
        <v>500</v>
      </c>
      <c r="Z52" s="62"/>
      <c r="AA52" s="62">
        <f>SUM(Y52:Z52)</f>
        <v>500</v>
      </c>
      <c r="AB52" s="62"/>
      <c r="AC52" s="62">
        <f>SUM(AA52:AB52)</f>
        <v>500</v>
      </c>
    </row>
    <row r="53" spans="1:29" s="25" customFormat="1" ht="21" customHeight="1">
      <c r="A53" s="49"/>
      <c r="B53" s="63"/>
      <c r="C53" s="66">
        <v>4300</v>
      </c>
      <c r="D53" s="36" t="s">
        <v>75</v>
      </c>
      <c r="E53" s="62">
        <v>80</v>
      </c>
      <c r="F53" s="62"/>
      <c r="G53" s="62">
        <f>SUM(E53:F53)</f>
        <v>80</v>
      </c>
      <c r="H53" s="62"/>
      <c r="I53" s="62">
        <f>SUM(G53:H53)</f>
        <v>80</v>
      </c>
      <c r="J53" s="62"/>
      <c r="K53" s="62">
        <f>SUM(I53:J53)</f>
        <v>80</v>
      </c>
      <c r="L53" s="62"/>
      <c r="M53" s="62">
        <f>SUM(K53:L53)</f>
        <v>80</v>
      </c>
      <c r="N53" s="62"/>
      <c r="O53" s="62">
        <f>SUM(M53:N53)</f>
        <v>80</v>
      </c>
      <c r="P53" s="62"/>
      <c r="Q53" s="62">
        <f>SUM(O53:P53)</f>
        <v>80</v>
      </c>
      <c r="R53" s="62"/>
      <c r="S53" s="62">
        <f>SUM(Q53:R53)</f>
        <v>80</v>
      </c>
      <c r="T53" s="62"/>
      <c r="U53" s="62">
        <f>SUM(S53:T53)</f>
        <v>80</v>
      </c>
      <c r="V53" s="62"/>
      <c r="W53" s="62">
        <f>SUM(U53:V53)</f>
        <v>80</v>
      </c>
      <c r="X53" s="62"/>
      <c r="Y53" s="62">
        <f>SUM(W53:X53)</f>
        <v>80</v>
      </c>
      <c r="Z53" s="62"/>
      <c r="AA53" s="62">
        <f>SUM(Y53:Z53)</f>
        <v>80</v>
      </c>
      <c r="AB53" s="62"/>
      <c r="AC53" s="62">
        <f>SUM(AA53:AB53)</f>
        <v>80</v>
      </c>
    </row>
    <row r="54" spans="1:33" s="25" customFormat="1" ht="21" customHeight="1">
      <c r="A54" s="49"/>
      <c r="B54" s="63"/>
      <c r="C54" s="49">
        <v>6050</v>
      </c>
      <c r="D54" s="36" t="s">
        <v>69</v>
      </c>
      <c r="E54" s="62">
        <v>800000</v>
      </c>
      <c r="F54" s="62">
        <f>-400000+200000</f>
        <v>-200000</v>
      </c>
      <c r="G54" s="62">
        <f>SUM(E54:F54)</f>
        <v>600000</v>
      </c>
      <c r="H54" s="62"/>
      <c r="I54" s="62">
        <f>SUM(G54:H54)</f>
        <v>600000</v>
      </c>
      <c r="J54" s="62">
        <v>0</v>
      </c>
      <c r="K54" s="62">
        <f>SUM(I54:J54)</f>
        <v>600000</v>
      </c>
      <c r="L54" s="62">
        <v>0</v>
      </c>
      <c r="M54" s="62">
        <f>SUM(K54:L54)</f>
        <v>600000</v>
      </c>
      <c r="N54" s="62">
        <v>0</v>
      </c>
      <c r="O54" s="62">
        <f>SUM(M54:N54)</f>
        <v>600000</v>
      </c>
      <c r="P54" s="62">
        <v>0</v>
      </c>
      <c r="Q54" s="62">
        <f>SUM(O54:P54)</f>
        <v>600000</v>
      </c>
      <c r="R54" s="62">
        <v>0</v>
      </c>
      <c r="S54" s="62">
        <f>SUM(Q54:R54)</f>
        <v>600000</v>
      </c>
      <c r="T54" s="62">
        <v>0</v>
      </c>
      <c r="U54" s="62">
        <f>SUM(S54:T54)</f>
        <v>600000</v>
      </c>
      <c r="V54" s="62">
        <v>0</v>
      </c>
      <c r="W54" s="62">
        <f>SUM(U54:V54)</f>
        <v>600000</v>
      </c>
      <c r="X54" s="62">
        <v>0</v>
      </c>
      <c r="Y54" s="62">
        <f>SUM(W54:X54)</f>
        <v>600000</v>
      </c>
      <c r="Z54" s="62"/>
      <c r="AA54" s="62">
        <f>SUM(Y54:Z54)</f>
        <v>600000</v>
      </c>
      <c r="AB54" s="62"/>
      <c r="AC54" s="62">
        <f>SUM(AA54:AB54)</f>
        <v>600000</v>
      </c>
      <c r="AF54" s="79"/>
      <c r="AG54" s="79"/>
    </row>
    <row r="55" spans="1:29" s="6" customFormat="1" ht="21" customHeight="1">
      <c r="A55" s="32" t="s">
        <v>405</v>
      </c>
      <c r="B55" s="33"/>
      <c r="C55" s="34"/>
      <c r="D55" s="35" t="s">
        <v>76</v>
      </c>
      <c r="E55" s="200">
        <f aca="true" t="shared" si="40" ref="E55:W55">SUM(E56,E59)</f>
        <v>370500</v>
      </c>
      <c r="F55" s="200">
        <f t="shared" si="40"/>
        <v>0</v>
      </c>
      <c r="G55" s="200">
        <f t="shared" si="40"/>
        <v>370500</v>
      </c>
      <c r="H55" s="200">
        <f t="shared" si="40"/>
        <v>0</v>
      </c>
      <c r="I55" s="200">
        <f t="shared" si="40"/>
        <v>370500</v>
      </c>
      <c r="J55" s="200">
        <f t="shared" si="40"/>
        <v>0</v>
      </c>
      <c r="K55" s="200">
        <f t="shared" si="40"/>
        <v>370500</v>
      </c>
      <c r="L55" s="200">
        <f t="shared" si="40"/>
        <v>0</v>
      </c>
      <c r="M55" s="200">
        <f t="shared" si="40"/>
        <v>370500</v>
      </c>
      <c r="N55" s="200">
        <f t="shared" si="40"/>
        <v>0</v>
      </c>
      <c r="O55" s="200">
        <f t="shared" si="40"/>
        <v>370500</v>
      </c>
      <c r="P55" s="200">
        <f t="shared" si="40"/>
        <v>0</v>
      </c>
      <c r="Q55" s="200">
        <f t="shared" si="40"/>
        <v>370500</v>
      </c>
      <c r="R55" s="200">
        <f t="shared" si="40"/>
        <v>0</v>
      </c>
      <c r="S55" s="200">
        <f t="shared" si="40"/>
        <v>370500</v>
      </c>
      <c r="T55" s="200">
        <f t="shared" si="40"/>
        <v>0</v>
      </c>
      <c r="U55" s="200">
        <f t="shared" si="40"/>
        <v>370500</v>
      </c>
      <c r="V55" s="200">
        <f t="shared" si="40"/>
        <v>0</v>
      </c>
      <c r="W55" s="200">
        <f t="shared" si="40"/>
        <v>370500</v>
      </c>
      <c r="X55" s="200">
        <f aca="true" t="shared" si="41" ref="X55:AC55">SUM(X56,X59)</f>
        <v>0</v>
      </c>
      <c r="Y55" s="200">
        <f t="shared" si="41"/>
        <v>370500</v>
      </c>
      <c r="Z55" s="200">
        <f t="shared" si="41"/>
        <v>-167</v>
      </c>
      <c r="AA55" s="200">
        <f t="shared" si="41"/>
        <v>370333</v>
      </c>
      <c r="AB55" s="200">
        <f t="shared" si="41"/>
        <v>0</v>
      </c>
      <c r="AC55" s="200">
        <f t="shared" si="41"/>
        <v>370333</v>
      </c>
    </row>
    <row r="56" spans="1:29" s="25" customFormat="1" ht="21" customHeight="1">
      <c r="A56" s="49"/>
      <c r="B56" s="63" t="s">
        <v>406</v>
      </c>
      <c r="C56" s="66"/>
      <c r="D56" s="36" t="s">
        <v>77</v>
      </c>
      <c r="E56" s="62">
        <f>SUM(E58:E58)</f>
        <v>250000</v>
      </c>
      <c r="F56" s="62">
        <f>SUM(F58:F58)</f>
        <v>0</v>
      </c>
      <c r="G56" s="62">
        <f>SUM(G58:G58)</f>
        <v>250000</v>
      </c>
      <c r="H56" s="62">
        <f>SUM(H58:H58)</f>
        <v>0</v>
      </c>
      <c r="I56" s="62">
        <f aca="true" t="shared" si="42" ref="I56:U56">SUM(I57:I58)</f>
        <v>250000</v>
      </c>
      <c r="J56" s="62">
        <f t="shared" si="42"/>
        <v>0</v>
      </c>
      <c r="K56" s="62">
        <f t="shared" si="42"/>
        <v>250000</v>
      </c>
      <c r="L56" s="62">
        <f t="shared" si="42"/>
        <v>0</v>
      </c>
      <c r="M56" s="62">
        <f t="shared" si="42"/>
        <v>250000</v>
      </c>
      <c r="N56" s="62">
        <f t="shared" si="42"/>
        <v>0</v>
      </c>
      <c r="O56" s="62">
        <f t="shared" si="42"/>
        <v>250000</v>
      </c>
      <c r="P56" s="62">
        <f t="shared" si="42"/>
        <v>0</v>
      </c>
      <c r="Q56" s="62">
        <f t="shared" si="42"/>
        <v>250000</v>
      </c>
      <c r="R56" s="62">
        <f t="shared" si="42"/>
        <v>0</v>
      </c>
      <c r="S56" s="62">
        <f t="shared" si="42"/>
        <v>250000</v>
      </c>
      <c r="T56" s="62">
        <f t="shared" si="42"/>
        <v>0</v>
      </c>
      <c r="U56" s="62">
        <f t="shared" si="42"/>
        <v>250000</v>
      </c>
      <c r="V56" s="62">
        <f aca="true" t="shared" si="43" ref="V56:AA56">SUM(V57:V58)</f>
        <v>0</v>
      </c>
      <c r="W56" s="62">
        <f t="shared" si="43"/>
        <v>250000</v>
      </c>
      <c r="X56" s="62">
        <f t="shared" si="43"/>
        <v>0</v>
      </c>
      <c r="Y56" s="62">
        <f t="shared" si="43"/>
        <v>250000</v>
      </c>
      <c r="Z56" s="62">
        <f t="shared" si="43"/>
        <v>0</v>
      </c>
      <c r="AA56" s="62">
        <f t="shared" si="43"/>
        <v>250000</v>
      </c>
      <c r="AB56" s="62">
        <f>SUM(AB57:AB58)</f>
        <v>0</v>
      </c>
      <c r="AC56" s="62">
        <f>SUM(AC57:AC58)</f>
        <v>250000</v>
      </c>
    </row>
    <row r="57" spans="1:31" s="25" customFormat="1" ht="21" customHeight="1">
      <c r="A57" s="49"/>
      <c r="B57" s="63"/>
      <c r="C57" s="66">
        <v>4170</v>
      </c>
      <c r="D57" s="36" t="s">
        <v>161</v>
      </c>
      <c r="E57" s="62"/>
      <c r="F57" s="62"/>
      <c r="G57" s="62"/>
      <c r="H57" s="62"/>
      <c r="I57" s="62">
        <v>0</v>
      </c>
      <c r="J57" s="62">
        <v>50000</v>
      </c>
      <c r="K57" s="62">
        <f>SUM(I57:J57)</f>
        <v>50000</v>
      </c>
      <c r="L57" s="62"/>
      <c r="M57" s="62">
        <f>SUM(K57:L57)</f>
        <v>50000</v>
      </c>
      <c r="N57" s="62"/>
      <c r="O57" s="62">
        <f>SUM(M57:N57)</f>
        <v>50000</v>
      </c>
      <c r="P57" s="62"/>
      <c r="Q57" s="62">
        <f>SUM(O57:P57)</f>
        <v>50000</v>
      </c>
      <c r="R57" s="62"/>
      <c r="S57" s="62">
        <f>SUM(Q57:R57)</f>
        <v>50000</v>
      </c>
      <c r="T57" s="62"/>
      <c r="U57" s="62">
        <f>SUM(S57:T57)</f>
        <v>50000</v>
      </c>
      <c r="V57" s="62"/>
      <c r="W57" s="62">
        <f>SUM(U57:V57)</f>
        <v>50000</v>
      </c>
      <c r="X57" s="62"/>
      <c r="Y57" s="62">
        <f>SUM(W57:X57)</f>
        <v>50000</v>
      </c>
      <c r="Z57" s="62"/>
      <c r="AA57" s="62">
        <f>SUM(Y57:Z57)</f>
        <v>50000</v>
      </c>
      <c r="AB57" s="62"/>
      <c r="AC57" s="62">
        <f>SUM(AA57:AB57)</f>
        <v>50000</v>
      </c>
      <c r="AD57" s="79"/>
      <c r="AE57" s="79"/>
    </row>
    <row r="58" spans="1:29" s="25" customFormat="1" ht="21" customHeight="1">
      <c r="A58" s="49"/>
      <c r="B58" s="63"/>
      <c r="C58" s="49">
        <v>4300</v>
      </c>
      <c r="D58" s="36" t="s">
        <v>75</v>
      </c>
      <c r="E58" s="62">
        <v>250000</v>
      </c>
      <c r="F58" s="62"/>
      <c r="G58" s="62">
        <f>SUM(E58:F58)</f>
        <v>250000</v>
      </c>
      <c r="H58" s="62"/>
      <c r="I58" s="62">
        <f>SUM(G58:H58)</f>
        <v>250000</v>
      </c>
      <c r="J58" s="62">
        <v>-50000</v>
      </c>
      <c r="K58" s="62">
        <f>SUM(I58:J58)</f>
        <v>200000</v>
      </c>
      <c r="L58" s="62"/>
      <c r="M58" s="62">
        <f>SUM(K58:L58)</f>
        <v>200000</v>
      </c>
      <c r="N58" s="62"/>
      <c r="O58" s="62">
        <f>SUM(M58:N58)</f>
        <v>200000</v>
      </c>
      <c r="P58" s="62"/>
      <c r="Q58" s="62">
        <f>SUM(O58:P58)</f>
        <v>200000</v>
      </c>
      <c r="R58" s="62"/>
      <c r="S58" s="62">
        <f>SUM(Q58:R58)</f>
        <v>200000</v>
      </c>
      <c r="T58" s="62"/>
      <c r="U58" s="62">
        <f>SUM(S58:T58)</f>
        <v>200000</v>
      </c>
      <c r="V58" s="62"/>
      <c r="W58" s="62">
        <f>SUM(U58:V58)</f>
        <v>200000</v>
      </c>
      <c r="X58" s="62"/>
      <c r="Y58" s="62">
        <f>SUM(W58:X58)</f>
        <v>200000</v>
      </c>
      <c r="Z58" s="62"/>
      <c r="AA58" s="62">
        <f>SUM(Y58:Z58)</f>
        <v>200000</v>
      </c>
      <c r="AB58" s="62"/>
      <c r="AC58" s="62">
        <f>SUM(AA58:AB58)</f>
        <v>200000</v>
      </c>
    </row>
    <row r="59" spans="1:29" s="25" customFormat="1" ht="21" customHeight="1">
      <c r="A59" s="49"/>
      <c r="B59" s="63">
        <v>71035</v>
      </c>
      <c r="C59" s="49"/>
      <c r="D59" s="36" t="s">
        <v>13</v>
      </c>
      <c r="E59" s="62">
        <f aca="true" t="shared" si="44" ref="E59:W59">SUM(E60:E62)</f>
        <v>120500</v>
      </c>
      <c r="F59" s="62">
        <f t="shared" si="44"/>
        <v>0</v>
      </c>
      <c r="G59" s="62">
        <f t="shared" si="44"/>
        <v>120500</v>
      </c>
      <c r="H59" s="62">
        <f t="shared" si="44"/>
        <v>0</v>
      </c>
      <c r="I59" s="62">
        <f t="shared" si="44"/>
        <v>120500</v>
      </c>
      <c r="J59" s="62">
        <f t="shared" si="44"/>
        <v>0</v>
      </c>
      <c r="K59" s="62">
        <f t="shared" si="44"/>
        <v>120500</v>
      </c>
      <c r="L59" s="62">
        <f t="shared" si="44"/>
        <v>0</v>
      </c>
      <c r="M59" s="62">
        <f t="shared" si="44"/>
        <v>120500</v>
      </c>
      <c r="N59" s="62">
        <f t="shared" si="44"/>
        <v>0</v>
      </c>
      <c r="O59" s="62">
        <f t="shared" si="44"/>
        <v>120500</v>
      </c>
      <c r="P59" s="62">
        <f t="shared" si="44"/>
        <v>0</v>
      </c>
      <c r="Q59" s="62">
        <f t="shared" si="44"/>
        <v>120500</v>
      </c>
      <c r="R59" s="62">
        <f t="shared" si="44"/>
        <v>0</v>
      </c>
      <c r="S59" s="62">
        <f t="shared" si="44"/>
        <v>120500</v>
      </c>
      <c r="T59" s="62">
        <f t="shared" si="44"/>
        <v>0</v>
      </c>
      <c r="U59" s="62">
        <f t="shared" si="44"/>
        <v>120500</v>
      </c>
      <c r="V59" s="62">
        <f t="shared" si="44"/>
        <v>0</v>
      </c>
      <c r="W59" s="62">
        <f t="shared" si="44"/>
        <v>120500</v>
      </c>
      <c r="X59" s="62">
        <f aca="true" t="shared" si="45" ref="X59:AC59">SUM(X60:X62)</f>
        <v>0</v>
      </c>
      <c r="Y59" s="62">
        <f t="shared" si="45"/>
        <v>120500</v>
      </c>
      <c r="Z59" s="62">
        <f t="shared" si="45"/>
        <v>-167</v>
      </c>
      <c r="AA59" s="62">
        <f t="shared" si="45"/>
        <v>120333</v>
      </c>
      <c r="AB59" s="62">
        <f t="shared" si="45"/>
        <v>0</v>
      </c>
      <c r="AC59" s="62">
        <f t="shared" si="45"/>
        <v>120333</v>
      </c>
    </row>
    <row r="60" spans="1:29" s="25" customFormat="1" ht="21" customHeight="1">
      <c r="A60" s="49"/>
      <c r="B60" s="63"/>
      <c r="C60" s="49">
        <v>4260</v>
      </c>
      <c r="D60" s="36" t="s">
        <v>88</v>
      </c>
      <c r="E60" s="62">
        <f>500+2000</f>
        <v>2500</v>
      </c>
      <c r="F60" s="62"/>
      <c r="G60" s="62">
        <f>SUM(E60:F60)</f>
        <v>2500</v>
      </c>
      <c r="H60" s="62"/>
      <c r="I60" s="62">
        <f>SUM(G60:H60)</f>
        <v>2500</v>
      </c>
      <c r="J60" s="62"/>
      <c r="K60" s="62">
        <f>SUM(I60:J60)</f>
        <v>2500</v>
      </c>
      <c r="L60" s="62"/>
      <c r="M60" s="62">
        <f>SUM(K60:L60)</f>
        <v>2500</v>
      </c>
      <c r="N60" s="62"/>
      <c r="O60" s="62">
        <f>SUM(M60:N60)</f>
        <v>2500</v>
      </c>
      <c r="P60" s="62"/>
      <c r="Q60" s="62">
        <f>SUM(O60:P60)</f>
        <v>2500</v>
      </c>
      <c r="R60" s="62"/>
      <c r="S60" s="62">
        <f>SUM(Q60:R60)</f>
        <v>2500</v>
      </c>
      <c r="T60" s="62"/>
      <c r="U60" s="62">
        <f>SUM(S60:T60)</f>
        <v>2500</v>
      </c>
      <c r="V60" s="62"/>
      <c r="W60" s="62">
        <f>SUM(U60:V60)</f>
        <v>2500</v>
      </c>
      <c r="X60" s="62"/>
      <c r="Y60" s="62">
        <f>SUM(W60:X60)</f>
        <v>2500</v>
      </c>
      <c r="Z60" s="62">
        <v>-167</v>
      </c>
      <c r="AA60" s="62">
        <f>SUM(Y60:Z60)</f>
        <v>2333</v>
      </c>
      <c r="AB60" s="62"/>
      <c r="AC60" s="62">
        <f>SUM(AA60:AB60)</f>
        <v>2333</v>
      </c>
    </row>
    <row r="61" spans="1:29" s="25" customFormat="1" ht="21" customHeight="1">
      <c r="A61" s="49"/>
      <c r="B61" s="63"/>
      <c r="C61" s="49">
        <v>4270</v>
      </c>
      <c r="D61" s="36" t="s">
        <v>74</v>
      </c>
      <c r="E61" s="62">
        <v>100000</v>
      </c>
      <c r="F61" s="62"/>
      <c r="G61" s="62">
        <f>SUM(E61:F61)</f>
        <v>100000</v>
      </c>
      <c r="H61" s="62"/>
      <c r="I61" s="62">
        <f>SUM(G61:H61)</f>
        <v>100000</v>
      </c>
      <c r="J61" s="62"/>
      <c r="K61" s="62">
        <f>SUM(I61:J61)</f>
        <v>100000</v>
      </c>
      <c r="L61" s="62"/>
      <c r="M61" s="62">
        <f>SUM(K61:L61)</f>
        <v>100000</v>
      </c>
      <c r="N61" s="62"/>
      <c r="O61" s="62">
        <f>SUM(M61:N61)</f>
        <v>100000</v>
      </c>
      <c r="P61" s="62"/>
      <c r="Q61" s="62">
        <f>SUM(O61:P61)</f>
        <v>100000</v>
      </c>
      <c r="R61" s="62"/>
      <c r="S61" s="62">
        <f>SUM(Q61:R61)</f>
        <v>100000</v>
      </c>
      <c r="T61" s="62"/>
      <c r="U61" s="62">
        <f>SUM(S61:T61)</f>
        <v>100000</v>
      </c>
      <c r="V61" s="62"/>
      <c r="W61" s="62">
        <f>SUM(U61:V61)</f>
        <v>100000</v>
      </c>
      <c r="X61" s="62"/>
      <c r="Y61" s="62">
        <f>SUM(W61:X61)</f>
        <v>100000</v>
      </c>
      <c r="Z61" s="62"/>
      <c r="AA61" s="62">
        <f>SUM(Y61:Z61)</f>
        <v>100000</v>
      </c>
      <c r="AB61" s="62"/>
      <c r="AC61" s="62">
        <f>SUM(AA61:AB61)</f>
        <v>100000</v>
      </c>
    </row>
    <row r="62" spans="1:29" s="25" customFormat="1" ht="21" customHeight="1">
      <c r="A62" s="49"/>
      <c r="B62" s="63"/>
      <c r="C62" s="49">
        <v>4300</v>
      </c>
      <c r="D62" s="36" t="s">
        <v>75</v>
      </c>
      <c r="E62" s="62">
        <v>18000</v>
      </c>
      <c r="F62" s="62"/>
      <c r="G62" s="62">
        <f>SUM(E62:F62)</f>
        <v>18000</v>
      </c>
      <c r="H62" s="62"/>
      <c r="I62" s="62">
        <f>SUM(G62:H62)</f>
        <v>18000</v>
      </c>
      <c r="J62" s="62"/>
      <c r="K62" s="62">
        <f>SUM(I62:J62)</f>
        <v>18000</v>
      </c>
      <c r="L62" s="62"/>
      <c r="M62" s="62">
        <f>SUM(K62:L62)</f>
        <v>18000</v>
      </c>
      <c r="N62" s="62"/>
      <c r="O62" s="62">
        <f>SUM(M62:N62)</f>
        <v>18000</v>
      </c>
      <c r="P62" s="62"/>
      <c r="Q62" s="62">
        <f>SUM(O62:P62)</f>
        <v>18000</v>
      </c>
      <c r="R62" s="62"/>
      <c r="S62" s="62">
        <f>SUM(Q62:R62)</f>
        <v>18000</v>
      </c>
      <c r="T62" s="62"/>
      <c r="U62" s="62">
        <f>SUM(S62:T62)</f>
        <v>18000</v>
      </c>
      <c r="V62" s="62"/>
      <c r="W62" s="62">
        <f>SUM(U62:V62)</f>
        <v>18000</v>
      </c>
      <c r="X62" s="62"/>
      <c r="Y62" s="62">
        <f>SUM(W62:X62)</f>
        <v>18000</v>
      </c>
      <c r="Z62" s="62"/>
      <c r="AA62" s="62">
        <f>SUM(Y62:Z62)</f>
        <v>18000</v>
      </c>
      <c r="AB62" s="62"/>
      <c r="AC62" s="62">
        <f>SUM(AA62:AB62)</f>
        <v>18000</v>
      </c>
    </row>
    <row r="63" spans="1:29" s="6" customFormat="1" ht="21" customHeight="1">
      <c r="A63" s="32" t="s">
        <v>14</v>
      </c>
      <c r="B63" s="33"/>
      <c r="C63" s="34"/>
      <c r="D63" s="35" t="s">
        <v>78</v>
      </c>
      <c r="E63" s="200">
        <f aca="true" t="shared" si="46" ref="E63:W63">SUM(E64,E82,E93,E118,E131,)</f>
        <v>6340577</v>
      </c>
      <c r="F63" s="200">
        <f t="shared" si="46"/>
        <v>-681500</v>
      </c>
      <c r="G63" s="200">
        <f t="shared" si="46"/>
        <v>5659077</v>
      </c>
      <c r="H63" s="200">
        <f t="shared" si="46"/>
        <v>0</v>
      </c>
      <c r="I63" s="200">
        <f t="shared" si="46"/>
        <v>5659077</v>
      </c>
      <c r="J63" s="200">
        <f t="shared" si="46"/>
        <v>0</v>
      </c>
      <c r="K63" s="200">
        <f t="shared" si="46"/>
        <v>5659077</v>
      </c>
      <c r="L63" s="200">
        <f t="shared" si="46"/>
        <v>14000</v>
      </c>
      <c r="M63" s="200">
        <f t="shared" si="46"/>
        <v>5673077</v>
      </c>
      <c r="N63" s="200">
        <f t="shared" si="46"/>
        <v>0</v>
      </c>
      <c r="O63" s="200">
        <f t="shared" si="46"/>
        <v>5673077</v>
      </c>
      <c r="P63" s="200">
        <f t="shared" si="46"/>
        <v>0</v>
      </c>
      <c r="Q63" s="200">
        <f t="shared" si="46"/>
        <v>5673077</v>
      </c>
      <c r="R63" s="200">
        <f t="shared" si="46"/>
        <v>-300</v>
      </c>
      <c r="S63" s="200">
        <f t="shared" si="46"/>
        <v>5672777</v>
      </c>
      <c r="T63" s="200">
        <f t="shared" si="46"/>
        <v>0</v>
      </c>
      <c r="U63" s="200">
        <f t="shared" si="46"/>
        <v>5672777</v>
      </c>
      <c r="V63" s="200">
        <f t="shared" si="46"/>
        <v>0</v>
      </c>
      <c r="W63" s="200">
        <f t="shared" si="46"/>
        <v>5672777</v>
      </c>
      <c r="X63" s="200">
        <f aca="true" t="shared" si="47" ref="X63:AC63">SUM(X64,X82,X93,X118,X131,)</f>
        <v>0</v>
      </c>
      <c r="Y63" s="200">
        <f t="shared" si="47"/>
        <v>5672777</v>
      </c>
      <c r="Z63" s="200">
        <f t="shared" si="47"/>
        <v>-40600</v>
      </c>
      <c r="AA63" s="200">
        <f t="shared" si="47"/>
        <v>5632177</v>
      </c>
      <c r="AB63" s="200">
        <f t="shared" si="47"/>
        <v>0</v>
      </c>
      <c r="AC63" s="200">
        <f t="shared" si="47"/>
        <v>5632177</v>
      </c>
    </row>
    <row r="64" spans="1:29" s="25" customFormat="1" ht="21" customHeight="1">
      <c r="A64" s="49"/>
      <c r="B64" s="63">
        <v>75011</v>
      </c>
      <c r="C64" s="66"/>
      <c r="D64" s="36" t="s">
        <v>16</v>
      </c>
      <c r="E64" s="62">
        <f aca="true" t="shared" si="48" ref="E64:W64">SUM(E65:E81)</f>
        <v>382320</v>
      </c>
      <c r="F64" s="62">
        <f t="shared" si="48"/>
        <v>0</v>
      </c>
      <c r="G64" s="62">
        <f t="shared" si="48"/>
        <v>382320</v>
      </c>
      <c r="H64" s="62">
        <f t="shared" si="48"/>
        <v>0</v>
      </c>
      <c r="I64" s="62">
        <f t="shared" si="48"/>
        <v>382320</v>
      </c>
      <c r="J64" s="62">
        <f t="shared" si="48"/>
        <v>0</v>
      </c>
      <c r="K64" s="62">
        <f t="shared" si="48"/>
        <v>382320</v>
      </c>
      <c r="L64" s="62">
        <f t="shared" si="48"/>
        <v>0</v>
      </c>
      <c r="M64" s="62">
        <f t="shared" si="48"/>
        <v>382320</v>
      </c>
      <c r="N64" s="62">
        <f t="shared" si="48"/>
        <v>0</v>
      </c>
      <c r="O64" s="62">
        <f t="shared" si="48"/>
        <v>382320</v>
      </c>
      <c r="P64" s="62">
        <f t="shared" si="48"/>
        <v>0</v>
      </c>
      <c r="Q64" s="62">
        <f t="shared" si="48"/>
        <v>382320</v>
      </c>
      <c r="R64" s="62">
        <f t="shared" si="48"/>
        <v>-1500</v>
      </c>
      <c r="S64" s="62">
        <f t="shared" si="48"/>
        <v>380820</v>
      </c>
      <c r="T64" s="62">
        <f t="shared" si="48"/>
        <v>1500</v>
      </c>
      <c r="U64" s="62">
        <f t="shared" si="48"/>
        <v>382320</v>
      </c>
      <c r="V64" s="62">
        <f t="shared" si="48"/>
        <v>0</v>
      </c>
      <c r="W64" s="62">
        <f t="shared" si="48"/>
        <v>382320</v>
      </c>
      <c r="X64" s="62">
        <f aca="true" t="shared" si="49" ref="X64:AC64">SUM(X65:X81)</f>
        <v>0</v>
      </c>
      <c r="Y64" s="62">
        <f t="shared" si="49"/>
        <v>382320</v>
      </c>
      <c r="Z64" s="62">
        <f t="shared" si="49"/>
        <v>0</v>
      </c>
      <c r="AA64" s="62">
        <f t="shared" si="49"/>
        <v>382320</v>
      </c>
      <c r="AB64" s="62">
        <f t="shared" si="49"/>
        <v>0</v>
      </c>
      <c r="AC64" s="62">
        <f t="shared" si="49"/>
        <v>382320</v>
      </c>
    </row>
    <row r="65" spans="1:29" s="25" customFormat="1" ht="21" customHeight="1">
      <c r="A65" s="49"/>
      <c r="B65" s="63"/>
      <c r="C65" s="66">
        <v>3020</v>
      </c>
      <c r="D65" s="36" t="s">
        <v>159</v>
      </c>
      <c r="E65" s="62">
        <v>1760</v>
      </c>
      <c r="F65" s="62"/>
      <c r="G65" s="62">
        <f>SUM(E65:F65)</f>
        <v>1760</v>
      </c>
      <c r="H65" s="62"/>
      <c r="I65" s="62">
        <f>SUM(G65:H65)</f>
        <v>1760</v>
      </c>
      <c r="J65" s="62"/>
      <c r="K65" s="62">
        <f>SUM(I65:J65)</f>
        <v>1760</v>
      </c>
      <c r="L65" s="62"/>
      <c r="M65" s="62">
        <f>SUM(K65:L65)</f>
        <v>1760</v>
      </c>
      <c r="N65" s="62"/>
      <c r="O65" s="62">
        <f>SUM(M65:N65)</f>
        <v>1760</v>
      </c>
      <c r="P65" s="62"/>
      <c r="Q65" s="62">
        <f>SUM(O65:P65)</f>
        <v>1760</v>
      </c>
      <c r="R65" s="62"/>
      <c r="S65" s="62">
        <f>SUM(Q65:R65)</f>
        <v>1760</v>
      </c>
      <c r="T65" s="62"/>
      <c r="U65" s="62">
        <f>SUM(S65:T65)</f>
        <v>1760</v>
      </c>
      <c r="V65" s="62"/>
      <c r="W65" s="62">
        <f>SUM(U65:V65)</f>
        <v>1760</v>
      </c>
      <c r="X65" s="62"/>
      <c r="Y65" s="62">
        <f>SUM(W65:X65)</f>
        <v>1760</v>
      </c>
      <c r="Z65" s="62"/>
      <c r="AA65" s="62">
        <f>SUM(Y65:Z65)</f>
        <v>1760</v>
      </c>
      <c r="AB65" s="62"/>
      <c r="AC65" s="62">
        <f>SUM(AA65:AB65)</f>
        <v>1760</v>
      </c>
    </row>
    <row r="66" spans="1:31" s="25" customFormat="1" ht="21" customHeight="1">
      <c r="A66" s="49"/>
      <c r="B66" s="206"/>
      <c r="C66" s="49">
        <v>4010</v>
      </c>
      <c r="D66" s="36" t="s">
        <v>79</v>
      </c>
      <c r="E66" s="62">
        <f>112525+155895</f>
        <v>268420</v>
      </c>
      <c r="F66" s="62"/>
      <c r="G66" s="62">
        <f aca="true" t="shared" si="50" ref="G66:G81">SUM(E66:F66)</f>
        <v>268420</v>
      </c>
      <c r="H66" s="62"/>
      <c r="I66" s="62">
        <f aca="true" t="shared" si="51" ref="I66:I81">SUM(G66:H66)</f>
        <v>268420</v>
      </c>
      <c r="J66" s="62"/>
      <c r="K66" s="62">
        <f aca="true" t="shared" si="52" ref="K66:K81">SUM(I66:J66)</f>
        <v>268420</v>
      </c>
      <c r="L66" s="62"/>
      <c r="M66" s="62">
        <f aca="true" t="shared" si="53" ref="M66:M77">SUM(K66:L66)</f>
        <v>268420</v>
      </c>
      <c r="N66" s="62"/>
      <c r="O66" s="62">
        <f aca="true" t="shared" si="54" ref="O66:O77">SUM(M66:N66)</f>
        <v>268420</v>
      </c>
      <c r="P66" s="62"/>
      <c r="Q66" s="62">
        <f aca="true" t="shared" si="55" ref="Q66:Q77">SUM(O66:P66)</f>
        <v>268420</v>
      </c>
      <c r="R66" s="62"/>
      <c r="S66" s="62">
        <f aca="true" t="shared" si="56" ref="S66:S77">SUM(Q66:R66)</f>
        <v>268420</v>
      </c>
      <c r="T66" s="62"/>
      <c r="U66" s="62">
        <f aca="true" t="shared" si="57" ref="U66:U77">SUM(S66:T66)</f>
        <v>268420</v>
      </c>
      <c r="V66" s="62"/>
      <c r="W66" s="62">
        <f aca="true" t="shared" si="58" ref="W66:W77">SUM(U66:V66)</f>
        <v>268420</v>
      </c>
      <c r="X66" s="62"/>
      <c r="Y66" s="62">
        <f aca="true" t="shared" si="59" ref="Y66:Y77">SUM(W66:X66)</f>
        <v>268420</v>
      </c>
      <c r="Z66" s="62"/>
      <c r="AA66" s="62">
        <f aca="true" t="shared" si="60" ref="AA66:AA77">SUM(Y66:Z66)</f>
        <v>268420</v>
      </c>
      <c r="AB66" s="62"/>
      <c r="AC66" s="62">
        <f aca="true" t="shared" si="61" ref="AC66:AC77">SUM(AA66:AB66)</f>
        <v>268420</v>
      </c>
      <c r="AD66" s="79"/>
      <c r="AE66" s="79"/>
    </row>
    <row r="67" spans="1:31" s="25" customFormat="1" ht="21" customHeight="1">
      <c r="A67" s="49"/>
      <c r="B67" s="206"/>
      <c r="C67" s="49">
        <v>4040</v>
      </c>
      <c r="D67" s="36" t="s">
        <v>80</v>
      </c>
      <c r="E67" s="62">
        <v>19000</v>
      </c>
      <c r="F67" s="62"/>
      <c r="G67" s="62">
        <f t="shared" si="50"/>
        <v>19000</v>
      </c>
      <c r="H67" s="62"/>
      <c r="I67" s="62">
        <f t="shared" si="51"/>
        <v>19000</v>
      </c>
      <c r="J67" s="62"/>
      <c r="K67" s="62">
        <f t="shared" si="52"/>
        <v>19000</v>
      </c>
      <c r="L67" s="62"/>
      <c r="M67" s="62">
        <f t="shared" si="53"/>
        <v>19000</v>
      </c>
      <c r="N67" s="62"/>
      <c r="O67" s="62">
        <f t="shared" si="54"/>
        <v>19000</v>
      </c>
      <c r="P67" s="62"/>
      <c r="Q67" s="62">
        <f t="shared" si="55"/>
        <v>19000</v>
      </c>
      <c r="R67" s="62"/>
      <c r="S67" s="62">
        <f t="shared" si="56"/>
        <v>19000</v>
      </c>
      <c r="T67" s="62"/>
      <c r="U67" s="62">
        <f t="shared" si="57"/>
        <v>19000</v>
      </c>
      <c r="V67" s="62"/>
      <c r="W67" s="62">
        <f t="shared" si="58"/>
        <v>19000</v>
      </c>
      <c r="X67" s="62"/>
      <c r="Y67" s="62">
        <f t="shared" si="59"/>
        <v>19000</v>
      </c>
      <c r="Z67" s="62"/>
      <c r="AA67" s="62">
        <f t="shared" si="60"/>
        <v>19000</v>
      </c>
      <c r="AB67" s="62"/>
      <c r="AC67" s="62">
        <f t="shared" si="61"/>
        <v>19000</v>
      </c>
      <c r="AD67" s="79"/>
      <c r="AE67" s="79"/>
    </row>
    <row r="68" spans="1:31" s="25" customFormat="1" ht="21" customHeight="1">
      <c r="A68" s="49"/>
      <c r="B68" s="206"/>
      <c r="C68" s="49">
        <v>4110</v>
      </c>
      <c r="D68" s="36" t="s">
        <v>81</v>
      </c>
      <c r="E68" s="62">
        <f>13626+29582</f>
        <v>43208</v>
      </c>
      <c r="F68" s="62"/>
      <c r="G68" s="62">
        <f t="shared" si="50"/>
        <v>43208</v>
      </c>
      <c r="H68" s="62"/>
      <c r="I68" s="62">
        <f t="shared" si="51"/>
        <v>43208</v>
      </c>
      <c r="J68" s="62"/>
      <c r="K68" s="62">
        <f t="shared" si="52"/>
        <v>43208</v>
      </c>
      <c r="L68" s="62"/>
      <c r="M68" s="62">
        <f t="shared" si="53"/>
        <v>43208</v>
      </c>
      <c r="N68" s="62"/>
      <c r="O68" s="62">
        <f t="shared" si="54"/>
        <v>43208</v>
      </c>
      <c r="P68" s="62"/>
      <c r="Q68" s="62">
        <f t="shared" si="55"/>
        <v>43208</v>
      </c>
      <c r="R68" s="62"/>
      <c r="S68" s="62">
        <f t="shared" si="56"/>
        <v>43208</v>
      </c>
      <c r="T68" s="62"/>
      <c r="U68" s="62">
        <f t="shared" si="57"/>
        <v>43208</v>
      </c>
      <c r="V68" s="62"/>
      <c r="W68" s="62">
        <f t="shared" si="58"/>
        <v>43208</v>
      </c>
      <c r="X68" s="62"/>
      <c r="Y68" s="62">
        <f t="shared" si="59"/>
        <v>43208</v>
      </c>
      <c r="Z68" s="62"/>
      <c r="AA68" s="62">
        <f t="shared" si="60"/>
        <v>43208</v>
      </c>
      <c r="AB68" s="62"/>
      <c r="AC68" s="62">
        <f t="shared" si="61"/>
        <v>43208</v>
      </c>
      <c r="AD68" s="79"/>
      <c r="AE68" s="79"/>
    </row>
    <row r="69" spans="1:31" s="25" customFormat="1" ht="21" customHeight="1">
      <c r="A69" s="49"/>
      <c r="B69" s="206"/>
      <c r="C69" s="49">
        <v>4120</v>
      </c>
      <c r="D69" s="36" t="s">
        <v>82</v>
      </c>
      <c r="E69" s="62">
        <f>2186+4743</f>
        <v>6929</v>
      </c>
      <c r="F69" s="62"/>
      <c r="G69" s="62">
        <f t="shared" si="50"/>
        <v>6929</v>
      </c>
      <c r="H69" s="62"/>
      <c r="I69" s="62">
        <f t="shared" si="51"/>
        <v>6929</v>
      </c>
      <c r="J69" s="62"/>
      <c r="K69" s="62">
        <f t="shared" si="52"/>
        <v>6929</v>
      </c>
      <c r="L69" s="62"/>
      <c r="M69" s="62">
        <f t="shared" si="53"/>
        <v>6929</v>
      </c>
      <c r="N69" s="62"/>
      <c r="O69" s="62">
        <f t="shared" si="54"/>
        <v>6929</v>
      </c>
      <c r="P69" s="62"/>
      <c r="Q69" s="62">
        <f t="shared" si="55"/>
        <v>6929</v>
      </c>
      <c r="R69" s="62"/>
      <c r="S69" s="62">
        <f t="shared" si="56"/>
        <v>6929</v>
      </c>
      <c r="T69" s="62"/>
      <c r="U69" s="62">
        <f t="shared" si="57"/>
        <v>6929</v>
      </c>
      <c r="V69" s="62"/>
      <c r="W69" s="62">
        <f t="shared" si="58"/>
        <v>6929</v>
      </c>
      <c r="X69" s="62"/>
      <c r="Y69" s="62">
        <f t="shared" si="59"/>
        <v>6929</v>
      </c>
      <c r="Z69" s="62"/>
      <c r="AA69" s="62">
        <f t="shared" si="60"/>
        <v>6929</v>
      </c>
      <c r="AB69" s="62"/>
      <c r="AC69" s="62">
        <f t="shared" si="61"/>
        <v>6929</v>
      </c>
      <c r="AD69" s="79"/>
      <c r="AE69" s="79"/>
    </row>
    <row r="70" spans="1:29" s="25" customFormat="1" ht="21" customHeight="1">
      <c r="A70" s="49"/>
      <c r="B70" s="206"/>
      <c r="C70" s="49">
        <v>4210</v>
      </c>
      <c r="D70" s="36" t="s">
        <v>86</v>
      </c>
      <c r="E70" s="62">
        <v>13980</v>
      </c>
      <c r="F70" s="62"/>
      <c r="G70" s="62">
        <f t="shared" si="50"/>
        <v>13980</v>
      </c>
      <c r="H70" s="62"/>
      <c r="I70" s="62">
        <f t="shared" si="51"/>
        <v>13980</v>
      </c>
      <c r="J70" s="62">
        <v>-500</v>
      </c>
      <c r="K70" s="62">
        <f t="shared" si="52"/>
        <v>13480</v>
      </c>
      <c r="L70" s="62"/>
      <c r="M70" s="62">
        <f t="shared" si="53"/>
        <v>13480</v>
      </c>
      <c r="N70" s="62"/>
      <c r="O70" s="62">
        <f t="shared" si="54"/>
        <v>13480</v>
      </c>
      <c r="P70" s="62"/>
      <c r="Q70" s="62">
        <f t="shared" si="55"/>
        <v>13480</v>
      </c>
      <c r="R70" s="62"/>
      <c r="S70" s="62">
        <f t="shared" si="56"/>
        <v>13480</v>
      </c>
      <c r="T70" s="62"/>
      <c r="U70" s="62">
        <f t="shared" si="57"/>
        <v>13480</v>
      </c>
      <c r="V70" s="62"/>
      <c r="W70" s="62">
        <f t="shared" si="58"/>
        <v>13480</v>
      </c>
      <c r="X70" s="62"/>
      <c r="Y70" s="62">
        <f t="shared" si="59"/>
        <v>13480</v>
      </c>
      <c r="Z70" s="62"/>
      <c r="AA70" s="62">
        <f t="shared" si="60"/>
        <v>13480</v>
      </c>
      <c r="AB70" s="62"/>
      <c r="AC70" s="62">
        <f t="shared" si="61"/>
        <v>13480</v>
      </c>
    </row>
    <row r="71" spans="1:29" s="25" customFormat="1" ht="21" customHeight="1">
      <c r="A71" s="49"/>
      <c r="B71" s="206"/>
      <c r="C71" s="49">
        <v>4270</v>
      </c>
      <c r="D71" s="36" t="s">
        <v>74</v>
      </c>
      <c r="E71" s="62">
        <v>2000</v>
      </c>
      <c r="F71" s="62"/>
      <c r="G71" s="62">
        <f t="shared" si="50"/>
        <v>2000</v>
      </c>
      <c r="H71" s="62"/>
      <c r="I71" s="62">
        <f t="shared" si="51"/>
        <v>2000</v>
      </c>
      <c r="J71" s="62"/>
      <c r="K71" s="62">
        <f t="shared" si="52"/>
        <v>2000</v>
      </c>
      <c r="L71" s="62"/>
      <c r="M71" s="62">
        <f t="shared" si="53"/>
        <v>2000</v>
      </c>
      <c r="N71" s="62"/>
      <c r="O71" s="62">
        <f t="shared" si="54"/>
        <v>2000</v>
      </c>
      <c r="P71" s="62"/>
      <c r="Q71" s="62">
        <f t="shared" si="55"/>
        <v>2000</v>
      </c>
      <c r="R71" s="62"/>
      <c r="S71" s="62">
        <f t="shared" si="56"/>
        <v>2000</v>
      </c>
      <c r="T71" s="62"/>
      <c r="U71" s="62">
        <f t="shared" si="57"/>
        <v>2000</v>
      </c>
      <c r="V71" s="62"/>
      <c r="W71" s="62">
        <f t="shared" si="58"/>
        <v>2000</v>
      </c>
      <c r="X71" s="62"/>
      <c r="Y71" s="62">
        <f t="shared" si="59"/>
        <v>2000</v>
      </c>
      <c r="Z71" s="62"/>
      <c r="AA71" s="62">
        <f t="shared" si="60"/>
        <v>2000</v>
      </c>
      <c r="AB71" s="62"/>
      <c r="AC71" s="62">
        <f t="shared" si="61"/>
        <v>2000</v>
      </c>
    </row>
    <row r="72" spans="1:29" s="25" customFormat="1" ht="21" customHeight="1">
      <c r="A72" s="49"/>
      <c r="B72" s="206"/>
      <c r="C72" s="49">
        <v>4280</v>
      </c>
      <c r="D72" s="36" t="s">
        <v>407</v>
      </c>
      <c r="E72" s="62">
        <v>960</v>
      </c>
      <c r="F72" s="62"/>
      <c r="G72" s="62">
        <f t="shared" si="50"/>
        <v>960</v>
      </c>
      <c r="H72" s="62"/>
      <c r="I72" s="62">
        <f t="shared" si="51"/>
        <v>960</v>
      </c>
      <c r="J72" s="62"/>
      <c r="K72" s="62">
        <f t="shared" si="52"/>
        <v>960</v>
      </c>
      <c r="L72" s="62"/>
      <c r="M72" s="62">
        <f t="shared" si="53"/>
        <v>960</v>
      </c>
      <c r="N72" s="62"/>
      <c r="O72" s="62">
        <f t="shared" si="54"/>
        <v>960</v>
      </c>
      <c r="P72" s="62"/>
      <c r="Q72" s="62">
        <f t="shared" si="55"/>
        <v>960</v>
      </c>
      <c r="R72" s="62"/>
      <c r="S72" s="62">
        <f t="shared" si="56"/>
        <v>960</v>
      </c>
      <c r="T72" s="62"/>
      <c r="U72" s="62">
        <f t="shared" si="57"/>
        <v>960</v>
      </c>
      <c r="V72" s="62"/>
      <c r="W72" s="62">
        <f t="shared" si="58"/>
        <v>960</v>
      </c>
      <c r="X72" s="62"/>
      <c r="Y72" s="62">
        <f t="shared" si="59"/>
        <v>960</v>
      </c>
      <c r="Z72" s="62"/>
      <c r="AA72" s="62">
        <f t="shared" si="60"/>
        <v>960</v>
      </c>
      <c r="AB72" s="62"/>
      <c r="AC72" s="62">
        <f t="shared" si="61"/>
        <v>960</v>
      </c>
    </row>
    <row r="73" spans="1:29" s="25" customFormat="1" ht="21" customHeight="1">
      <c r="A73" s="49"/>
      <c r="B73" s="206"/>
      <c r="C73" s="49">
        <v>4300</v>
      </c>
      <c r="D73" s="36" t="s">
        <v>75</v>
      </c>
      <c r="E73" s="62">
        <v>5000</v>
      </c>
      <c r="F73" s="62"/>
      <c r="G73" s="62">
        <f t="shared" si="50"/>
        <v>5000</v>
      </c>
      <c r="H73" s="62"/>
      <c r="I73" s="62">
        <f t="shared" si="51"/>
        <v>5000</v>
      </c>
      <c r="J73" s="62"/>
      <c r="K73" s="62">
        <f t="shared" si="52"/>
        <v>5000</v>
      </c>
      <c r="L73" s="62"/>
      <c r="M73" s="62">
        <f t="shared" si="53"/>
        <v>5000</v>
      </c>
      <c r="N73" s="62"/>
      <c r="O73" s="62">
        <f t="shared" si="54"/>
        <v>5000</v>
      </c>
      <c r="P73" s="62"/>
      <c r="Q73" s="62">
        <f t="shared" si="55"/>
        <v>5000</v>
      </c>
      <c r="R73" s="62">
        <v>-1500</v>
      </c>
      <c r="S73" s="62">
        <f t="shared" si="56"/>
        <v>3500</v>
      </c>
      <c r="T73" s="62">
        <v>1500</v>
      </c>
      <c r="U73" s="62">
        <f t="shared" si="57"/>
        <v>5000</v>
      </c>
      <c r="V73" s="62"/>
      <c r="W73" s="62">
        <f t="shared" si="58"/>
        <v>5000</v>
      </c>
      <c r="X73" s="62"/>
      <c r="Y73" s="62">
        <f t="shared" si="59"/>
        <v>5000</v>
      </c>
      <c r="Z73" s="62"/>
      <c r="AA73" s="62">
        <f t="shared" si="60"/>
        <v>5000</v>
      </c>
      <c r="AB73" s="62"/>
      <c r="AC73" s="62">
        <f t="shared" si="61"/>
        <v>5000</v>
      </c>
    </row>
    <row r="74" spans="1:29" s="25" customFormat="1" ht="24">
      <c r="A74" s="49"/>
      <c r="B74" s="206"/>
      <c r="C74" s="49">
        <v>4370</v>
      </c>
      <c r="D74" s="36" t="s">
        <v>182</v>
      </c>
      <c r="E74" s="62">
        <v>2000</v>
      </c>
      <c r="F74" s="62"/>
      <c r="G74" s="62">
        <f t="shared" si="50"/>
        <v>2000</v>
      </c>
      <c r="H74" s="62"/>
      <c r="I74" s="62">
        <f t="shared" si="51"/>
        <v>2000</v>
      </c>
      <c r="J74" s="62"/>
      <c r="K74" s="62">
        <f t="shared" si="52"/>
        <v>2000</v>
      </c>
      <c r="L74" s="62"/>
      <c r="M74" s="62">
        <f t="shared" si="53"/>
        <v>2000</v>
      </c>
      <c r="N74" s="62"/>
      <c r="O74" s="62">
        <f t="shared" si="54"/>
        <v>2000</v>
      </c>
      <c r="P74" s="62"/>
      <c r="Q74" s="62">
        <f t="shared" si="55"/>
        <v>2000</v>
      </c>
      <c r="R74" s="62"/>
      <c r="S74" s="62">
        <f t="shared" si="56"/>
        <v>2000</v>
      </c>
      <c r="T74" s="62"/>
      <c r="U74" s="62">
        <f t="shared" si="57"/>
        <v>2000</v>
      </c>
      <c r="V74" s="62"/>
      <c r="W74" s="62">
        <f t="shared" si="58"/>
        <v>2000</v>
      </c>
      <c r="X74" s="62"/>
      <c r="Y74" s="62">
        <f t="shared" si="59"/>
        <v>2000</v>
      </c>
      <c r="Z74" s="62"/>
      <c r="AA74" s="62">
        <f t="shared" si="60"/>
        <v>2000</v>
      </c>
      <c r="AB74" s="62"/>
      <c r="AC74" s="62">
        <f t="shared" si="61"/>
        <v>2000</v>
      </c>
    </row>
    <row r="75" spans="1:29" s="25" customFormat="1" ht="21" customHeight="1">
      <c r="A75" s="49"/>
      <c r="B75" s="206"/>
      <c r="C75" s="49">
        <v>4410</v>
      </c>
      <c r="D75" s="36" t="s">
        <v>85</v>
      </c>
      <c r="E75" s="62">
        <v>1000</v>
      </c>
      <c r="F75" s="62"/>
      <c r="G75" s="62">
        <f t="shared" si="50"/>
        <v>1000</v>
      </c>
      <c r="H75" s="62"/>
      <c r="I75" s="62">
        <f t="shared" si="51"/>
        <v>1000</v>
      </c>
      <c r="J75" s="62"/>
      <c r="K75" s="62">
        <f t="shared" si="52"/>
        <v>1000</v>
      </c>
      <c r="L75" s="62"/>
      <c r="M75" s="62">
        <f t="shared" si="53"/>
        <v>1000</v>
      </c>
      <c r="N75" s="62"/>
      <c r="O75" s="62">
        <f t="shared" si="54"/>
        <v>1000</v>
      </c>
      <c r="P75" s="62"/>
      <c r="Q75" s="62">
        <f t="shared" si="55"/>
        <v>1000</v>
      </c>
      <c r="R75" s="62"/>
      <c r="S75" s="62">
        <f t="shared" si="56"/>
        <v>1000</v>
      </c>
      <c r="T75" s="62"/>
      <c r="U75" s="62">
        <f t="shared" si="57"/>
        <v>1000</v>
      </c>
      <c r="V75" s="62"/>
      <c r="W75" s="62">
        <f t="shared" si="58"/>
        <v>1000</v>
      </c>
      <c r="X75" s="62"/>
      <c r="Y75" s="62">
        <f t="shared" si="59"/>
        <v>1000</v>
      </c>
      <c r="Z75" s="62"/>
      <c r="AA75" s="62">
        <f t="shared" si="60"/>
        <v>1000</v>
      </c>
      <c r="AB75" s="62"/>
      <c r="AC75" s="62">
        <f t="shared" si="61"/>
        <v>1000</v>
      </c>
    </row>
    <row r="76" spans="1:29" s="25" customFormat="1" ht="21" customHeight="1">
      <c r="A76" s="49"/>
      <c r="B76" s="206"/>
      <c r="C76" s="49">
        <v>4430</v>
      </c>
      <c r="D76" s="36" t="s">
        <v>87</v>
      </c>
      <c r="E76" s="62">
        <v>3500</v>
      </c>
      <c r="F76" s="62"/>
      <c r="G76" s="62">
        <f t="shared" si="50"/>
        <v>3500</v>
      </c>
      <c r="H76" s="62"/>
      <c r="I76" s="62">
        <f t="shared" si="51"/>
        <v>3500</v>
      </c>
      <c r="J76" s="62"/>
      <c r="K76" s="62">
        <f t="shared" si="52"/>
        <v>3500</v>
      </c>
      <c r="L76" s="62"/>
      <c r="M76" s="62">
        <f t="shared" si="53"/>
        <v>3500</v>
      </c>
      <c r="N76" s="62"/>
      <c r="O76" s="62">
        <f t="shared" si="54"/>
        <v>3500</v>
      </c>
      <c r="P76" s="62"/>
      <c r="Q76" s="62">
        <f t="shared" si="55"/>
        <v>3500</v>
      </c>
      <c r="R76" s="62"/>
      <c r="S76" s="62">
        <f t="shared" si="56"/>
        <v>3500</v>
      </c>
      <c r="T76" s="62"/>
      <c r="U76" s="62">
        <f t="shared" si="57"/>
        <v>3500</v>
      </c>
      <c r="V76" s="62"/>
      <c r="W76" s="62">
        <f t="shared" si="58"/>
        <v>3500</v>
      </c>
      <c r="X76" s="62"/>
      <c r="Y76" s="62">
        <f t="shared" si="59"/>
        <v>3500</v>
      </c>
      <c r="Z76" s="62"/>
      <c r="AA76" s="62">
        <f t="shared" si="60"/>
        <v>3500</v>
      </c>
      <c r="AB76" s="62"/>
      <c r="AC76" s="62">
        <f t="shared" si="61"/>
        <v>3500</v>
      </c>
    </row>
    <row r="77" spans="1:29" s="25" customFormat="1" ht="24">
      <c r="A77" s="49"/>
      <c r="B77" s="206"/>
      <c r="C77" s="201">
        <v>4440</v>
      </c>
      <c r="D77" s="36" t="s">
        <v>83</v>
      </c>
      <c r="E77" s="62">
        <v>9263</v>
      </c>
      <c r="F77" s="62"/>
      <c r="G77" s="62">
        <f t="shared" si="50"/>
        <v>9263</v>
      </c>
      <c r="H77" s="62"/>
      <c r="I77" s="62">
        <f t="shared" si="51"/>
        <v>9263</v>
      </c>
      <c r="J77" s="62"/>
      <c r="K77" s="62">
        <f t="shared" si="52"/>
        <v>9263</v>
      </c>
      <c r="L77" s="62"/>
      <c r="M77" s="62">
        <f t="shared" si="53"/>
        <v>9263</v>
      </c>
      <c r="N77" s="62"/>
      <c r="O77" s="62">
        <f t="shared" si="54"/>
        <v>9263</v>
      </c>
      <c r="P77" s="62"/>
      <c r="Q77" s="62">
        <f t="shared" si="55"/>
        <v>9263</v>
      </c>
      <c r="R77" s="62"/>
      <c r="S77" s="62">
        <f t="shared" si="56"/>
        <v>9263</v>
      </c>
      <c r="T77" s="62"/>
      <c r="U77" s="62">
        <f t="shared" si="57"/>
        <v>9263</v>
      </c>
      <c r="V77" s="62"/>
      <c r="W77" s="62">
        <f t="shared" si="58"/>
        <v>9263</v>
      </c>
      <c r="X77" s="62"/>
      <c r="Y77" s="62">
        <f t="shared" si="59"/>
        <v>9263</v>
      </c>
      <c r="Z77" s="62"/>
      <c r="AA77" s="62">
        <f t="shared" si="60"/>
        <v>9263</v>
      </c>
      <c r="AB77" s="62"/>
      <c r="AC77" s="62">
        <f t="shared" si="61"/>
        <v>9263</v>
      </c>
    </row>
    <row r="78" spans="1:29" s="25" customFormat="1" ht="21" customHeight="1">
      <c r="A78" s="49"/>
      <c r="B78" s="206"/>
      <c r="C78" s="201">
        <v>4580</v>
      </c>
      <c r="D78" s="36" t="s">
        <v>11</v>
      </c>
      <c r="E78" s="62"/>
      <c r="F78" s="62"/>
      <c r="G78" s="62"/>
      <c r="H78" s="62"/>
      <c r="I78" s="62">
        <v>0</v>
      </c>
      <c r="J78" s="62">
        <v>500</v>
      </c>
      <c r="K78" s="62">
        <f>SUM(I78:J78)</f>
        <v>500</v>
      </c>
      <c r="L78" s="62"/>
      <c r="M78" s="62">
        <f>SUM(K78:L78)</f>
        <v>500</v>
      </c>
      <c r="N78" s="62"/>
      <c r="O78" s="62">
        <f>SUM(M78:N78)</f>
        <v>500</v>
      </c>
      <c r="P78" s="62"/>
      <c r="Q78" s="62">
        <f>SUM(O78:P78)</f>
        <v>500</v>
      </c>
      <c r="R78" s="62"/>
      <c r="S78" s="62">
        <f>SUM(Q78:R78)</f>
        <v>500</v>
      </c>
      <c r="T78" s="62"/>
      <c r="U78" s="62">
        <f>SUM(S78:T78)</f>
        <v>500</v>
      </c>
      <c r="V78" s="62"/>
      <c r="W78" s="62">
        <f>SUM(U78:V78)</f>
        <v>500</v>
      </c>
      <c r="X78" s="62"/>
      <c r="Y78" s="62">
        <f>SUM(W78:X78)</f>
        <v>500</v>
      </c>
      <c r="Z78" s="62"/>
      <c r="AA78" s="62">
        <f>SUM(Y78:Z78)</f>
        <v>500</v>
      </c>
      <c r="AB78" s="62"/>
      <c r="AC78" s="62">
        <f>SUM(AA78:AB78)</f>
        <v>500</v>
      </c>
    </row>
    <row r="79" spans="1:29" s="25" customFormat="1" ht="24">
      <c r="A79" s="49"/>
      <c r="B79" s="206"/>
      <c r="C79" s="201">
        <v>4700</v>
      </c>
      <c r="D79" s="36" t="s">
        <v>225</v>
      </c>
      <c r="E79" s="62">
        <v>3300</v>
      </c>
      <c r="F79" s="62"/>
      <c r="G79" s="62">
        <f t="shared" si="50"/>
        <v>3300</v>
      </c>
      <c r="H79" s="62"/>
      <c r="I79" s="62">
        <f t="shared" si="51"/>
        <v>3300</v>
      </c>
      <c r="J79" s="62"/>
      <c r="K79" s="62">
        <f t="shared" si="52"/>
        <v>3300</v>
      </c>
      <c r="L79" s="62"/>
      <c r="M79" s="62">
        <f>SUM(K79:L79)</f>
        <v>3300</v>
      </c>
      <c r="N79" s="62"/>
      <c r="O79" s="62">
        <f>SUM(M79:N79)</f>
        <v>3300</v>
      </c>
      <c r="P79" s="62"/>
      <c r="Q79" s="62">
        <f>SUM(O79:P79)</f>
        <v>3300</v>
      </c>
      <c r="R79" s="62"/>
      <c r="S79" s="62">
        <f>SUM(Q79:R79)</f>
        <v>3300</v>
      </c>
      <c r="T79" s="62"/>
      <c r="U79" s="62">
        <f>SUM(S79:T79)</f>
        <v>3300</v>
      </c>
      <c r="V79" s="62"/>
      <c r="W79" s="62">
        <f>SUM(U79:V79)</f>
        <v>3300</v>
      </c>
      <c r="X79" s="62"/>
      <c r="Y79" s="62">
        <f>SUM(W79:X79)</f>
        <v>3300</v>
      </c>
      <c r="Z79" s="62">
        <v>-1000</v>
      </c>
      <c r="AA79" s="62">
        <f>SUM(Y79:Z79)</f>
        <v>2300</v>
      </c>
      <c r="AB79" s="62"/>
      <c r="AC79" s="62">
        <f>SUM(AA79:AB79)</f>
        <v>2300</v>
      </c>
    </row>
    <row r="80" spans="1:29" s="25" customFormat="1" ht="36">
      <c r="A80" s="49"/>
      <c r="B80" s="206"/>
      <c r="C80" s="201">
        <v>4740</v>
      </c>
      <c r="D80" s="36" t="s">
        <v>183</v>
      </c>
      <c r="E80" s="62">
        <v>1000</v>
      </c>
      <c r="F80" s="62"/>
      <c r="G80" s="62">
        <f t="shared" si="50"/>
        <v>1000</v>
      </c>
      <c r="H80" s="62"/>
      <c r="I80" s="62">
        <f t="shared" si="51"/>
        <v>1000</v>
      </c>
      <c r="J80" s="62"/>
      <c r="K80" s="62">
        <f t="shared" si="52"/>
        <v>1000</v>
      </c>
      <c r="L80" s="62"/>
      <c r="M80" s="62">
        <f>SUM(K80:L80)</f>
        <v>1000</v>
      </c>
      <c r="N80" s="62"/>
      <c r="O80" s="62">
        <f>SUM(M80:N80)</f>
        <v>1000</v>
      </c>
      <c r="P80" s="62"/>
      <c r="Q80" s="62">
        <f>SUM(O80:P80)</f>
        <v>1000</v>
      </c>
      <c r="R80" s="62"/>
      <c r="S80" s="62">
        <f>SUM(Q80:R80)</f>
        <v>1000</v>
      </c>
      <c r="T80" s="62"/>
      <c r="U80" s="62">
        <f>SUM(S80:T80)</f>
        <v>1000</v>
      </c>
      <c r="V80" s="62"/>
      <c r="W80" s="62">
        <f>SUM(U80:V80)</f>
        <v>1000</v>
      </c>
      <c r="X80" s="62"/>
      <c r="Y80" s="62">
        <f>SUM(W80:X80)</f>
        <v>1000</v>
      </c>
      <c r="Z80" s="62">
        <v>-500</v>
      </c>
      <c r="AA80" s="62">
        <f>SUM(Y80:Z80)</f>
        <v>500</v>
      </c>
      <c r="AB80" s="62"/>
      <c r="AC80" s="62">
        <f>SUM(AA80:AB80)</f>
        <v>500</v>
      </c>
    </row>
    <row r="81" spans="1:29" s="25" customFormat="1" ht="21" customHeight="1">
      <c r="A81" s="49"/>
      <c r="B81" s="206"/>
      <c r="C81" s="201">
        <v>4750</v>
      </c>
      <c r="D81" s="36" t="s">
        <v>401</v>
      </c>
      <c r="E81" s="62">
        <v>1000</v>
      </c>
      <c r="F81" s="62"/>
      <c r="G81" s="62">
        <f t="shared" si="50"/>
        <v>1000</v>
      </c>
      <c r="H81" s="62"/>
      <c r="I81" s="62">
        <f t="shared" si="51"/>
        <v>1000</v>
      </c>
      <c r="J81" s="62"/>
      <c r="K81" s="62">
        <f t="shared" si="52"/>
        <v>1000</v>
      </c>
      <c r="L81" s="62"/>
      <c r="M81" s="62">
        <f>SUM(K81:L81)</f>
        <v>1000</v>
      </c>
      <c r="N81" s="62"/>
      <c r="O81" s="62">
        <f>SUM(M81:N81)</f>
        <v>1000</v>
      </c>
      <c r="P81" s="62"/>
      <c r="Q81" s="62">
        <f>SUM(O81:P81)</f>
        <v>1000</v>
      </c>
      <c r="R81" s="62"/>
      <c r="S81" s="62">
        <f>SUM(Q81:R81)</f>
        <v>1000</v>
      </c>
      <c r="T81" s="62"/>
      <c r="U81" s="62">
        <f>SUM(S81:T81)</f>
        <v>1000</v>
      </c>
      <c r="V81" s="62"/>
      <c r="W81" s="62">
        <f>SUM(U81:V81)</f>
        <v>1000</v>
      </c>
      <c r="X81" s="62"/>
      <c r="Y81" s="62">
        <f>SUM(W81:X81)</f>
        <v>1000</v>
      </c>
      <c r="Z81" s="62">
        <v>1500</v>
      </c>
      <c r="AA81" s="62">
        <f>SUM(Y81:Z81)</f>
        <v>2500</v>
      </c>
      <c r="AB81" s="62"/>
      <c r="AC81" s="62">
        <f>SUM(AA81:AB81)</f>
        <v>2500</v>
      </c>
    </row>
    <row r="82" spans="1:29" s="25" customFormat="1" ht="21" customHeight="1">
      <c r="A82" s="66"/>
      <c r="B82" s="63" t="s">
        <v>408</v>
      </c>
      <c r="C82" s="66"/>
      <c r="D82" s="36" t="s">
        <v>409</v>
      </c>
      <c r="E82" s="62">
        <f aca="true" t="shared" si="62" ref="E82:W82">SUM(E83:E92)</f>
        <v>312700</v>
      </c>
      <c r="F82" s="62">
        <f t="shared" si="62"/>
        <v>0</v>
      </c>
      <c r="G82" s="62">
        <f t="shared" si="62"/>
        <v>312700</v>
      </c>
      <c r="H82" s="62">
        <f t="shared" si="62"/>
        <v>0</v>
      </c>
      <c r="I82" s="62">
        <f t="shared" si="62"/>
        <v>312700</v>
      </c>
      <c r="J82" s="62">
        <f t="shared" si="62"/>
        <v>0</v>
      </c>
      <c r="K82" s="62">
        <f t="shared" si="62"/>
        <v>312700</v>
      </c>
      <c r="L82" s="62">
        <f t="shared" si="62"/>
        <v>14000</v>
      </c>
      <c r="M82" s="62">
        <f t="shared" si="62"/>
        <v>326700</v>
      </c>
      <c r="N82" s="62">
        <f t="shared" si="62"/>
        <v>-6000</v>
      </c>
      <c r="O82" s="62">
        <f t="shared" si="62"/>
        <v>320700</v>
      </c>
      <c r="P82" s="62">
        <f t="shared" si="62"/>
        <v>0</v>
      </c>
      <c r="Q82" s="62">
        <f t="shared" si="62"/>
        <v>320700</v>
      </c>
      <c r="R82" s="62">
        <f t="shared" si="62"/>
        <v>0</v>
      </c>
      <c r="S82" s="62">
        <f t="shared" si="62"/>
        <v>320700</v>
      </c>
      <c r="T82" s="62">
        <f t="shared" si="62"/>
        <v>0</v>
      </c>
      <c r="U82" s="62">
        <f t="shared" si="62"/>
        <v>320700</v>
      </c>
      <c r="V82" s="62">
        <f t="shared" si="62"/>
        <v>0</v>
      </c>
      <c r="W82" s="62">
        <f t="shared" si="62"/>
        <v>320700</v>
      </c>
      <c r="X82" s="62">
        <f aca="true" t="shared" si="63" ref="X82:AC82">SUM(X83:X92)</f>
        <v>0</v>
      </c>
      <c r="Y82" s="62">
        <f t="shared" si="63"/>
        <v>320700</v>
      </c>
      <c r="Z82" s="62">
        <f t="shared" si="63"/>
        <v>0</v>
      </c>
      <c r="AA82" s="62">
        <f t="shared" si="63"/>
        <v>320700</v>
      </c>
      <c r="AB82" s="62">
        <f t="shared" si="63"/>
        <v>0</v>
      </c>
      <c r="AC82" s="62">
        <f t="shared" si="63"/>
        <v>320700</v>
      </c>
    </row>
    <row r="83" spans="1:29" s="25" customFormat="1" ht="21" customHeight="1">
      <c r="A83" s="66"/>
      <c r="B83" s="63"/>
      <c r="C83" s="49">
        <v>3030</v>
      </c>
      <c r="D83" s="36" t="s">
        <v>84</v>
      </c>
      <c r="E83" s="62">
        <v>261600</v>
      </c>
      <c r="F83" s="62"/>
      <c r="G83" s="62">
        <f>SUM(E83:F83)</f>
        <v>261600</v>
      </c>
      <c r="H83" s="62"/>
      <c r="I83" s="62">
        <f>SUM(G83:H83)</f>
        <v>261600</v>
      </c>
      <c r="J83" s="62"/>
      <c r="K83" s="62">
        <f>SUM(I83:J83)</f>
        <v>261600</v>
      </c>
      <c r="L83" s="62"/>
      <c r="M83" s="62">
        <f>SUM(K83:L83)</f>
        <v>261600</v>
      </c>
      <c r="N83" s="62">
        <v>-6000</v>
      </c>
      <c r="O83" s="62">
        <f>SUM(M83:N83)</f>
        <v>255600</v>
      </c>
      <c r="P83" s="62"/>
      <c r="Q83" s="62">
        <f>SUM(O83:P83)</f>
        <v>255600</v>
      </c>
      <c r="R83" s="62"/>
      <c r="S83" s="62">
        <f>SUM(Q83:R83)</f>
        <v>255600</v>
      </c>
      <c r="T83" s="62"/>
      <c r="U83" s="62">
        <f>SUM(S83:T83)</f>
        <v>255600</v>
      </c>
      <c r="V83" s="62"/>
      <c r="W83" s="62">
        <f>SUM(U83:V83)</f>
        <v>255600</v>
      </c>
      <c r="X83" s="62"/>
      <c r="Y83" s="62">
        <f>SUM(W83:X83)</f>
        <v>255600</v>
      </c>
      <c r="Z83" s="62"/>
      <c r="AA83" s="62">
        <f>SUM(Y83:Z83)</f>
        <v>255600</v>
      </c>
      <c r="AB83" s="62"/>
      <c r="AC83" s="62">
        <f>SUM(AA83:AB83)</f>
        <v>255600</v>
      </c>
    </row>
    <row r="84" spans="1:31" s="25" customFormat="1" ht="21" customHeight="1">
      <c r="A84" s="66"/>
      <c r="B84" s="63"/>
      <c r="C84" s="49">
        <v>4170</v>
      </c>
      <c r="D84" s="36" t="s">
        <v>161</v>
      </c>
      <c r="E84" s="62">
        <v>2000</v>
      </c>
      <c r="F84" s="62"/>
      <c r="G84" s="62">
        <f aca="true" t="shared" si="64" ref="G84:G92">SUM(E84:F84)</f>
        <v>2000</v>
      </c>
      <c r="H84" s="62"/>
      <c r="I84" s="62">
        <f aca="true" t="shared" si="65" ref="I84:I92">SUM(G84:H84)</f>
        <v>2000</v>
      </c>
      <c r="J84" s="62"/>
      <c r="K84" s="62">
        <f aca="true" t="shared" si="66" ref="K84:K92">SUM(I84:J84)</f>
        <v>2000</v>
      </c>
      <c r="L84" s="62"/>
      <c r="M84" s="62">
        <f aca="true" t="shared" si="67" ref="M84:M92">SUM(K84:L84)</f>
        <v>2000</v>
      </c>
      <c r="N84" s="62"/>
      <c r="O84" s="62">
        <f aca="true" t="shared" si="68" ref="O84:O92">SUM(M84:N84)</f>
        <v>2000</v>
      </c>
      <c r="P84" s="62"/>
      <c r="Q84" s="62">
        <f aca="true" t="shared" si="69" ref="Q84:Q92">SUM(O84:P84)</f>
        <v>2000</v>
      </c>
      <c r="R84" s="62"/>
      <c r="S84" s="62">
        <f aca="true" t="shared" si="70" ref="S84:S92">SUM(Q84:R84)</f>
        <v>2000</v>
      </c>
      <c r="T84" s="62"/>
      <c r="U84" s="62">
        <f aca="true" t="shared" si="71" ref="U84:U92">SUM(S84:T84)</f>
        <v>2000</v>
      </c>
      <c r="V84" s="62"/>
      <c r="W84" s="62">
        <f aca="true" t="shared" si="72" ref="W84:W92">SUM(U84:V84)</f>
        <v>2000</v>
      </c>
      <c r="X84" s="62"/>
      <c r="Y84" s="62">
        <f aca="true" t="shared" si="73" ref="Y84:Y92">SUM(W84:X84)</f>
        <v>2000</v>
      </c>
      <c r="Z84" s="62"/>
      <c r="AA84" s="62">
        <f aca="true" t="shared" si="74" ref="AA84:AA92">SUM(Y84:Z84)</f>
        <v>2000</v>
      </c>
      <c r="AB84" s="62"/>
      <c r="AC84" s="62">
        <f aca="true" t="shared" si="75" ref="AC84:AC92">SUM(AA84:AB84)</f>
        <v>2000</v>
      </c>
      <c r="AD84" s="79"/>
      <c r="AE84" s="79"/>
    </row>
    <row r="85" spans="1:29" s="25" customFormat="1" ht="21" customHeight="1">
      <c r="A85" s="66"/>
      <c r="B85" s="63"/>
      <c r="C85" s="49">
        <v>4210</v>
      </c>
      <c r="D85" s="36" t="s">
        <v>86</v>
      </c>
      <c r="E85" s="62">
        <v>17500</v>
      </c>
      <c r="F85" s="62"/>
      <c r="G85" s="62">
        <f t="shared" si="64"/>
        <v>17500</v>
      </c>
      <c r="H85" s="62"/>
      <c r="I85" s="62">
        <f t="shared" si="65"/>
        <v>17500</v>
      </c>
      <c r="J85" s="62"/>
      <c r="K85" s="62">
        <f t="shared" si="66"/>
        <v>17500</v>
      </c>
      <c r="L85" s="62">
        <v>14000</v>
      </c>
      <c r="M85" s="62">
        <f t="shared" si="67"/>
        <v>31500</v>
      </c>
      <c r="N85" s="62"/>
      <c r="O85" s="62">
        <f t="shared" si="68"/>
        <v>31500</v>
      </c>
      <c r="P85" s="62"/>
      <c r="Q85" s="62">
        <f t="shared" si="69"/>
        <v>31500</v>
      </c>
      <c r="R85" s="62"/>
      <c r="S85" s="62">
        <f t="shared" si="70"/>
        <v>31500</v>
      </c>
      <c r="T85" s="62"/>
      <c r="U85" s="62">
        <f t="shared" si="71"/>
        <v>31500</v>
      </c>
      <c r="V85" s="62"/>
      <c r="W85" s="62">
        <f t="shared" si="72"/>
        <v>31500</v>
      </c>
      <c r="X85" s="62"/>
      <c r="Y85" s="62">
        <f t="shared" si="73"/>
        <v>31500</v>
      </c>
      <c r="Z85" s="62"/>
      <c r="AA85" s="62">
        <f t="shared" si="74"/>
        <v>31500</v>
      </c>
      <c r="AB85" s="62"/>
      <c r="AC85" s="62">
        <f t="shared" si="75"/>
        <v>31500</v>
      </c>
    </row>
    <row r="86" spans="1:29" s="25" customFormat="1" ht="21" customHeight="1">
      <c r="A86" s="66"/>
      <c r="B86" s="63"/>
      <c r="C86" s="49">
        <v>4300</v>
      </c>
      <c r="D86" s="36" t="s">
        <v>75</v>
      </c>
      <c r="E86" s="62">
        <v>22000</v>
      </c>
      <c r="F86" s="62"/>
      <c r="G86" s="62">
        <f t="shared" si="64"/>
        <v>22000</v>
      </c>
      <c r="H86" s="62"/>
      <c r="I86" s="62">
        <f t="shared" si="65"/>
        <v>22000</v>
      </c>
      <c r="J86" s="62"/>
      <c r="K86" s="62">
        <f t="shared" si="66"/>
        <v>22000</v>
      </c>
      <c r="L86" s="62"/>
      <c r="M86" s="62">
        <f t="shared" si="67"/>
        <v>22000</v>
      </c>
      <c r="N86" s="62"/>
      <c r="O86" s="62">
        <f t="shared" si="68"/>
        <v>22000</v>
      </c>
      <c r="P86" s="62"/>
      <c r="Q86" s="62">
        <f t="shared" si="69"/>
        <v>22000</v>
      </c>
      <c r="R86" s="62"/>
      <c r="S86" s="62">
        <f t="shared" si="70"/>
        <v>22000</v>
      </c>
      <c r="T86" s="62"/>
      <c r="U86" s="62">
        <f t="shared" si="71"/>
        <v>22000</v>
      </c>
      <c r="V86" s="62"/>
      <c r="W86" s="62">
        <f t="shared" si="72"/>
        <v>22000</v>
      </c>
      <c r="X86" s="62"/>
      <c r="Y86" s="62">
        <f t="shared" si="73"/>
        <v>22000</v>
      </c>
      <c r="Z86" s="62"/>
      <c r="AA86" s="62">
        <f t="shared" si="74"/>
        <v>22000</v>
      </c>
      <c r="AB86" s="62"/>
      <c r="AC86" s="62">
        <f t="shared" si="75"/>
        <v>22000</v>
      </c>
    </row>
    <row r="87" spans="1:29" s="25" customFormat="1" ht="24">
      <c r="A87" s="66"/>
      <c r="B87" s="63"/>
      <c r="C87" s="49">
        <v>4370</v>
      </c>
      <c r="D87" s="36" t="s">
        <v>182</v>
      </c>
      <c r="E87" s="62">
        <v>100</v>
      </c>
      <c r="F87" s="62"/>
      <c r="G87" s="62">
        <f t="shared" si="64"/>
        <v>100</v>
      </c>
      <c r="H87" s="62"/>
      <c r="I87" s="62">
        <f t="shared" si="65"/>
        <v>100</v>
      </c>
      <c r="J87" s="62"/>
      <c r="K87" s="62">
        <f t="shared" si="66"/>
        <v>100</v>
      </c>
      <c r="L87" s="62"/>
      <c r="M87" s="62">
        <f t="shared" si="67"/>
        <v>100</v>
      </c>
      <c r="N87" s="62"/>
      <c r="O87" s="62">
        <f t="shared" si="68"/>
        <v>100</v>
      </c>
      <c r="P87" s="62"/>
      <c r="Q87" s="62">
        <f t="shared" si="69"/>
        <v>100</v>
      </c>
      <c r="R87" s="62"/>
      <c r="S87" s="62">
        <f t="shared" si="70"/>
        <v>100</v>
      </c>
      <c r="T87" s="62"/>
      <c r="U87" s="62">
        <f t="shared" si="71"/>
        <v>100</v>
      </c>
      <c r="V87" s="62"/>
      <c r="W87" s="62">
        <f t="shared" si="72"/>
        <v>100</v>
      </c>
      <c r="X87" s="62"/>
      <c r="Y87" s="62">
        <f t="shared" si="73"/>
        <v>100</v>
      </c>
      <c r="Z87" s="62"/>
      <c r="AA87" s="62">
        <f t="shared" si="74"/>
        <v>100</v>
      </c>
      <c r="AB87" s="62"/>
      <c r="AC87" s="62">
        <f t="shared" si="75"/>
        <v>100</v>
      </c>
    </row>
    <row r="88" spans="1:29" s="25" customFormat="1" ht="21" customHeight="1">
      <c r="A88" s="66"/>
      <c r="B88" s="63"/>
      <c r="C88" s="49">
        <v>4410</v>
      </c>
      <c r="D88" s="36" t="s">
        <v>85</v>
      </c>
      <c r="E88" s="62">
        <v>4000</v>
      </c>
      <c r="F88" s="62"/>
      <c r="G88" s="62">
        <f t="shared" si="64"/>
        <v>4000</v>
      </c>
      <c r="H88" s="62"/>
      <c r="I88" s="62">
        <f t="shared" si="65"/>
        <v>4000</v>
      </c>
      <c r="J88" s="62"/>
      <c r="K88" s="62">
        <f t="shared" si="66"/>
        <v>4000</v>
      </c>
      <c r="L88" s="62"/>
      <c r="M88" s="62">
        <f t="shared" si="67"/>
        <v>4000</v>
      </c>
      <c r="N88" s="62"/>
      <c r="O88" s="62">
        <f t="shared" si="68"/>
        <v>4000</v>
      </c>
      <c r="P88" s="62"/>
      <c r="Q88" s="62">
        <f t="shared" si="69"/>
        <v>4000</v>
      </c>
      <c r="R88" s="62"/>
      <c r="S88" s="62">
        <f t="shared" si="70"/>
        <v>4000</v>
      </c>
      <c r="T88" s="62"/>
      <c r="U88" s="62">
        <f t="shared" si="71"/>
        <v>4000</v>
      </c>
      <c r="V88" s="62"/>
      <c r="W88" s="62">
        <f t="shared" si="72"/>
        <v>4000</v>
      </c>
      <c r="X88" s="62"/>
      <c r="Y88" s="62">
        <f t="shared" si="73"/>
        <v>4000</v>
      </c>
      <c r="Z88" s="62"/>
      <c r="AA88" s="62">
        <f t="shared" si="74"/>
        <v>4000</v>
      </c>
      <c r="AB88" s="62"/>
      <c r="AC88" s="62">
        <f t="shared" si="75"/>
        <v>4000</v>
      </c>
    </row>
    <row r="89" spans="1:29" s="25" customFormat="1" ht="21" customHeight="1">
      <c r="A89" s="66"/>
      <c r="B89" s="63"/>
      <c r="C89" s="49">
        <v>4420</v>
      </c>
      <c r="D89" s="36" t="s">
        <v>410</v>
      </c>
      <c r="E89" s="62">
        <v>2000</v>
      </c>
      <c r="F89" s="62"/>
      <c r="G89" s="62">
        <f t="shared" si="64"/>
        <v>2000</v>
      </c>
      <c r="H89" s="62"/>
      <c r="I89" s="62">
        <f t="shared" si="65"/>
        <v>2000</v>
      </c>
      <c r="J89" s="62"/>
      <c r="K89" s="62">
        <f t="shared" si="66"/>
        <v>2000</v>
      </c>
      <c r="L89" s="62"/>
      <c r="M89" s="62">
        <f t="shared" si="67"/>
        <v>2000</v>
      </c>
      <c r="N89" s="62"/>
      <c r="O89" s="62">
        <f t="shared" si="68"/>
        <v>2000</v>
      </c>
      <c r="P89" s="62"/>
      <c r="Q89" s="62">
        <f t="shared" si="69"/>
        <v>2000</v>
      </c>
      <c r="R89" s="62"/>
      <c r="S89" s="62">
        <f t="shared" si="70"/>
        <v>2000</v>
      </c>
      <c r="T89" s="62"/>
      <c r="U89" s="62">
        <f t="shared" si="71"/>
        <v>2000</v>
      </c>
      <c r="V89" s="62"/>
      <c r="W89" s="62">
        <f t="shared" si="72"/>
        <v>2000</v>
      </c>
      <c r="X89" s="62"/>
      <c r="Y89" s="62">
        <f t="shared" si="73"/>
        <v>2000</v>
      </c>
      <c r="Z89" s="62"/>
      <c r="AA89" s="62">
        <f t="shared" si="74"/>
        <v>2000</v>
      </c>
      <c r="AB89" s="62"/>
      <c r="AC89" s="62">
        <f t="shared" si="75"/>
        <v>2000</v>
      </c>
    </row>
    <row r="90" spans="1:29" s="25" customFormat="1" ht="21" customHeight="1">
      <c r="A90" s="66"/>
      <c r="B90" s="63"/>
      <c r="C90" s="201">
        <v>4430</v>
      </c>
      <c r="D90" s="36" t="s">
        <v>87</v>
      </c>
      <c r="E90" s="62">
        <v>500</v>
      </c>
      <c r="F90" s="62"/>
      <c r="G90" s="62">
        <f t="shared" si="64"/>
        <v>500</v>
      </c>
      <c r="H90" s="62"/>
      <c r="I90" s="62">
        <f t="shared" si="65"/>
        <v>500</v>
      </c>
      <c r="J90" s="62"/>
      <c r="K90" s="62">
        <f t="shared" si="66"/>
        <v>500</v>
      </c>
      <c r="L90" s="62"/>
      <c r="M90" s="62">
        <f t="shared" si="67"/>
        <v>500</v>
      </c>
      <c r="N90" s="62"/>
      <c r="O90" s="62">
        <f t="shared" si="68"/>
        <v>500</v>
      </c>
      <c r="P90" s="62"/>
      <c r="Q90" s="62">
        <f t="shared" si="69"/>
        <v>500</v>
      </c>
      <c r="R90" s="62"/>
      <c r="S90" s="62">
        <f t="shared" si="70"/>
        <v>500</v>
      </c>
      <c r="T90" s="62"/>
      <c r="U90" s="62">
        <f t="shared" si="71"/>
        <v>500</v>
      </c>
      <c r="V90" s="62"/>
      <c r="W90" s="62">
        <f t="shared" si="72"/>
        <v>500</v>
      </c>
      <c r="X90" s="62"/>
      <c r="Y90" s="62">
        <f t="shared" si="73"/>
        <v>500</v>
      </c>
      <c r="Z90" s="62"/>
      <c r="AA90" s="62">
        <f t="shared" si="74"/>
        <v>500</v>
      </c>
      <c r="AB90" s="62"/>
      <c r="AC90" s="62">
        <f t="shared" si="75"/>
        <v>500</v>
      </c>
    </row>
    <row r="91" spans="1:29" s="25" customFormat="1" ht="36">
      <c r="A91" s="66"/>
      <c r="B91" s="63"/>
      <c r="C91" s="201">
        <v>4740</v>
      </c>
      <c r="D91" s="36" t="s">
        <v>411</v>
      </c>
      <c r="E91" s="62">
        <v>2000</v>
      </c>
      <c r="F91" s="62"/>
      <c r="G91" s="62">
        <f t="shared" si="64"/>
        <v>2000</v>
      </c>
      <c r="H91" s="62"/>
      <c r="I91" s="62">
        <f t="shared" si="65"/>
        <v>2000</v>
      </c>
      <c r="J91" s="62"/>
      <c r="K91" s="62">
        <f t="shared" si="66"/>
        <v>2000</v>
      </c>
      <c r="L91" s="62"/>
      <c r="M91" s="62">
        <f t="shared" si="67"/>
        <v>2000</v>
      </c>
      <c r="N91" s="62"/>
      <c r="O91" s="62">
        <f t="shared" si="68"/>
        <v>2000</v>
      </c>
      <c r="P91" s="62"/>
      <c r="Q91" s="62">
        <f t="shared" si="69"/>
        <v>2000</v>
      </c>
      <c r="R91" s="62"/>
      <c r="S91" s="62">
        <f t="shared" si="70"/>
        <v>2000</v>
      </c>
      <c r="T91" s="62"/>
      <c r="U91" s="62">
        <f t="shared" si="71"/>
        <v>2000</v>
      </c>
      <c r="V91" s="62"/>
      <c r="W91" s="62">
        <f t="shared" si="72"/>
        <v>2000</v>
      </c>
      <c r="X91" s="62"/>
      <c r="Y91" s="62">
        <f t="shared" si="73"/>
        <v>2000</v>
      </c>
      <c r="Z91" s="62"/>
      <c r="AA91" s="62">
        <f t="shared" si="74"/>
        <v>2000</v>
      </c>
      <c r="AB91" s="62"/>
      <c r="AC91" s="62">
        <f t="shared" si="75"/>
        <v>2000</v>
      </c>
    </row>
    <row r="92" spans="1:29" s="25" customFormat="1" ht="24">
      <c r="A92" s="66"/>
      <c r="B92" s="63"/>
      <c r="C92" s="201">
        <v>4750</v>
      </c>
      <c r="D92" s="36" t="s">
        <v>401</v>
      </c>
      <c r="E92" s="62">
        <v>1000</v>
      </c>
      <c r="F92" s="62"/>
      <c r="G92" s="62">
        <f t="shared" si="64"/>
        <v>1000</v>
      </c>
      <c r="H92" s="62"/>
      <c r="I92" s="62">
        <f t="shared" si="65"/>
        <v>1000</v>
      </c>
      <c r="J92" s="62"/>
      <c r="K92" s="62">
        <f t="shared" si="66"/>
        <v>1000</v>
      </c>
      <c r="L92" s="62"/>
      <c r="M92" s="62">
        <f t="shared" si="67"/>
        <v>1000</v>
      </c>
      <c r="N92" s="62"/>
      <c r="O92" s="62">
        <f t="shared" si="68"/>
        <v>1000</v>
      </c>
      <c r="P92" s="62"/>
      <c r="Q92" s="62">
        <f t="shared" si="69"/>
        <v>1000</v>
      </c>
      <c r="R92" s="62"/>
      <c r="S92" s="62">
        <f t="shared" si="70"/>
        <v>1000</v>
      </c>
      <c r="T92" s="62"/>
      <c r="U92" s="62">
        <f t="shared" si="71"/>
        <v>1000</v>
      </c>
      <c r="V92" s="62"/>
      <c r="W92" s="62">
        <f t="shared" si="72"/>
        <v>1000</v>
      </c>
      <c r="X92" s="62"/>
      <c r="Y92" s="62">
        <f t="shared" si="73"/>
        <v>1000</v>
      </c>
      <c r="Z92" s="62"/>
      <c r="AA92" s="62">
        <f t="shared" si="74"/>
        <v>1000</v>
      </c>
      <c r="AB92" s="62"/>
      <c r="AC92" s="62">
        <f t="shared" si="75"/>
        <v>1000</v>
      </c>
    </row>
    <row r="93" spans="1:29" s="25" customFormat="1" ht="24">
      <c r="A93" s="66"/>
      <c r="B93" s="63" t="s">
        <v>17</v>
      </c>
      <c r="C93" s="66"/>
      <c r="D93" s="36" t="s">
        <v>18</v>
      </c>
      <c r="E93" s="62">
        <f aca="true" t="shared" si="76" ref="E93:W93">SUM(E94:E117)</f>
        <v>5019517</v>
      </c>
      <c r="F93" s="62">
        <f t="shared" si="76"/>
        <v>-380000</v>
      </c>
      <c r="G93" s="62">
        <f t="shared" si="76"/>
        <v>4639517</v>
      </c>
      <c r="H93" s="62">
        <f t="shared" si="76"/>
        <v>0</v>
      </c>
      <c r="I93" s="62">
        <f t="shared" si="76"/>
        <v>4639517</v>
      </c>
      <c r="J93" s="62">
        <f t="shared" si="76"/>
        <v>0</v>
      </c>
      <c r="K93" s="62">
        <f t="shared" si="76"/>
        <v>4639517</v>
      </c>
      <c r="L93" s="62">
        <f t="shared" si="76"/>
        <v>0</v>
      </c>
      <c r="M93" s="62">
        <f t="shared" si="76"/>
        <v>4639517</v>
      </c>
      <c r="N93" s="62">
        <f t="shared" si="76"/>
        <v>-1000</v>
      </c>
      <c r="O93" s="62">
        <f t="shared" si="76"/>
        <v>4638517</v>
      </c>
      <c r="P93" s="62">
        <f t="shared" si="76"/>
        <v>0</v>
      </c>
      <c r="Q93" s="62">
        <f t="shared" si="76"/>
        <v>4638517</v>
      </c>
      <c r="R93" s="62">
        <f t="shared" si="76"/>
        <v>2000</v>
      </c>
      <c r="S93" s="62">
        <f t="shared" si="76"/>
        <v>4640517</v>
      </c>
      <c r="T93" s="62">
        <f t="shared" si="76"/>
        <v>-1500</v>
      </c>
      <c r="U93" s="62">
        <f t="shared" si="76"/>
        <v>4639017</v>
      </c>
      <c r="V93" s="62">
        <f t="shared" si="76"/>
        <v>0</v>
      </c>
      <c r="W93" s="62">
        <f t="shared" si="76"/>
        <v>4639017</v>
      </c>
      <c r="X93" s="62">
        <f aca="true" t="shared" si="77" ref="X93:AC93">SUM(X94:X117)</f>
        <v>0</v>
      </c>
      <c r="Y93" s="62">
        <f t="shared" si="77"/>
        <v>4639017</v>
      </c>
      <c r="Z93" s="62">
        <f t="shared" si="77"/>
        <v>-40000</v>
      </c>
      <c r="AA93" s="62">
        <f t="shared" si="77"/>
        <v>4599017</v>
      </c>
      <c r="AB93" s="62">
        <f t="shared" si="77"/>
        <v>0</v>
      </c>
      <c r="AC93" s="62">
        <f t="shared" si="77"/>
        <v>4599017</v>
      </c>
    </row>
    <row r="94" spans="1:29" s="25" customFormat="1" ht="21" customHeight="1">
      <c r="A94" s="66"/>
      <c r="B94" s="63"/>
      <c r="C94" s="49">
        <v>3020</v>
      </c>
      <c r="D94" s="36" t="s">
        <v>159</v>
      </c>
      <c r="E94" s="62">
        <v>24500</v>
      </c>
      <c r="F94" s="62"/>
      <c r="G94" s="62">
        <f>SUM(E94:F94)</f>
        <v>24500</v>
      </c>
      <c r="H94" s="62"/>
      <c r="I94" s="62">
        <f>SUM(G94:H94)</f>
        <v>24500</v>
      </c>
      <c r="J94" s="62"/>
      <c r="K94" s="62">
        <f>SUM(I94:J94)</f>
        <v>24500</v>
      </c>
      <c r="L94" s="62"/>
      <c r="M94" s="62">
        <f>SUM(K94:L94)</f>
        <v>24500</v>
      </c>
      <c r="N94" s="62"/>
      <c r="O94" s="62">
        <f>SUM(M94:N94)</f>
        <v>24500</v>
      </c>
      <c r="P94" s="62"/>
      <c r="Q94" s="62">
        <f>SUM(O94:P94)</f>
        <v>24500</v>
      </c>
      <c r="R94" s="62"/>
      <c r="S94" s="62">
        <f>SUM(Q94:R94)</f>
        <v>24500</v>
      </c>
      <c r="T94" s="62"/>
      <c r="U94" s="62">
        <f>SUM(S94:T94)</f>
        <v>24500</v>
      </c>
      <c r="V94" s="62"/>
      <c r="W94" s="62">
        <f>SUM(U94:V94)</f>
        <v>24500</v>
      </c>
      <c r="X94" s="62"/>
      <c r="Y94" s="62">
        <f>SUM(W94:X94)</f>
        <v>24500</v>
      </c>
      <c r="Z94" s="62">
        <v>-6000</v>
      </c>
      <c r="AA94" s="62">
        <f>SUM(Y94:Z94)</f>
        <v>18500</v>
      </c>
      <c r="AB94" s="62"/>
      <c r="AC94" s="62">
        <f>SUM(AA94:AB94)</f>
        <v>18500</v>
      </c>
    </row>
    <row r="95" spans="1:31" s="25" customFormat="1" ht="21" customHeight="1">
      <c r="A95" s="66"/>
      <c r="B95" s="63"/>
      <c r="C95" s="49">
        <v>4010</v>
      </c>
      <c r="D95" s="36" t="s">
        <v>79</v>
      </c>
      <c r="E95" s="62">
        <f>3084359-100000</f>
        <v>2984359</v>
      </c>
      <c r="F95" s="207">
        <v>-165000</v>
      </c>
      <c r="G95" s="62">
        <f aca="true" t="shared" si="78" ref="G95:G117">SUM(E95:F95)</f>
        <v>2819359</v>
      </c>
      <c r="H95" s="207"/>
      <c r="I95" s="62">
        <f aca="true" t="shared" si="79" ref="I95:I117">SUM(G95:H95)</f>
        <v>2819359</v>
      </c>
      <c r="J95" s="207"/>
      <c r="K95" s="62">
        <f aca="true" t="shared" si="80" ref="K95:K117">SUM(I95:J95)</f>
        <v>2819359</v>
      </c>
      <c r="L95" s="207"/>
      <c r="M95" s="62">
        <f aca="true" t="shared" si="81" ref="M95:M117">SUM(K95:L95)</f>
        <v>2819359</v>
      </c>
      <c r="N95" s="207"/>
      <c r="O95" s="62">
        <f aca="true" t="shared" si="82" ref="O95:O117">SUM(M95:N95)</f>
        <v>2819359</v>
      </c>
      <c r="P95" s="207"/>
      <c r="Q95" s="62">
        <f aca="true" t="shared" si="83" ref="Q95:Q117">SUM(O95:P95)</f>
        <v>2819359</v>
      </c>
      <c r="R95" s="207"/>
      <c r="S95" s="62">
        <f aca="true" t="shared" si="84" ref="S95:S117">SUM(Q95:R95)</f>
        <v>2819359</v>
      </c>
      <c r="T95" s="207"/>
      <c r="U95" s="62">
        <f aca="true" t="shared" si="85" ref="U95:U117">SUM(S95:T95)</f>
        <v>2819359</v>
      </c>
      <c r="V95" s="62">
        <v>6120</v>
      </c>
      <c r="W95" s="62">
        <f aca="true" t="shared" si="86" ref="W95:W117">SUM(U95:V95)</f>
        <v>2825479</v>
      </c>
      <c r="X95" s="62"/>
      <c r="Y95" s="62">
        <f aca="true" t="shared" si="87" ref="Y95:Y117">SUM(W95:X95)</f>
        <v>2825479</v>
      </c>
      <c r="Z95" s="62">
        <v>-5000</v>
      </c>
      <c r="AA95" s="62">
        <f aca="true" t="shared" si="88" ref="AA95:AA117">SUM(Y95:Z95)</f>
        <v>2820479</v>
      </c>
      <c r="AB95" s="62"/>
      <c r="AC95" s="62">
        <f aca="true" t="shared" si="89" ref="AC95:AC117">SUM(AA95:AB95)</f>
        <v>2820479</v>
      </c>
      <c r="AD95" s="79"/>
      <c r="AE95" s="79"/>
    </row>
    <row r="96" spans="1:31" s="25" customFormat="1" ht="21" customHeight="1">
      <c r="A96" s="66"/>
      <c r="B96" s="63"/>
      <c r="C96" s="49">
        <v>4040</v>
      </c>
      <c r="D96" s="36" t="s">
        <v>80</v>
      </c>
      <c r="E96" s="62">
        <v>182000</v>
      </c>
      <c r="F96" s="62"/>
      <c r="G96" s="62">
        <f t="shared" si="78"/>
        <v>182000</v>
      </c>
      <c r="H96" s="62"/>
      <c r="I96" s="62">
        <f t="shared" si="79"/>
        <v>182000</v>
      </c>
      <c r="J96" s="62"/>
      <c r="K96" s="62">
        <f t="shared" si="80"/>
        <v>182000</v>
      </c>
      <c r="L96" s="62"/>
      <c r="M96" s="62">
        <f t="shared" si="81"/>
        <v>182000</v>
      </c>
      <c r="N96" s="62"/>
      <c r="O96" s="62">
        <f t="shared" si="82"/>
        <v>182000</v>
      </c>
      <c r="P96" s="62"/>
      <c r="Q96" s="62">
        <f t="shared" si="83"/>
        <v>182000</v>
      </c>
      <c r="R96" s="62"/>
      <c r="S96" s="62">
        <f t="shared" si="84"/>
        <v>182000</v>
      </c>
      <c r="T96" s="62"/>
      <c r="U96" s="62">
        <f t="shared" si="85"/>
        <v>182000</v>
      </c>
      <c r="V96" s="62">
        <v>-6120</v>
      </c>
      <c r="W96" s="62">
        <f t="shared" si="86"/>
        <v>175880</v>
      </c>
      <c r="X96" s="62"/>
      <c r="Y96" s="62">
        <f t="shared" si="87"/>
        <v>175880</v>
      </c>
      <c r="Z96" s="62"/>
      <c r="AA96" s="62">
        <f t="shared" si="88"/>
        <v>175880</v>
      </c>
      <c r="AB96" s="62"/>
      <c r="AC96" s="62">
        <f t="shared" si="89"/>
        <v>175880</v>
      </c>
      <c r="AD96" s="79"/>
      <c r="AE96" s="79"/>
    </row>
    <row r="97" spans="1:31" s="25" customFormat="1" ht="21" customHeight="1">
      <c r="A97" s="66"/>
      <c r="B97" s="63"/>
      <c r="C97" s="49">
        <v>4110</v>
      </c>
      <c r="D97" s="36" t="s">
        <v>81</v>
      </c>
      <c r="E97" s="62">
        <f>511390-15000</f>
        <v>496390</v>
      </c>
      <c r="F97" s="62">
        <v>-30000</v>
      </c>
      <c r="G97" s="62">
        <f t="shared" si="78"/>
        <v>466390</v>
      </c>
      <c r="H97" s="62"/>
      <c r="I97" s="62">
        <f t="shared" si="79"/>
        <v>466390</v>
      </c>
      <c r="J97" s="62"/>
      <c r="K97" s="62">
        <f t="shared" si="80"/>
        <v>466390</v>
      </c>
      <c r="L97" s="62"/>
      <c r="M97" s="62">
        <f t="shared" si="81"/>
        <v>466390</v>
      </c>
      <c r="N97" s="62"/>
      <c r="O97" s="62">
        <f t="shared" si="82"/>
        <v>466390</v>
      </c>
      <c r="P97" s="62"/>
      <c r="Q97" s="62">
        <f t="shared" si="83"/>
        <v>466390</v>
      </c>
      <c r="R97" s="62"/>
      <c r="S97" s="62">
        <f t="shared" si="84"/>
        <v>466390</v>
      </c>
      <c r="T97" s="62"/>
      <c r="U97" s="62">
        <f t="shared" si="85"/>
        <v>466390</v>
      </c>
      <c r="V97" s="62"/>
      <c r="W97" s="62">
        <f t="shared" si="86"/>
        <v>466390</v>
      </c>
      <c r="X97" s="62"/>
      <c r="Y97" s="62">
        <f t="shared" si="87"/>
        <v>466390</v>
      </c>
      <c r="Z97" s="62">
        <v>-5000</v>
      </c>
      <c r="AA97" s="62">
        <f t="shared" si="88"/>
        <v>461390</v>
      </c>
      <c r="AB97" s="62"/>
      <c r="AC97" s="62">
        <f t="shared" si="89"/>
        <v>461390</v>
      </c>
      <c r="AD97" s="79"/>
      <c r="AE97" s="79"/>
    </row>
    <row r="98" spans="1:31" s="25" customFormat="1" ht="21" customHeight="1">
      <c r="A98" s="66"/>
      <c r="B98" s="63"/>
      <c r="C98" s="49">
        <v>4120</v>
      </c>
      <c r="D98" s="36" t="s">
        <v>82</v>
      </c>
      <c r="E98" s="62">
        <v>91712</v>
      </c>
      <c r="F98" s="62">
        <v>-5000</v>
      </c>
      <c r="G98" s="62">
        <f t="shared" si="78"/>
        <v>86712</v>
      </c>
      <c r="H98" s="62"/>
      <c r="I98" s="62">
        <f t="shared" si="79"/>
        <v>86712</v>
      </c>
      <c r="J98" s="62"/>
      <c r="K98" s="62">
        <f t="shared" si="80"/>
        <v>86712</v>
      </c>
      <c r="L98" s="62"/>
      <c r="M98" s="62">
        <f t="shared" si="81"/>
        <v>86712</v>
      </c>
      <c r="N98" s="62"/>
      <c r="O98" s="62">
        <f t="shared" si="82"/>
        <v>86712</v>
      </c>
      <c r="P98" s="62"/>
      <c r="Q98" s="62">
        <f t="shared" si="83"/>
        <v>86712</v>
      </c>
      <c r="R98" s="62"/>
      <c r="S98" s="62">
        <f t="shared" si="84"/>
        <v>86712</v>
      </c>
      <c r="T98" s="62"/>
      <c r="U98" s="62">
        <f t="shared" si="85"/>
        <v>86712</v>
      </c>
      <c r="V98" s="62"/>
      <c r="W98" s="62">
        <f t="shared" si="86"/>
        <v>86712</v>
      </c>
      <c r="X98" s="62"/>
      <c r="Y98" s="62">
        <f t="shared" si="87"/>
        <v>86712</v>
      </c>
      <c r="Z98" s="62"/>
      <c r="AA98" s="62">
        <f t="shared" si="88"/>
        <v>86712</v>
      </c>
      <c r="AB98" s="62"/>
      <c r="AC98" s="62">
        <f t="shared" si="89"/>
        <v>86712</v>
      </c>
      <c r="AD98" s="79"/>
      <c r="AE98" s="79"/>
    </row>
    <row r="99" spans="1:31" s="25" customFormat="1" ht="21" customHeight="1">
      <c r="A99" s="66"/>
      <c r="B99" s="63"/>
      <c r="C99" s="49">
        <v>4170</v>
      </c>
      <c r="D99" s="36" t="s">
        <v>161</v>
      </c>
      <c r="E99" s="62">
        <v>23728</v>
      </c>
      <c r="F99" s="62"/>
      <c r="G99" s="62">
        <f t="shared" si="78"/>
        <v>23728</v>
      </c>
      <c r="H99" s="62"/>
      <c r="I99" s="62">
        <f t="shared" si="79"/>
        <v>23728</v>
      </c>
      <c r="J99" s="62">
        <v>8000</v>
      </c>
      <c r="K99" s="62">
        <f t="shared" si="80"/>
        <v>31728</v>
      </c>
      <c r="L99" s="62">
        <v>10000</v>
      </c>
      <c r="M99" s="62">
        <f t="shared" si="81"/>
        <v>41728</v>
      </c>
      <c r="N99" s="62"/>
      <c r="O99" s="62">
        <f t="shared" si="82"/>
        <v>41728</v>
      </c>
      <c r="P99" s="62"/>
      <c r="Q99" s="62">
        <f t="shared" si="83"/>
        <v>41728</v>
      </c>
      <c r="R99" s="62">
        <v>2000</v>
      </c>
      <c r="S99" s="62">
        <f t="shared" si="84"/>
        <v>43728</v>
      </c>
      <c r="T99" s="62"/>
      <c r="U99" s="62">
        <f t="shared" si="85"/>
        <v>43728</v>
      </c>
      <c r="V99" s="62"/>
      <c r="W99" s="62">
        <f t="shared" si="86"/>
        <v>43728</v>
      </c>
      <c r="X99" s="62"/>
      <c r="Y99" s="62">
        <f t="shared" si="87"/>
        <v>43728</v>
      </c>
      <c r="Z99" s="62">
        <v>25000</v>
      </c>
      <c r="AA99" s="62">
        <f t="shared" si="88"/>
        <v>68728</v>
      </c>
      <c r="AB99" s="62"/>
      <c r="AC99" s="62">
        <f t="shared" si="89"/>
        <v>68728</v>
      </c>
      <c r="AD99" s="79"/>
      <c r="AE99" s="79"/>
    </row>
    <row r="100" spans="1:29" s="25" customFormat="1" ht="21" customHeight="1">
      <c r="A100" s="66"/>
      <c r="B100" s="63"/>
      <c r="C100" s="49">
        <v>4210</v>
      </c>
      <c r="D100" s="36" t="s">
        <v>86</v>
      </c>
      <c r="E100" s="62">
        <v>216450</v>
      </c>
      <c r="F100" s="207">
        <f>-60000</f>
        <v>-60000</v>
      </c>
      <c r="G100" s="62">
        <f t="shared" si="78"/>
        <v>156450</v>
      </c>
      <c r="H100" s="207"/>
      <c r="I100" s="62">
        <f t="shared" si="79"/>
        <v>156450</v>
      </c>
      <c r="J100" s="207"/>
      <c r="K100" s="62">
        <f t="shared" si="80"/>
        <v>156450</v>
      </c>
      <c r="L100" s="207"/>
      <c r="M100" s="62">
        <f t="shared" si="81"/>
        <v>156450</v>
      </c>
      <c r="N100" s="62">
        <v>3000</v>
      </c>
      <c r="O100" s="62">
        <f t="shared" si="82"/>
        <v>159450</v>
      </c>
      <c r="P100" s="62"/>
      <c r="Q100" s="62">
        <f t="shared" si="83"/>
        <v>159450</v>
      </c>
      <c r="R100" s="62"/>
      <c r="S100" s="62">
        <f t="shared" si="84"/>
        <v>159450</v>
      </c>
      <c r="T100" s="62"/>
      <c r="U100" s="62">
        <f t="shared" si="85"/>
        <v>159450</v>
      </c>
      <c r="V100" s="62"/>
      <c r="W100" s="62">
        <f t="shared" si="86"/>
        <v>159450</v>
      </c>
      <c r="X100" s="62"/>
      <c r="Y100" s="62">
        <f t="shared" si="87"/>
        <v>159450</v>
      </c>
      <c r="Z100" s="62">
        <v>-4000</v>
      </c>
      <c r="AA100" s="62">
        <f t="shared" si="88"/>
        <v>155450</v>
      </c>
      <c r="AB100" s="62"/>
      <c r="AC100" s="62">
        <f t="shared" si="89"/>
        <v>155450</v>
      </c>
    </row>
    <row r="101" spans="1:29" s="25" customFormat="1" ht="21" customHeight="1">
      <c r="A101" s="66"/>
      <c r="B101" s="63"/>
      <c r="C101" s="49">
        <v>4260</v>
      </c>
      <c r="D101" s="36" t="s">
        <v>88</v>
      </c>
      <c r="E101" s="62">
        <v>89200</v>
      </c>
      <c r="F101" s="62"/>
      <c r="G101" s="62">
        <f t="shared" si="78"/>
        <v>89200</v>
      </c>
      <c r="H101" s="62"/>
      <c r="I101" s="62">
        <f t="shared" si="79"/>
        <v>89200</v>
      </c>
      <c r="J101" s="62"/>
      <c r="K101" s="62">
        <f t="shared" si="80"/>
        <v>89200</v>
      </c>
      <c r="L101" s="62"/>
      <c r="M101" s="62">
        <f t="shared" si="81"/>
        <v>89200</v>
      </c>
      <c r="N101" s="62"/>
      <c r="O101" s="62">
        <f t="shared" si="82"/>
        <v>89200</v>
      </c>
      <c r="P101" s="62"/>
      <c r="Q101" s="62">
        <f t="shared" si="83"/>
        <v>89200</v>
      </c>
      <c r="R101" s="62"/>
      <c r="S101" s="62">
        <f t="shared" si="84"/>
        <v>89200</v>
      </c>
      <c r="T101" s="62"/>
      <c r="U101" s="62">
        <f t="shared" si="85"/>
        <v>89200</v>
      </c>
      <c r="V101" s="62"/>
      <c r="W101" s="62">
        <f t="shared" si="86"/>
        <v>89200</v>
      </c>
      <c r="X101" s="62"/>
      <c r="Y101" s="62">
        <f t="shared" si="87"/>
        <v>89200</v>
      </c>
      <c r="Z101" s="62">
        <v>29000</v>
      </c>
      <c r="AA101" s="62">
        <f t="shared" si="88"/>
        <v>118200</v>
      </c>
      <c r="AB101" s="62"/>
      <c r="AC101" s="62">
        <f t="shared" si="89"/>
        <v>118200</v>
      </c>
    </row>
    <row r="102" spans="1:29" s="25" customFormat="1" ht="21" customHeight="1">
      <c r="A102" s="66"/>
      <c r="B102" s="63"/>
      <c r="C102" s="49">
        <v>4270</v>
      </c>
      <c r="D102" s="36" t="s">
        <v>74</v>
      </c>
      <c r="E102" s="62">
        <f>10000+100000+20000</f>
        <v>130000</v>
      </c>
      <c r="F102" s="62">
        <v>-80000</v>
      </c>
      <c r="G102" s="62">
        <f t="shared" si="78"/>
        <v>50000</v>
      </c>
      <c r="H102" s="62"/>
      <c r="I102" s="62">
        <f t="shared" si="79"/>
        <v>50000</v>
      </c>
      <c r="J102" s="62">
        <v>0</v>
      </c>
      <c r="K102" s="62">
        <f t="shared" si="80"/>
        <v>50000</v>
      </c>
      <c r="L102" s="62"/>
      <c r="M102" s="62">
        <f t="shared" si="81"/>
        <v>50000</v>
      </c>
      <c r="N102" s="62"/>
      <c r="O102" s="62">
        <f t="shared" si="82"/>
        <v>50000</v>
      </c>
      <c r="P102" s="62"/>
      <c r="Q102" s="62">
        <f t="shared" si="83"/>
        <v>50000</v>
      </c>
      <c r="R102" s="62"/>
      <c r="S102" s="62">
        <f t="shared" si="84"/>
        <v>50000</v>
      </c>
      <c r="T102" s="62"/>
      <c r="U102" s="62">
        <f t="shared" si="85"/>
        <v>50000</v>
      </c>
      <c r="V102" s="62"/>
      <c r="W102" s="62">
        <f t="shared" si="86"/>
        <v>50000</v>
      </c>
      <c r="X102" s="62"/>
      <c r="Y102" s="62">
        <f t="shared" si="87"/>
        <v>50000</v>
      </c>
      <c r="Z102" s="62"/>
      <c r="AA102" s="62">
        <f t="shared" si="88"/>
        <v>50000</v>
      </c>
      <c r="AB102" s="62"/>
      <c r="AC102" s="62">
        <f t="shared" si="89"/>
        <v>50000</v>
      </c>
    </row>
    <row r="103" spans="1:29" s="25" customFormat="1" ht="21" customHeight="1">
      <c r="A103" s="66"/>
      <c r="B103" s="63"/>
      <c r="C103" s="49">
        <v>4280</v>
      </c>
      <c r="D103" s="36" t="s">
        <v>407</v>
      </c>
      <c r="E103" s="62">
        <v>10000</v>
      </c>
      <c r="F103" s="62"/>
      <c r="G103" s="62">
        <f t="shared" si="78"/>
        <v>10000</v>
      </c>
      <c r="H103" s="62"/>
      <c r="I103" s="62">
        <f t="shared" si="79"/>
        <v>10000</v>
      </c>
      <c r="J103" s="62"/>
      <c r="K103" s="62">
        <f t="shared" si="80"/>
        <v>10000</v>
      </c>
      <c r="L103" s="62"/>
      <c r="M103" s="62">
        <f t="shared" si="81"/>
        <v>10000</v>
      </c>
      <c r="N103" s="62"/>
      <c r="O103" s="62">
        <f t="shared" si="82"/>
        <v>10000</v>
      </c>
      <c r="P103" s="62"/>
      <c r="Q103" s="62">
        <f t="shared" si="83"/>
        <v>10000</v>
      </c>
      <c r="R103" s="62"/>
      <c r="S103" s="62">
        <f t="shared" si="84"/>
        <v>10000</v>
      </c>
      <c r="T103" s="62"/>
      <c r="U103" s="62">
        <f t="shared" si="85"/>
        <v>10000</v>
      </c>
      <c r="V103" s="62"/>
      <c r="W103" s="62">
        <f t="shared" si="86"/>
        <v>10000</v>
      </c>
      <c r="X103" s="62"/>
      <c r="Y103" s="62">
        <f t="shared" si="87"/>
        <v>10000</v>
      </c>
      <c r="Z103" s="62">
        <v>1000</v>
      </c>
      <c r="AA103" s="62">
        <f t="shared" si="88"/>
        <v>11000</v>
      </c>
      <c r="AB103" s="62">
        <v>2000</v>
      </c>
      <c r="AC103" s="62">
        <f t="shared" si="89"/>
        <v>13000</v>
      </c>
    </row>
    <row r="104" spans="1:29" s="25" customFormat="1" ht="21" customHeight="1">
      <c r="A104" s="66"/>
      <c r="B104" s="63"/>
      <c r="C104" s="49">
        <v>4300</v>
      </c>
      <c r="D104" s="36" t="s">
        <v>75</v>
      </c>
      <c r="E104" s="62">
        <v>210700</v>
      </c>
      <c r="F104" s="62"/>
      <c r="G104" s="62">
        <f t="shared" si="78"/>
        <v>210700</v>
      </c>
      <c r="H104" s="62"/>
      <c r="I104" s="62">
        <f t="shared" si="79"/>
        <v>210700</v>
      </c>
      <c r="J104" s="62">
        <v>-9000</v>
      </c>
      <c r="K104" s="62">
        <f t="shared" si="80"/>
        <v>201700</v>
      </c>
      <c r="L104" s="62"/>
      <c r="M104" s="62">
        <f t="shared" si="81"/>
        <v>201700</v>
      </c>
      <c r="N104" s="62"/>
      <c r="O104" s="62">
        <f t="shared" si="82"/>
        <v>201700</v>
      </c>
      <c r="P104" s="62"/>
      <c r="Q104" s="62">
        <f t="shared" si="83"/>
        <v>201700</v>
      </c>
      <c r="R104" s="62"/>
      <c r="S104" s="62">
        <f t="shared" si="84"/>
        <v>201700</v>
      </c>
      <c r="T104" s="62">
        <v>-1500</v>
      </c>
      <c r="U104" s="62">
        <f t="shared" si="85"/>
        <v>200200</v>
      </c>
      <c r="V104" s="62"/>
      <c r="W104" s="62">
        <f t="shared" si="86"/>
        <v>200200</v>
      </c>
      <c r="X104" s="62"/>
      <c r="Y104" s="62">
        <f t="shared" si="87"/>
        <v>200200</v>
      </c>
      <c r="Z104" s="62"/>
      <c r="AA104" s="62">
        <f t="shared" si="88"/>
        <v>200200</v>
      </c>
      <c r="AB104" s="62">
        <v>-2000</v>
      </c>
      <c r="AC104" s="62">
        <f t="shared" si="89"/>
        <v>198200</v>
      </c>
    </row>
    <row r="105" spans="1:29" s="25" customFormat="1" ht="21" customHeight="1">
      <c r="A105" s="66"/>
      <c r="B105" s="63"/>
      <c r="C105" s="49">
        <v>4350</v>
      </c>
      <c r="D105" s="36" t="s">
        <v>412</v>
      </c>
      <c r="E105" s="62">
        <v>15000</v>
      </c>
      <c r="F105" s="62"/>
      <c r="G105" s="62">
        <f t="shared" si="78"/>
        <v>15000</v>
      </c>
      <c r="H105" s="62"/>
      <c r="I105" s="62">
        <f t="shared" si="79"/>
        <v>15000</v>
      </c>
      <c r="J105" s="62"/>
      <c r="K105" s="62">
        <f t="shared" si="80"/>
        <v>15000</v>
      </c>
      <c r="L105" s="62"/>
      <c r="M105" s="62">
        <f t="shared" si="81"/>
        <v>15000</v>
      </c>
      <c r="N105" s="62"/>
      <c r="O105" s="62">
        <f t="shared" si="82"/>
        <v>15000</v>
      </c>
      <c r="P105" s="62"/>
      <c r="Q105" s="62">
        <f t="shared" si="83"/>
        <v>15000</v>
      </c>
      <c r="R105" s="62"/>
      <c r="S105" s="62">
        <f t="shared" si="84"/>
        <v>15000</v>
      </c>
      <c r="T105" s="62"/>
      <c r="U105" s="62">
        <f t="shared" si="85"/>
        <v>15000</v>
      </c>
      <c r="V105" s="62"/>
      <c r="W105" s="62">
        <f t="shared" si="86"/>
        <v>15000</v>
      </c>
      <c r="X105" s="62"/>
      <c r="Y105" s="62">
        <f t="shared" si="87"/>
        <v>15000</v>
      </c>
      <c r="Z105" s="62"/>
      <c r="AA105" s="62">
        <f t="shared" si="88"/>
        <v>15000</v>
      </c>
      <c r="AB105" s="62"/>
      <c r="AC105" s="62">
        <f t="shared" si="89"/>
        <v>15000</v>
      </c>
    </row>
    <row r="106" spans="1:29" s="25" customFormat="1" ht="24">
      <c r="A106" s="66"/>
      <c r="B106" s="63"/>
      <c r="C106" s="49">
        <v>4360</v>
      </c>
      <c r="D106" s="36" t="s">
        <v>413</v>
      </c>
      <c r="E106" s="62">
        <v>23500</v>
      </c>
      <c r="F106" s="62"/>
      <c r="G106" s="62">
        <f t="shared" si="78"/>
        <v>23500</v>
      </c>
      <c r="H106" s="62"/>
      <c r="I106" s="62">
        <f t="shared" si="79"/>
        <v>23500</v>
      </c>
      <c r="J106" s="62"/>
      <c r="K106" s="62">
        <f t="shared" si="80"/>
        <v>23500</v>
      </c>
      <c r="L106" s="62"/>
      <c r="M106" s="62">
        <f t="shared" si="81"/>
        <v>23500</v>
      </c>
      <c r="N106" s="62"/>
      <c r="O106" s="62">
        <f t="shared" si="82"/>
        <v>23500</v>
      </c>
      <c r="P106" s="62"/>
      <c r="Q106" s="62">
        <f t="shared" si="83"/>
        <v>23500</v>
      </c>
      <c r="R106" s="62"/>
      <c r="S106" s="62">
        <f t="shared" si="84"/>
        <v>23500</v>
      </c>
      <c r="T106" s="62"/>
      <c r="U106" s="62">
        <f t="shared" si="85"/>
        <v>23500</v>
      </c>
      <c r="V106" s="62"/>
      <c r="W106" s="62">
        <f t="shared" si="86"/>
        <v>23500</v>
      </c>
      <c r="X106" s="62"/>
      <c r="Y106" s="62">
        <f t="shared" si="87"/>
        <v>23500</v>
      </c>
      <c r="Z106" s="62"/>
      <c r="AA106" s="62">
        <f t="shared" si="88"/>
        <v>23500</v>
      </c>
      <c r="AB106" s="62"/>
      <c r="AC106" s="62">
        <f t="shared" si="89"/>
        <v>23500</v>
      </c>
    </row>
    <row r="107" spans="1:29" s="25" customFormat="1" ht="24">
      <c r="A107" s="66"/>
      <c r="B107" s="63"/>
      <c r="C107" s="49">
        <v>4370</v>
      </c>
      <c r="D107" s="36" t="s">
        <v>182</v>
      </c>
      <c r="E107" s="62">
        <v>51500</v>
      </c>
      <c r="F107" s="62"/>
      <c r="G107" s="62">
        <f t="shared" si="78"/>
        <v>51500</v>
      </c>
      <c r="H107" s="62"/>
      <c r="I107" s="62">
        <f t="shared" si="79"/>
        <v>51500</v>
      </c>
      <c r="J107" s="62"/>
      <c r="K107" s="62">
        <f t="shared" si="80"/>
        <v>51500</v>
      </c>
      <c r="L107" s="62"/>
      <c r="M107" s="62">
        <f t="shared" si="81"/>
        <v>51500</v>
      </c>
      <c r="N107" s="62"/>
      <c r="O107" s="62">
        <f t="shared" si="82"/>
        <v>51500</v>
      </c>
      <c r="P107" s="62"/>
      <c r="Q107" s="62">
        <f t="shared" si="83"/>
        <v>51500</v>
      </c>
      <c r="R107" s="62"/>
      <c r="S107" s="62">
        <f t="shared" si="84"/>
        <v>51500</v>
      </c>
      <c r="T107" s="62"/>
      <c r="U107" s="62">
        <f t="shared" si="85"/>
        <v>51500</v>
      </c>
      <c r="V107" s="62"/>
      <c r="W107" s="62">
        <f t="shared" si="86"/>
        <v>51500</v>
      </c>
      <c r="X107" s="62"/>
      <c r="Y107" s="62">
        <f t="shared" si="87"/>
        <v>51500</v>
      </c>
      <c r="Z107" s="62">
        <v>-7000</v>
      </c>
      <c r="AA107" s="62">
        <f t="shared" si="88"/>
        <v>44500</v>
      </c>
      <c r="AB107" s="62"/>
      <c r="AC107" s="62">
        <f t="shared" si="89"/>
        <v>44500</v>
      </c>
    </row>
    <row r="108" spans="1:29" s="25" customFormat="1" ht="21" customHeight="1">
      <c r="A108" s="66"/>
      <c r="B108" s="63"/>
      <c r="C108" s="49">
        <v>4410</v>
      </c>
      <c r="D108" s="36" t="s">
        <v>85</v>
      </c>
      <c r="E108" s="62">
        <v>53200</v>
      </c>
      <c r="F108" s="62"/>
      <c r="G108" s="62">
        <f t="shared" si="78"/>
        <v>53200</v>
      </c>
      <c r="H108" s="62"/>
      <c r="I108" s="62">
        <f t="shared" si="79"/>
        <v>53200</v>
      </c>
      <c r="J108" s="62"/>
      <c r="K108" s="62">
        <f t="shared" si="80"/>
        <v>53200</v>
      </c>
      <c r="L108" s="62"/>
      <c r="M108" s="62">
        <f t="shared" si="81"/>
        <v>53200</v>
      </c>
      <c r="N108" s="62"/>
      <c r="O108" s="62">
        <f t="shared" si="82"/>
        <v>53200</v>
      </c>
      <c r="P108" s="62"/>
      <c r="Q108" s="62">
        <f t="shared" si="83"/>
        <v>53200</v>
      </c>
      <c r="R108" s="62"/>
      <c r="S108" s="62">
        <f t="shared" si="84"/>
        <v>53200</v>
      </c>
      <c r="T108" s="62"/>
      <c r="U108" s="62">
        <f t="shared" si="85"/>
        <v>53200</v>
      </c>
      <c r="V108" s="62"/>
      <c r="W108" s="62">
        <f t="shared" si="86"/>
        <v>53200</v>
      </c>
      <c r="X108" s="62"/>
      <c r="Y108" s="62">
        <f t="shared" si="87"/>
        <v>53200</v>
      </c>
      <c r="Z108" s="62"/>
      <c r="AA108" s="62">
        <f t="shared" si="88"/>
        <v>53200</v>
      </c>
      <c r="AB108" s="62"/>
      <c r="AC108" s="62">
        <f t="shared" si="89"/>
        <v>53200</v>
      </c>
    </row>
    <row r="109" spans="1:29" s="25" customFormat="1" ht="21" customHeight="1">
      <c r="A109" s="66"/>
      <c r="B109" s="63"/>
      <c r="C109" s="66">
        <v>4420</v>
      </c>
      <c r="D109" s="36" t="s">
        <v>410</v>
      </c>
      <c r="E109" s="62">
        <v>5000</v>
      </c>
      <c r="F109" s="62"/>
      <c r="G109" s="62">
        <f t="shared" si="78"/>
        <v>5000</v>
      </c>
      <c r="H109" s="62"/>
      <c r="I109" s="62">
        <f t="shared" si="79"/>
        <v>5000</v>
      </c>
      <c r="J109" s="62"/>
      <c r="K109" s="62">
        <f t="shared" si="80"/>
        <v>5000</v>
      </c>
      <c r="L109" s="62"/>
      <c r="M109" s="62">
        <f t="shared" si="81"/>
        <v>5000</v>
      </c>
      <c r="N109" s="62"/>
      <c r="O109" s="62">
        <f t="shared" si="82"/>
        <v>5000</v>
      </c>
      <c r="P109" s="62"/>
      <c r="Q109" s="62">
        <f t="shared" si="83"/>
        <v>5000</v>
      </c>
      <c r="R109" s="62"/>
      <c r="S109" s="62">
        <f t="shared" si="84"/>
        <v>5000</v>
      </c>
      <c r="T109" s="62"/>
      <c r="U109" s="62">
        <f t="shared" si="85"/>
        <v>5000</v>
      </c>
      <c r="V109" s="62"/>
      <c r="W109" s="62">
        <f t="shared" si="86"/>
        <v>5000</v>
      </c>
      <c r="X109" s="62"/>
      <c r="Y109" s="62">
        <f t="shared" si="87"/>
        <v>5000</v>
      </c>
      <c r="Z109" s="62"/>
      <c r="AA109" s="62">
        <f t="shared" si="88"/>
        <v>5000</v>
      </c>
      <c r="AB109" s="62"/>
      <c r="AC109" s="62">
        <f t="shared" si="89"/>
        <v>5000</v>
      </c>
    </row>
    <row r="110" spans="1:29" s="25" customFormat="1" ht="21" customHeight="1">
      <c r="A110" s="66"/>
      <c r="B110" s="63"/>
      <c r="C110" s="201">
        <v>4430</v>
      </c>
      <c r="D110" s="36" t="s">
        <v>87</v>
      </c>
      <c r="E110" s="62">
        <v>63502</v>
      </c>
      <c r="F110" s="62"/>
      <c r="G110" s="62">
        <f t="shared" si="78"/>
        <v>63502</v>
      </c>
      <c r="H110" s="62"/>
      <c r="I110" s="62">
        <f t="shared" si="79"/>
        <v>63502</v>
      </c>
      <c r="J110" s="62"/>
      <c r="K110" s="62">
        <f t="shared" si="80"/>
        <v>63502</v>
      </c>
      <c r="L110" s="62">
        <v>-10000</v>
      </c>
      <c r="M110" s="62">
        <f t="shared" si="81"/>
        <v>53502</v>
      </c>
      <c r="N110" s="62">
        <v>-4000</v>
      </c>
      <c r="O110" s="62">
        <f t="shared" si="82"/>
        <v>49502</v>
      </c>
      <c r="P110" s="62"/>
      <c r="Q110" s="62">
        <f t="shared" si="83"/>
        <v>49502</v>
      </c>
      <c r="R110" s="62"/>
      <c r="S110" s="62">
        <f t="shared" si="84"/>
        <v>49502</v>
      </c>
      <c r="T110" s="62"/>
      <c r="U110" s="62">
        <f t="shared" si="85"/>
        <v>49502</v>
      </c>
      <c r="V110" s="62"/>
      <c r="W110" s="62">
        <f t="shared" si="86"/>
        <v>49502</v>
      </c>
      <c r="X110" s="62"/>
      <c r="Y110" s="62">
        <f t="shared" si="87"/>
        <v>49502</v>
      </c>
      <c r="Z110" s="62">
        <v>-6000</v>
      </c>
      <c r="AA110" s="62">
        <f t="shared" si="88"/>
        <v>43502</v>
      </c>
      <c r="AB110" s="62"/>
      <c r="AC110" s="62">
        <f t="shared" si="89"/>
        <v>43502</v>
      </c>
    </row>
    <row r="111" spans="1:29" s="25" customFormat="1" ht="21" customHeight="1">
      <c r="A111" s="66"/>
      <c r="B111" s="63"/>
      <c r="C111" s="201">
        <v>4440</v>
      </c>
      <c r="D111" s="36" t="s">
        <v>83</v>
      </c>
      <c r="E111" s="62">
        <f>125776-5000</f>
        <v>120776</v>
      </c>
      <c r="F111" s="62"/>
      <c r="G111" s="62">
        <f t="shared" si="78"/>
        <v>120776</v>
      </c>
      <c r="H111" s="62"/>
      <c r="I111" s="62">
        <f t="shared" si="79"/>
        <v>120776</v>
      </c>
      <c r="J111" s="62"/>
      <c r="K111" s="62">
        <f t="shared" si="80"/>
        <v>120776</v>
      </c>
      <c r="L111" s="62"/>
      <c r="M111" s="62">
        <f t="shared" si="81"/>
        <v>120776</v>
      </c>
      <c r="N111" s="62"/>
      <c r="O111" s="62">
        <f t="shared" si="82"/>
        <v>120776</v>
      </c>
      <c r="P111" s="62"/>
      <c r="Q111" s="62">
        <f t="shared" si="83"/>
        <v>120776</v>
      </c>
      <c r="R111" s="62"/>
      <c r="S111" s="62">
        <f t="shared" si="84"/>
        <v>120776</v>
      </c>
      <c r="T111" s="62"/>
      <c r="U111" s="62">
        <f t="shared" si="85"/>
        <v>120776</v>
      </c>
      <c r="V111" s="62"/>
      <c r="W111" s="62">
        <f t="shared" si="86"/>
        <v>120776</v>
      </c>
      <c r="X111" s="62"/>
      <c r="Y111" s="62">
        <f t="shared" si="87"/>
        <v>120776</v>
      </c>
      <c r="Z111" s="62"/>
      <c r="AA111" s="62">
        <f t="shared" si="88"/>
        <v>120776</v>
      </c>
      <c r="AB111" s="62"/>
      <c r="AC111" s="62">
        <f t="shared" si="89"/>
        <v>120776</v>
      </c>
    </row>
    <row r="112" spans="1:29" s="25" customFormat="1" ht="21" customHeight="1">
      <c r="A112" s="66"/>
      <c r="B112" s="63"/>
      <c r="C112" s="201">
        <v>4510</v>
      </c>
      <c r="D112" s="36" t="s">
        <v>403</v>
      </c>
      <c r="E112" s="62">
        <v>4000</v>
      </c>
      <c r="F112" s="62"/>
      <c r="G112" s="62">
        <f t="shared" si="78"/>
        <v>4000</v>
      </c>
      <c r="H112" s="62"/>
      <c r="I112" s="62">
        <f t="shared" si="79"/>
        <v>4000</v>
      </c>
      <c r="J112" s="62"/>
      <c r="K112" s="62">
        <f t="shared" si="80"/>
        <v>4000</v>
      </c>
      <c r="L112" s="62"/>
      <c r="M112" s="62">
        <f t="shared" si="81"/>
        <v>4000</v>
      </c>
      <c r="N112" s="62"/>
      <c r="O112" s="62">
        <f t="shared" si="82"/>
        <v>4000</v>
      </c>
      <c r="P112" s="62"/>
      <c r="Q112" s="62">
        <f t="shared" si="83"/>
        <v>4000</v>
      </c>
      <c r="R112" s="62"/>
      <c r="S112" s="62">
        <f t="shared" si="84"/>
        <v>4000</v>
      </c>
      <c r="T112" s="62"/>
      <c r="U112" s="62">
        <f t="shared" si="85"/>
        <v>4000</v>
      </c>
      <c r="V112" s="62"/>
      <c r="W112" s="62">
        <f t="shared" si="86"/>
        <v>4000</v>
      </c>
      <c r="X112" s="62"/>
      <c r="Y112" s="62">
        <f t="shared" si="87"/>
        <v>4000</v>
      </c>
      <c r="Z112" s="62">
        <v>-3500</v>
      </c>
      <c r="AA112" s="62">
        <f t="shared" si="88"/>
        <v>500</v>
      </c>
      <c r="AB112" s="62"/>
      <c r="AC112" s="62">
        <f t="shared" si="89"/>
        <v>500</v>
      </c>
    </row>
    <row r="113" spans="1:29" s="25" customFormat="1" ht="21" customHeight="1">
      <c r="A113" s="66"/>
      <c r="B113" s="63"/>
      <c r="C113" s="201">
        <v>4580</v>
      </c>
      <c r="D113" s="36" t="s">
        <v>11</v>
      </c>
      <c r="E113" s="62"/>
      <c r="F113" s="62"/>
      <c r="G113" s="62"/>
      <c r="H113" s="62"/>
      <c r="I113" s="62">
        <v>0</v>
      </c>
      <c r="J113" s="62">
        <v>1000</v>
      </c>
      <c r="K113" s="62">
        <f t="shared" si="80"/>
        <v>1000</v>
      </c>
      <c r="L113" s="62"/>
      <c r="M113" s="62">
        <f t="shared" si="81"/>
        <v>1000</v>
      </c>
      <c r="N113" s="62"/>
      <c r="O113" s="62">
        <f t="shared" si="82"/>
        <v>1000</v>
      </c>
      <c r="P113" s="62"/>
      <c r="Q113" s="62">
        <f t="shared" si="83"/>
        <v>1000</v>
      </c>
      <c r="R113" s="62"/>
      <c r="S113" s="62">
        <f t="shared" si="84"/>
        <v>1000</v>
      </c>
      <c r="T113" s="62"/>
      <c r="U113" s="62">
        <f t="shared" si="85"/>
        <v>1000</v>
      </c>
      <c r="V113" s="62"/>
      <c r="W113" s="62">
        <f t="shared" si="86"/>
        <v>1000</v>
      </c>
      <c r="X113" s="62"/>
      <c r="Y113" s="62">
        <f t="shared" si="87"/>
        <v>1000</v>
      </c>
      <c r="Z113" s="62"/>
      <c r="AA113" s="62">
        <f t="shared" si="88"/>
        <v>1000</v>
      </c>
      <c r="AB113" s="62"/>
      <c r="AC113" s="62">
        <f t="shared" si="89"/>
        <v>1000</v>
      </c>
    </row>
    <row r="114" spans="1:29" s="25" customFormat="1" ht="24">
      <c r="A114" s="66"/>
      <c r="B114" s="63"/>
      <c r="C114" s="201">
        <v>4700</v>
      </c>
      <c r="D114" s="36" t="s">
        <v>225</v>
      </c>
      <c r="E114" s="62">
        <v>31000</v>
      </c>
      <c r="F114" s="62"/>
      <c r="G114" s="62">
        <f t="shared" si="78"/>
        <v>31000</v>
      </c>
      <c r="H114" s="62"/>
      <c r="I114" s="62">
        <f t="shared" si="79"/>
        <v>31000</v>
      </c>
      <c r="J114" s="62"/>
      <c r="K114" s="62">
        <f t="shared" si="80"/>
        <v>31000</v>
      </c>
      <c r="L114" s="62"/>
      <c r="M114" s="62">
        <f t="shared" si="81"/>
        <v>31000</v>
      </c>
      <c r="N114" s="62"/>
      <c r="O114" s="62">
        <f t="shared" si="82"/>
        <v>31000</v>
      </c>
      <c r="P114" s="62"/>
      <c r="Q114" s="62">
        <f t="shared" si="83"/>
        <v>31000</v>
      </c>
      <c r="R114" s="62"/>
      <c r="S114" s="62">
        <f t="shared" si="84"/>
        <v>31000</v>
      </c>
      <c r="T114" s="62"/>
      <c r="U114" s="62">
        <f t="shared" si="85"/>
        <v>31000</v>
      </c>
      <c r="V114" s="62"/>
      <c r="W114" s="62">
        <f t="shared" si="86"/>
        <v>31000</v>
      </c>
      <c r="X114" s="62"/>
      <c r="Y114" s="62">
        <f t="shared" si="87"/>
        <v>31000</v>
      </c>
      <c r="Z114" s="62">
        <v>5000</v>
      </c>
      <c r="AA114" s="62">
        <f t="shared" si="88"/>
        <v>36000</v>
      </c>
      <c r="AB114" s="62"/>
      <c r="AC114" s="62">
        <f t="shared" si="89"/>
        <v>36000</v>
      </c>
    </row>
    <row r="115" spans="1:29" s="25" customFormat="1" ht="36">
      <c r="A115" s="66"/>
      <c r="B115" s="63"/>
      <c r="C115" s="201">
        <v>4740</v>
      </c>
      <c r="D115" s="36" t="s">
        <v>183</v>
      </c>
      <c r="E115" s="62">
        <v>20000</v>
      </c>
      <c r="F115" s="62"/>
      <c r="G115" s="62">
        <f t="shared" si="78"/>
        <v>20000</v>
      </c>
      <c r="H115" s="62"/>
      <c r="I115" s="62">
        <f t="shared" si="79"/>
        <v>20000</v>
      </c>
      <c r="J115" s="62"/>
      <c r="K115" s="62">
        <f t="shared" si="80"/>
        <v>20000</v>
      </c>
      <c r="L115" s="62"/>
      <c r="M115" s="62">
        <f t="shared" si="81"/>
        <v>20000</v>
      </c>
      <c r="N115" s="62"/>
      <c r="O115" s="62">
        <f t="shared" si="82"/>
        <v>20000</v>
      </c>
      <c r="P115" s="62"/>
      <c r="Q115" s="62">
        <f t="shared" si="83"/>
        <v>20000</v>
      </c>
      <c r="R115" s="62"/>
      <c r="S115" s="62">
        <f t="shared" si="84"/>
        <v>20000</v>
      </c>
      <c r="T115" s="62"/>
      <c r="U115" s="62">
        <f t="shared" si="85"/>
        <v>20000</v>
      </c>
      <c r="V115" s="62"/>
      <c r="W115" s="62">
        <f t="shared" si="86"/>
        <v>20000</v>
      </c>
      <c r="X115" s="62"/>
      <c r="Y115" s="62">
        <f t="shared" si="87"/>
        <v>20000</v>
      </c>
      <c r="Z115" s="62"/>
      <c r="AA115" s="62">
        <f t="shared" si="88"/>
        <v>20000</v>
      </c>
      <c r="AB115" s="62"/>
      <c r="AC115" s="62">
        <f t="shared" si="89"/>
        <v>20000</v>
      </c>
    </row>
    <row r="116" spans="1:29" s="25" customFormat="1" ht="24">
      <c r="A116" s="66"/>
      <c r="B116" s="63"/>
      <c r="C116" s="201">
        <v>4750</v>
      </c>
      <c r="D116" s="36" t="s">
        <v>401</v>
      </c>
      <c r="E116" s="62">
        <v>38000</v>
      </c>
      <c r="F116" s="62"/>
      <c r="G116" s="62">
        <f t="shared" si="78"/>
        <v>38000</v>
      </c>
      <c r="H116" s="62"/>
      <c r="I116" s="62">
        <f t="shared" si="79"/>
        <v>38000</v>
      </c>
      <c r="J116" s="62"/>
      <c r="K116" s="62">
        <f t="shared" si="80"/>
        <v>38000</v>
      </c>
      <c r="L116" s="62"/>
      <c r="M116" s="62">
        <f t="shared" si="81"/>
        <v>38000</v>
      </c>
      <c r="N116" s="62"/>
      <c r="O116" s="62">
        <f t="shared" si="82"/>
        <v>38000</v>
      </c>
      <c r="P116" s="62"/>
      <c r="Q116" s="62">
        <f t="shared" si="83"/>
        <v>38000</v>
      </c>
      <c r="R116" s="62"/>
      <c r="S116" s="62">
        <f t="shared" si="84"/>
        <v>38000</v>
      </c>
      <c r="T116" s="62"/>
      <c r="U116" s="62">
        <f t="shared" si="85"/>
        <v>38000</v>
      </c>
      <c r="V116" s="62"/>
      <c r="W116" s="62">
        <f t="shared" si="86"/>
        <v>38000</v>
      </c>
      <c r="X116" s="62"/>
      <c r="Y116" s="62">
        <f t="shared" si="87"/>
        <v>38000</v>
      </c>
      <c r="Z116" s="62">
        <v>4387</v>
      </c>
      <c r="AA116" s="62">
        <f t="shared" si="88"/>
        <v>42387</v>
      </c>
      <c r="AB116" s="62"/>
      <c r="AC116" s="62">
        <f t="shared" si="89"/>
        <v>42387</v>
      </c>
    </row>
    <row r="117" spans="1:33" s="25" customFormat="1" ht="24">
      <c r="A117" s="66"/>
      <c r="B117" s="63"/>
      <c r="C117" s="201">
        <v>6060</v>
      </c>
      <c r="D117" s="36" t="s">
        <v>89</v>
      </c>
      <c r="E117" s="62">
        <v>135000</v>
      </c>
      <c r="F117" s="62">
        <v>-40000</v>
      </c>
      <c r="G117" s="62">
        <f t="shared" si="78"/>
        <v>95000</v>
      </c>
      <c r="H117" s="62"/>
      <c r="I117" s="62">
        <f t="shared" si="79"/>
        <v>95000</v>
      </c>
      <c r="J117" s="62"/>
      <c r="K117" s="62">
        <f t="shared" si="80"/>
        <v>95000</v>
      </c>
      <c r="L117" s="62"/>
      <c r="M117" s="62">
        <f t="shared" si="81"/>
        <v>95000</v>
      </c>
      <c r="N117" s="62"/>
      <c r="O117" s="62">
        <f t="shared" si="82"/>
        <v>95000</v>
      </c>
      <c r="P117" s="62"/>
      <c r="Q117" s="62">
        <f t="shared" si="83"/>
        <v>95000</v>
      </c>
      <c r="R117" s="62"/>
      <c r="S117" s="62">
        <f t="shared" si="84"/>
        <v>95000</v>
      </c>
      <c r="T117" s="62"/>
      <c r="U117" s="62">
        <f t="shared" si="85"/>
        <v>95000</v>
      </c>
      <c r="V117" s="62"/>
      <c r="W117" s="62">
        <f t="shared" si="86"/>
        <v>95000</v>
      </c>
      <c r="X117" s="62"/>
      <c r="Y117" s="62">
        <f t="shared" si="87"/>
        <v>95000</v>
      </c>
      <c r="Z117" s="62">
        <v>-67887</v>
      </c>
      <c r="AA117" s="62">
        <f t="shared" si="88"/>
        <v>27113</v>
      </c>
      <c r="AB117" s="62"/>
      <c r="AC117" s="62">
        <f t="shared" si="89"/>
        <v>27113</v>
      </c>
      <c r="AF117" s="79"/>
      <c r="AG117" s="79"/>
    </row>
    <row r="118" spans="1:29" s="25" customFormat="1" ht="24">
      <c r="A118" s="66"/>
      <c r="B118" s="63">
        <v>75075</v>
      </c>
      <c r="C118" s="66"/>
      <c r="D118" s="36" t="s">
        <v>414</v>
      </c>
      <c r="E118" s="62">
        <f aca="true" t="shared" si="90" ref="E118:W118">SUM(E119:E130)</f>
        <v>501460</v>
      </c>
      <c r="F118" s="62">
        <f t="shared" si="90"/>
        <v>-301500</v>
      </c>
      <c r="G118" s="62">
        <f t="shared" si="90"/>
        <v>199960</v>
      </c>
      <c r="H118" s="62">
        <f t="shared" si="90"/>
        <v>0</v>
      </c>
      <c r="I118" s="62">
        <f t="shared" si="90"/>
        <v>199960</v>
      </c>
      <c r="J118" s="62">
        <f t="shared" si="90"/>
        <v>0</v>
      </c>
      <c r="K118" s="62">
        <f t="shared" si="90"/>
        <v>199960</v>
      </c>
      <c r="L118" s="62">
        <f t="shared" si="90"/>
        <v>0</v>
      </c>
      <c r="M118" s="62">
        <f t="shared" si="90"/>
        <v>199960</v>
      </c>
      <c r="N118" s="62">
        <f t="shared" si="90"/>
        <v>7000</v>
      </c>
      <c r="O118" s="62">
        <f t="shared" si="90"/>
        <v>206960</v>
      </c>
      <c r="P118" s="62">
        <f t="shared" si="90"/>
        <v>0</v>
      </c>
      <c r="Q118" s="62">
        <f t="shared" si="90"/>
        <v>206960</v>
      </c>
      <c r="R118" s="62">
        <f t="shared" si="90"/>
        <v>0</v>
      </c>
      <c r="S118" s="62">
        <f t="shared" si="90"/>
        <v>206960</v>
      </c>
      <c r="T118" s="62">
        <f t="shared" si="90"/>
        <v>0</v>
      </c>
      <c r="U118" s="62">
        <f t="shared" si="90"/>
        <v>206960</v>
      </c>
      <c r="V118" s="62">
        <f t="shared" si="90"/>
        <v>0</v>
      </c>
      <c r="W118" s="62">
        <f t="shared" si="90"/>
        <v>206960</v>
      </c>
      <c r="X118" s="62">
        <f aca="true" t="shared" si="91" ref="X118:AC118">SUM(X119:X130)</f>
        <v>0</v>
      </c>
      <c r="Y118" s="62">
        <f t="shared" si="91"/>
        <v>206960</v>
      </c>
      <c r="Z118" s="62">
        <f t="shared" si="91"/>
        <v>0</v>
      </c>
      <c r="AA118" s="62">
        <f t="shared" si="91"/>
        <v>206960</v>
      </c>
      <c r="AB118" s="62">
        <f t="shared" si="91"/>
        <v>0</v>
      </c>
      <c r="AC118" s="62">
        <f t="shared" si="91"/>
        <v>206960</v>
      </c>
    </row>
    <row r="119" spans="1:29" s="25" customFormat="1" ht="24">
      <c r="A119" s="66"/>
      <c r="B119" s="63"/>
      <c r="C119" s="66">
        <v>3020</v>
      </c>
      <c r="D119" s="36" t="s">
        <v>159</v>
      </c>
      <c r="E119" s="62">
        <v>12000</v>
      </c>
      <c r="F119" s="62">
        <v>-4000</v>
      </c>
      <c r="G119" s="62">
        <f aca="true" t="shared" si="92" ref="G119:G130">SUM(E119:F119)</f>
        <v>8000</v>
      </c>
      <c r="H119" s="62"/>
      <c r="I119" s="62">
        <f aca="true" t="shared" si="93" ref="I119:I130">SUM(G119:H119)</f>
        <v>8000</v>
      </c>
      <c r="J119" s="62"/>
      <c r="K119" s="62">
        <f aca="true" t="shared" si="94" ref="K119:K130">SUM(I119:J119)</f>
        <v>8000</v>
      </c>
      <c r="L119" s="62"/>
      <c r="M119" s="62">
        <f aca="true" t="shared" si="95" ref="M119:M130">SUM(K119:L119)</f>
        <v>8000</v>
      </c>
      <c r="N119" s="62"/>
      <c r="O119" s="62">
        <f aca="true" t="shared" si="96" ref="O119:O130">SUM(M119:N119)</f>
        <v>8000</v>
      </c>
      <c r="P119" s="62"/>
      <c r="Q119" s="62">
        <f aca="true" t="shared" si="97" ref="Q119:Q130">SUM(O119:P119)</f>
        <v>8000</v>
      </c>
      <c r="R119" s="62"/>
      <c r="S119" s="62">
        <f aca="true" t="shared" si="98" ref="S119:S130">SUM(Q119:R119)</f>
        <v>8000</v>
      </c>
      <c r="T119" s="62"/>
      <c r="U119" s="62">
        <f aca="true" t="shared" si="99" ref="U119:U130">SUM(S119:T119)</f>
        <v>8000</v>
      </c>
      <c r="V119" s="62"/>
      <c r="W119" s="62">
        <f aca="true" t="shared" si="100" ref="W119:W130">SUM(U119:V119)</f>
        <v>8000</v>
      </c>
      <c r="X119" s="62"/>
      <c r="Y119" s="62">
        <f aca="true" t="shared" si="101" ref="Y119:Y130">SUM(W119:X119)</f>
        <v>8000</v>
      </c>
      <c r="Z119" s="62"/>
      <c r="AA119" s="62">
        <f aca="true" t="shared" si="102" ref="AA119:AA130">SUM(Y119:Z119)</f>
        <v>8000</v>
      </c>
      <c r="AB119" s="62"/>
      <c r="AC119" s="62">
        <f aca="true" t="shared" si="103" ref="AC119:AC130">SUM(AA119:AB119)</f>
        <v>8000</v>
      </c>
    </row>
    <row r="120" spans="1:31" s="25" customFormat="1" ht="21" customHeight="1">
      <c r="A120" s="66"/>
      <c r="B120" s="63"/>
      <c r="C120" s="66">
        <v>4110</v>
      </c>
      <c r="D120" s="36" t="s">
        <v>81</v>
      </c>
      <c r="E120" s="62">
        <v>1000</v>
      </c>
      <c r="F120" s="62"/>
      <c r="G120" s="62">
        <f t="shared" si="92"/>
        <v>1000</v>
      </c>
      <c r="H120" s="62"/>
      <c r="I120" s="62">
        <f t="shared" si="93"/>
        <v>1000</v>
      </c>
      <c r="J120" s="62"/>
      <c r="K120" s="62">
        <f t="shared" si="94"/>
        <v>1000</v>
      </c>
      <c r="L120" s="62"/>
      <c r="M120" s="62">
        <f t="shared" si="95"/>
        <v>1000</v>
      </c>
      <c r="N120" s="62"/>
      <c r="O120" s="62">
        <f t="shared" si="96"/>
        <v>1000</v>
      </c>
      <c r="P120" s="62"/>
      <c r="Q120" s="62">
        <f t="shared" si="97"/>
        <v>1000</v>
      </c>
      <c r="R120" s="62"/>
      <c r="S120" s="62">
        <f t="shared" si="98"/>
        <v>1000</v>
      </c>
      <c r="T120" s="62"/>
      <c r="U120" s="62">
        <f t="shared" si="99"/>
        <v>1000</v>
      </c>
      <c r="V120" s="62"/>
      <c r="W120" s="62">
        <f t="shared" si="100"/>
        <v>1000</v>
      </c>
      <c r="X120" s="62"/>
      <c r="Y120" s="62">
        <f t="shared" si="101"/>
        <v>1000</v>
      </c>
      <c r="Z120" s="62">
        <v>-800</v>
      </c>
      <c r="AA120" s="62">
        <f t="shared" si="102"/>
        <v>200</v>
      </c>
      <c r="AB120" s="62"/>
      <c r="AC120" s="62">
        <f t="shared" si="103"/>
        <v>200</v>
      </c>
      <c r="AD120" s="79"/>
      <c r="AE120" s="79"/>
    </row>
    <row r="121" spans="1:31" s="25" customFormat="1" ht="21" customHeight="1">
      <c r="A121" s="66"/>
      <c r="B121" s="63"/>
      <c r="C121" s="66">
        <v>4120</v>
      </c>
      <c r="D121" s="36" t="s">
        <v>82</v>
      </c>
      <c r="E121" s="62">
        <v>100</v>
      </c>
      <c r="F121" s="62"/>
      <c r="G121" s="62">
        <f t="shared" si="92"/>
        <v>100</v>
      </c>
      <c r="H121" s="62"/>
      <c r="I121" s="62">
        <f t="shared" si="93"/>
        <v>100</v>
      </c>
      <c r="J121" s="62"/>
      <c r="K121" s="62">
        <f t="shared" si="94"/>
        <v>100</v>
      </c>
      <c r="L121" s="62"/>
      <c r="M121" s="62">
        <f t="shared" si="95"/>
        <v>100</v>
      </c>
      <c r="N121" s="62"/>
      <c r="O121" s="62">
        <f t="shared" si="96"/>
        <v>100</v>
      </c>
      <c r="P121" s="62"/>
      <c r="Q121" s="62">
        <f t="shared" si="97"/>
        <v>100</v>
      </c>
      <c r="R121" s="62"/>
      <c r="S121" s="62">
        <f t="shared" si="98"/>
        <v>100</v>
      </c>
      <c r="T121" s="62"/>
      <c r="U121" s="62">
        <f t="shared" si="99"/>
        <v>100</v>
      </c>
      <c r="V121" s="62"/>
      <c r="W121" s="62">
        <f t="shared" si="100"/>
        <v>100</v>
      </c>
      <c r="X121" s="62"/>
      <c r="Y121" s="62">
        <f t="shared" si="101"/>
        <v>100</v>
      </c>
      <c r="Z121" s="62">
        <v>-70</v>
      </c>
      <c r="AA121" s="62">
        <f t="shared" si="102"/>
        <v>30</v>
      </c>
      <c r="AB121" s="62"/>
      <c r="AC121" s="62">
        <f t="shared" si="103"/>
        <v>30</v>
      </c>
      <c r="AD121" s="79"/>
      <c r="AE121" s="79"/>
    </row>
    <row r="122" spans="1:31" s="25" customFormat="1" ht="21" customHeight="1">
      <c r="A122" s="66"/>
      <c r="B122" s="63"/>
      <c r="C122" s="66">
        <v>4170</v>
      </c>
      <c r="D122" s="36" t="s">
        <v>161</v>
      </c>
      <c r="E122" s="62">
        <v>6000</v>
      </c>
      <c r="F122" s="62"/>
      <c r="G122" s="62">
        <f t="shared" si="92"/>
        <v>6000</v>
      </c>
      <c r="H122" s="62"/>
      <c r="I122" s="62">
        <f t="shared" si="93"/>
        <v>6000</v>
      </c>
      <c r="J122" s="62"/>
      <c r="K122" s="62">
        <f t="shared" si="94"/>
        <v>6000</v>
      </c>
      <c r="L122" s="62"/>
      <c r="M122" s="62">
        <f t="shared" si="95"/>
        <v>6000</v>
      </c>
      <c r="N122" s="62"/>
      <c r="O122" s="62">
        <f t="shared" si="96"/>
        <v>6000</v>
      </c>
      <c r="P122" s="62"/>
      <c r="Q122" s="62">
        <f t="shared" si="97"/>
        <v>6000</v>
      </c>
      <c r="R122" s="62"/>
      <c r="S122" s="62">
        <f t="shared" si="98"/>
        <v>6000</v>
      </c>
      <c r="T122" s="62"/>
      <c r="U122" s="62">
        <f t="shared" si="99"/>
        <v>6000</v>
      </c>
      <c r="V122" s="62"/>
      <c r="W122" s="62">
        <f t="shared" si="100"/>
        <v>6000</v>
      </c>
      <c r="X122" s="62"/>
      <c r="Y122" s="62">
        <f t="shared" si="101"/>
        <v>6000</v>
      </c>
      <c r="Z122" s="62">
        <v>870</v>
      </c>
      <c r="AA122" s="62">
        <f t="shared" si="102"/>
        <v>6870</v>
      </c>
      <c r="AB122" s="62"/>
      <c r="AC122" s="62">
        <f t="shared" si="103"/>
        <v>6870</v>
      </c>
      <c r="AD122" s="79"/>
      <c r="AE122" s="79"/>
    </row>
    <row r="123" spans="1:29" s="25" customFormat="1" ht="21" customHeight="1">
      <c r="A123" s="66"/>
      <c r="B123" s="63"/>
      <c r="C123" s="66">
        <v>4210</v>
      </c>
      <c r="D123" s="36" t="s">
        <v>86</v>
      </c>
      <c r="E123" s="62">
        <v>190000</v>
      </c>
      <c r="F123" s="62">
        <v>-115000</v>
      </c>
      <c r="G123" s="62">
        <f t="shared" si="92"/>
        <v>75000</v>
      </c>
      <c r="H123" s="62"/>
      <c r="I123" s="62">
        <f t="shared" si="93"/>
        <v>75000</v>
      </c>
      <c r="J123" s="62"/>
      <c r="K123" s="62">
        <f t="shared" si="94"/>
        <v>75000</v>
      </c>
      <c r="L123" s="62"/>
      <c r="M123" s="62">
        <f t="shared" si="95"/>
        <v>75000</v>
      </c>
      <c r="N123" s="62"/>
      <c r="O123" s="62">
        <f t="shared" si="96"/>
        <v>75000</v>
      </c>
      <c r="P123" s="62"/>
      <c r="Q123" s="62">
        <f t="shared" si="97"/>
        <v>75000</v>
      </c>
      <c r="R123" s="62"/>
      <c r="S123" s="62">
        <f t="shared" si="98"/>
        <v>75000</v>
      </c>
      <c r="T123" s="62"/>
      <c r="U123" s="62">
        <f t="shared" si="99"/>
        <v>75000</v>
      </c>
      <c r="V123" s="62"/>
      <c r="W123" s="62">
        <f t="shared" si="100"/>
        <v>75000</v>
      </c>
      <c r="X123" s="62">
        <v>-3000</v>
      </c>
      <c r="Y123" s="62">
        <f t="shared" si="101"/>
        <v>72000</v>
      </c>
      <c r="Z123" s="62"/>
      <c r="AA123" s="62">
        <f t="shared" si="102"/>
        <v>72000</v>
      </c>
      <c r="AB123" s="62"/>
      <c r="AC123" s="62">
        <f t="shared" si="103"/>
        <v>72000</v>
      </c>
    </row>
    <row r="124" spans="1:29" s="25" customFormat="1" ht="21" customHeight="1">
      <c r="A124" s="66"/>
      <c r="B124" s="63"/>
      <c r="C124" s="49">
        <v>4300</v>
      </c>
      <c r="D124" s="36" t="s">
        <v>75</v>
      </c>
      <c r="E124" s="62">
        <f>268360+3000</f>
        <v>271360</v>
      </c>
      <c r="F124" s="207">
        <v>-175000</v>
      </c>
      <c r="G124" s="62">
        <f t="shared" si="92"/>
        <v>96360</v>
      </c>
      <c r="H124" s="207"/>
      <c r="I124" s="62">
        <f t="shared" si="93"/>
        <v>96360</v>
      </c>
      <c r="J124" s="207"/>
      <c r="K124" s="62">
        <f t="shared" si="94"/>
        <v>96360</v>
      </c>
      <c r="L124" s="207"/>
      <c r="M124" s="62">
        <f t="shared" si="95"/>
        <v>96360</v>
      </c>
      <c r="N124" s="62">
        <v>7000</v>
      </c>
      <c r="O124" s="62">
        <f t="shared" si="96"/>
        <v>103360</v>
      </c>
      <c r="P124" s="62"/>
      <c r="Q124" s="62">
        <f t="shared" si="97"/>
        <v>103360</v>
      </c>
      <c r="R124" s="62"/>
      <c r="S124" s="62">
        <f t="shared" si="98"/>
        <v>103360</v>
      </c>
      <c r="T124" s="62"/>
      <c r="U124" s="62">
        <f t="shared" si="99"/>
        <v>103360</v>
      </c>
      <c r="V124" s="62"/>
      <c r="W124" s="62">
        <f t="shared" si="100"/>
        <v>103360</v>
      </c>
      <c r="X124" s="62"/>
      <c r="Y124" s="62">
        <f t="shared" si="101"/>
        <v>103360</v>
      </c>
      <c r="Z124" s="62"/>
      <c r="AA124" s="62">
        <f t="shared" si="102"/>
        <v>103360</v>
      </c>
      <c r="AB124" s="62"/>
      <c r="AC124" s="62">
        <f t="shared" si="103"/>
        <v>103360</v>
      </c>
    </row>
    <row r="125" spans="1:29" s="25" customFormat="1" ht="21" customHeight="1">
      <c r="A125" s="66"/>
      <c r="B125" s="63"/>
      <c r="C125" s="49">
        <v>4350</v>
      </c>
      <c r="D125" s="36" t="s">
        <v>169</v>
      </c>
      <c r="E125" s="62">
        <v>5000</v>
      </c>
      <c r="F125" s="62">
        <v>-4000</v>
      </c>
      <c r="G125" s="62">
        <f t="shared" si="92"/>
        <v>1000</v>
      </c>
      <c r="H125" s="62"/>
      <c r="I125" s="62">
        <f t="shared" si="93"/>
        <v>1000</v>
      </c>
      <c r="J125" s="62"/>
      <c r="K125" s="62">
        <f t="shared" si="94"/>
        <v>1000</v>
      </c>
      <c r="L125" s="62"/>
      <c r="M125" s="62">
        <f t="shared" si="95"/>
        <v>1000</v>
      </c>
      <c r="N125" s="62"/>
      <c r="O125" s="62">
        <f t="shared" si="96"/>
        <v>1000</v>
      </c>
      <c r="P125" s="62"/>
      <c r="Q125" s="62">
        <f t="shared" si="97"/>
        <v>1000</v>
      </c>
      <c r="R125" s="62"/>
      <c r="S125" s="62">
        <f t="shared" si="98"/>
        <v>1000</v>
      </c>
      <c r="T125" s="62"/>
      <c r="U125" s="62">
        <f t="shared" si="99"/>
        <v>1000</v>
      </c>
      <c r="V125" s="62"/>
      <c r="W125" s="62">
        <f t="shared" si="100"/>
        <v>1000</v>
      </c>
      <c r="X125" s="62"/>
      <c r="Y125" s="62">
        <f t="shared" si="101"/>
        <v>1000</v>
      </c>
      <c r="Z125" s="62"/>
      <c r="AA125" s="62">
        <f t="shared" si="102"/>
        <v>1000</v>
      </c>
      <c r="AB125" s="62"/>
      <c r="AC125" s="62">
        <f t="shared" si="103"/>
        <v>1000</v>
      </c>
    </row>
    <row r="126" spans="1:29" s="25" customFormat="1" ht="21" customHeight="1">
      <c r="A126" s="66"/>
      <c r="B126" s="63"/>
      <c r="C126" s="49">
        <v>4410</v>
      </c>
      <c r="D126" s="36" t="s">
        <v>85</v>
      </c>
      <c r="E126" s="62">
        <v>3000</v>
      </c>
      <c r="F126" s="62"/>
      <c r="G126" s="62">
        <f t="shared" si="92"/>
        <v>3000</v>
      </c>
      <c r="H126" s="62"/>
      <c r="I126" s="62">
        <f t="shared" si="93"/>
        <v>3000</v>
      </c>
      <c r="J126" s="62"/>
      <c r="K126" s="62">
        <f t="shared" si="94"/>
        <v>3000</v>
      </c>
      <c r="L126" s="62"/>
      <c r="M126" s="62">
        <f t="shared" si="95"/>
        <v>3000</v>
      </c>
      <c r="N126" s="62"/>
      <c r="O126" s="62">
        <f t="shared" si="96"/>
        <v>3000</v>
      </c>
      <c r="P126" s="62"/>
      <c r="Q126" s="62">
        <f t="shared" si="97"/>
        <v>3000</v>
      </c>
      <c r="R126" s="62"/>
      <c r="S126" s="62">
        <f t="shared" si="98"/>
        <v>3000</v>
      </c>
      <c r="T126" s="62">
        <v>-1800</v>
      </c>
      <c r="U126" s="62">
        <f t="shared" si="99"/>
        <v>1200</v>
      </c>
      <c r="V126" s="62"/>
      <c r="W126" s="62">
        <f t="shared" si="100"/>
        <v>1200</v>
      </c>
      <c r="X126" s="62"/>
      <c r="Y126" s="62">
        <f t="shared" si="101"/>
        <v>1200</v>
      </c>
      <c r="Z126" s="62"/>
      <c r="AA126" s="62">
        <f t="shared" si="102"/>
        <v>1200</v>
      </c>
      <c r="AB126" s="62"/>
      <c r="AC126" s="62">
        <f t="shared" si="103"/>
        <v>1200</v>
      </c>
    </row>
    <row r="127" spans="1:29" s="25" customFormat="1" ht="21" customHeight="1">
      <c r="A127" s="66"/>
      <c r="B127" s="63"/>
      <c r="C127" s="66">
        <v>4420</v>
      </c>
      <c r="D127" s="36" t="s">
        <v>410</v>
      </c>
      <c r="E127" s="62">
        <v>3000</v>
      </c>
      <c r="F127" s="62"/>
      <c r="G127" s="62">
        <f t="shared" si="92"/>
        <v>3000</v>
      </c>
      <c r="H127" s="62"/>
      <c r="I127" s="62">
        <f t="shared" si="93"/>
        <v>3000</v>
      </c>
      <c r="J127" s="62"/>
      <c r="K127" s="62">
        <f t="shared" si="94"/>
        <v>3000</v>
      </c>
      <c r="L127" s="62"/>
      <c r="M127" s="62">
        <f t="shared" si="95"/>
        <v>3000</v>
      </c>
      <c r="N127" s="62"/>
      <c r="O127" s="62">
        <f t="shared" si="96"/>
        <v>3000</v>
      </c>
      <c r="P127" s="62"/>
      <c r="Q127" s="62">
        <f t="shared" si="97"/>
        <v>3000</v>
      </c>
      <c r="R127" s="62"/>
      <c r="S127" s="62">
        <f t="shared" si="98"/>
        <v>3000</v>
      </c>
      <c r="T127" s="62">
        <v>1800</v>
      </c>
      <c r="U127" s="62">
        <f t="shared" si="99"/>
        <v>4800</v>
      </c>
      <c r="V127" s="62"/>
      <c r="W127" s="62">
        <f t="shared" si="100"/>
        <v>4800</v>
      </c>
      <c r="X127" s="62">
        <v>3000</v>
      </c>
      <c r="Y127" s="62">
        <f t="shared" si="101"/>
        <v>7800</v>
      </c>
      <c r="Z127" s="62"/>
      <c r="AA127" s="62">
        <f t="shared" si="102"/>
        <v>7800</v>
      </c>
      <c r="AB127" s="62"/>
      <c r="AC127" s="62">
        <f t="shared" si="103"/>
        <v>7800</v>
      </c>
    </row>
    <row r="128" spans="1:29" s="25" customFormat="1" ht="21" customHeight="1">
      <c r="A128" s="66"/>
      <c r="B128" s="63"/>
      <c r="C128" s="49">
        <v>4430</v>
      </c>
      <c r="D128" s="36" t="s">
        <v>87</v>
      </c>
      <c r="E128" s="62">
        <v>3000</v>
      </c>
      <c r="F128" s="62">
        <v>-1000</v>
      </c>
      <c r="G128" s="62">
        <f t="shared" si="92"/>
        <v>2000</v>
      </c>
      <c r="H128" s="62"/>
      <c r="I128" s="62">
        <f t="shared" si="93"/>
        <v>2000</v>
      </c>
      <c r="J128" s="62"/>
      <c r="K128" s="62">
        <f t="shared" si="94"/>
        <v>2000</v>
      </c>
      <c r="L128" s="62"/>
      <c r="M128" s="62">
        <f t="shared" si="95"/>
        <v>2000</v>
      </c>
      <c r="N128" s="62"/>
      <c r="O128" s="62">
        <f t="shared" si="96"/>
        <v>2000</v>
      </c>
      <c r="P128" s="62"/>
      <c r="Q128" s="62">
        <f t="shared" si="97"/>
        <v>2000</v>
      </c>
      <c r="R128" s="62"/>
      <c r="S128" s="62">
        <f t="shared" si="98"/>
        <v>2000</v>
      </c>
      <c r="T128" s="62"/>
      <c r="U128" s="62">
        <f t="shared" si="99"/>
        <v>2000</v>
      </c>
      <c r="V128" s="62"/>
      <c r="W128" s="62">
        <f t="shared" si="100"/>
        <v>2000</v>
      </c>
      <c r="X128" s="62"/>
      <c r="Y128" s="62">
        <f t="shared" si="101"/>
        <v>2000</v>
      </c>
      <c r="Z128" s="62"/>
      <c r="AA128" s="62">
        <f t="shared" si="102"/>
        <v>2000</v>
      </c>
      <c r="AB128" s="62"/>
      <c r="AC128" s="62">
        <f t="shared" si="103"/>
        <v>2000</v>
      </c>
    </row>
    <row r="129" spans="1:29" s="25" customFormat="1" ht="36">
      <c r="A129" s="66"/>
      <c r="B129" s="63"/>
      <c r="C129" s="49">
        <v>4740</v>
      </c>
      <c r="D129" s="36" t="s">
        <v>183</v>
      </c>
      <c r="E129" s="62">
        <v>1000</v>
      </c>
      <c r="F129" s="62"/>
      <c r="G129" s="62">
        <f t="shared" si="92"/>
        <v>1000</v>
      </c>
      <c r="H129" s="62"/>
      <c r="I129" s="62">
        <f t="shared" si="93"/>
        <v>1000</v>
      </c>
      <c r="J129" s="62"/>
      <c r="K129" s="62">
        <f t="shared" si="94"/>
        <v>1000</v>
      </c>
      <c r="L129" s="62"/>
      <c r="M129" s="62">
        <f t="shared" si="95"/>
        <v>1000</v>
      </c>
      <c r="N129" s="62"/>
      <c r="O129" s="62">
        <f t="shared" si="96"/>
        <v>1000</v>
      </c>
      <c r="P129" s="62"/>
      <c r="Q129" s="62">
        <f t="shared" si="97"/>
        <v>1000</v>
      </c>
      <c r="R129" s="62"/>
      <c r="S129" s="62">
        <f t="shared" si="98"/>
        <v>1000</v>
      </c>
      <c r="T129" s="62"/>
      <c r="U129" s="62">
        <f t="shared" si="99"/>
        <v>1000</v>
      </c>
      <c r="V129" s="62"/>
      <c r="W129" s="62">
        <f t="shared" si="100"/>
        <v>1000</v>
      </c>
      <c r="X129" s="62"/>
      <c r="Y129" s="62">
        <f t="shared" si="101"/>
        <v>1000</v>
      </c>
      <c r="Z129" s="62"/>
      <c r="AA129" s="62">
        <f t="shared" si="102"/>
        <v>1000</v>
      </c>
      <c r="AB129" s="62"/>
      <c r="AC129" s="62">
        <f t="shared" si="103"/>
        <v>1000</v>
      </c>
    </row>
    <row r="130" spans="1:29" s="25" customFormat="1" ht="36">
      <c r="A130" s="66"/>
      <c r="B130" s="63"/>
      <c r="C130" s="49">
        <v>4750</v>
      </c>
      <c r="D130" s="36" t="s">
        <v>415</v>
      </c>
      <c r="E130" s="62">
        <v>6000</v>
      </c>
      <c r="F130" s="62">
        <v>-2500</v>
      </c>
      <c r="G130" s="62">
        <f t="shared" si="92"/>
        <v>3500</v>
      </c>
      <c r="H130" s="62"/>
      <c r="I130" s="62">
        <f t="shared" si="93"/>
        <v>3500</v>
      </c>
      <c r="J130" s="62"/>
      <c r="K130" s="62">
        <f t="shared" si="94"/>
        <v>3500</v>
      </c>
      <c r="L130" s="62"/>
      <c r="M130" s="62">
        <f t="shared" si="95"/>
        <v>3500</v>
      </c>
      <c r="N130" s="62"/>
      <c r="O130" s="62">
        <f t="shared" si="96"/>
        <v>3500</v>
      </c>
      <c r="P130" s="62"/>
      <c r="Q130" s="62">
        <f t="shared" si="97"/>
        <v>3500</v>
      </c>
      <c r="R130" s="62"/>
      <c r="S130" s="62">
        <f t="shared" si="98"/>
        <v>3500</v>
      </c>
      <c r="T130" s="62"/>
      <c r="U130" s="62">
        <f t="shared" si="99"/>
        <v>3500</v>
      </c>
      <c r="V130" s="62"/>
      <c r="W130" s="62">
        <f t="shared" si="100"/>
        <v>3500</v>
      </c>
      <c r="X130" s="62"/>
      <c r="Y130" s="62">
        <f t="shared" si="101"/>
        <v>3500</v>
      </c>
      <c r="Z130" s="62"/>
      <c r="AA130" s="62">
        <f t="shared" si="102"/>
        <v>3500</v>
      </c>
      <c r="AB130" s="62"/>
      <c r="AC130" s="62">
        <f t="shared" si="103"/>
        <v>3500</v>
      </c>
    </row>
    <row r="131" spans="1:29" s="25" customFormat="1" ht="21" customHeight="1">
      <c r="A131" s="66"/>
      <c r="B131" s="63">
        <v>75095</v>
      </c>
      <c r="C131" s="49"/>
      <c r="D131" s="36" t="s">
        <v>6</v>
      </c>
      <c r="E131" s="62">
        <f aca="true" t="shared" si="104" ref="E131:W131">SUM(E132:E137)</f>
        <v>124580</v>
      </c>
      <c r="F131" s="62">
        <f t="shared" si="104"/>
        <v>0</v>
      </c>
      <c r="G131" s="62">
        <f t="shared" si="104"/>
        <v>124580</v>
      </c>
      <c r="H131" s="62">
        <f t="shared" si="104"/>
        <v>0</v>
      </c>
      <c r="I131" s="62">
        <f t="shared" si="104"/>
        <v>124580</v>
      </c>
      <c r="J131" s="62">
        <f t="shared" si="104"/>
        <v>0</v>
      </c>
      <c r="K131" s="62">
        <f t="shared" si="104"/>
        <v>124580</v>
      </c>
      <c r="L131" s="62">
        <f t="shared" si="104"/>
        <v>0</v>
      </c>
      <c r="M131" s="62">
        <f t="shared" si="104"/>
        <v>124580</v>
      </c>
      <c r="N131" s="62">
        <f t="shared" si="104"/>
        <v>0</v>
      </c>
      <c r="O131" s="62">
        <f t="shared" si="104"/>
        <v>124580</v>
      </c>
      <c r="P131" s="62">
        <f t="shared" si="104"/>
        <v>0</v>
      </c>
      <c r="Q131" s="62">
        <f t="shared" si="104"/>
        <v>124580</v>
      </c>
      <c r="R131" s="62">
        <f t="shared" si="104"/>
        <v>-800</v>
      </c>
      <c r="S131" s="62">
        <f t="shared" si="104"/>
        <v>123780</v>
      </c>
      <c r="T131" s="62">
        <f t="shared" si="104"/>
        <v>0</v>
      </c>
      <c r="U131" s="62">
        <f t="shared" si="104"/>
        <v>123780</v>
      </c>
      <c r="V131" s="62">
        <f t="shared" si="104"/>
        <v>0</v>
      </c>
      <c r="W131" s="62">
        <f t="shared" si="104"/>
        <v>123780</v>
      </c>
      <c r="X131" s="62">
        <f aca="true" t="shared" si="105" ref="X131:AC131">SUM(X132:X137)</f>
        <v>0</v>
      </c>
      <c r="Y131" s="62">
        <f t="shared" si="105"/>
        <v>123780</v>
      </c>
      <c r="Z131" s="62">
        <f t="shared" si="105"/>
        <v>-600</v>
      </c>
      <c r="AA131" s="62">
        <f t="shared" si="105"/>
        <v>123180</v>
      </c>
      <c r="AB131" s="62">
        <f t="shared" si="105"/>
        <v>0</v>
      </c>
      <c r="AC131" s="62">
        <f t="shared" si="105"/>
        <v>123180</v>
      </c>
    </row>
    <row r="132" spans="1:29" s="25" customFormat="1" ht="21" customHeight="1">
      <c r="A132" s="66"/>
      <c r="B132" s="63"/>
      <c r="C132" s="49">
        <v>3030</v>
      </c>
      <c r="D132" s="36" t="s">
        <v>84</v>
      </c>
      <c r="E132" s="62">
        <v>60000</v>
      </c>
      <c r="F132" s="62"/>
      <c r="G132" s="62">
        <f aca="true" t="shared" si="106" ref="G132:G215">SUM(E132:F132)</f>
        <v>60000</v>
      </c>
      <c r="H132" s="62"/>
      <c r="I132" s="62">
        <f aca="true" t="shared" si="107" ref="I132:I137">SUM(G132:H132)</f>
        <v>60000</v>
      </c>
      <c r="J132" s="62"/>
      <c r="K132" s="62">
        <f aca="true" t="shared" si="108" ref="K132:K137">SUM(I132:J132)</f>
        <v>60000</v>
      </c>
      <c r="L132" s="62"/>
      <c r="M132" s="62">
        <f aca="true" t="shared" si="109" ref="M132:M137">SUM(K132:L132)</f>
        <v>60000</v>
      </c>
      <c r="N132" s="62"/>
      <c r="O132" s="62">
        <f aca="true" t="shared" si="110" ref="O132:O137">SUM(M132:N132)</f>
        <v>60000</v>
      </c>
      <c r="P132" s="62"/>
      <c r="Q132" s="62">
        <f aca="true" t="shared" si="111" ref="Q132:Q137">SUM(O132:P132)</f>
        <v>60000</v>
      </c>
      <c r="R132" s="62"/>
      <c r="S132" s="62">
        <f aca="true" t="shared" si="112" ref="S132:S137">SUM(Q132:R132)</f>
        <v>60000</v>
      </c>
      <c r="T132" s="62">
        <v>-1000</v>
      </c>
      <c r="U132" s="62">
        <f aca="true" t="shared" si="113" ref="U132:U137">SUM(S132:T132)</f>
        <v>59000</v>
      </c>
      <c r="V132" s="62"/>
      <c r="W132" s="62">
        <f aca="true" t="shared" si="114" ref="W132:W137">SUM(U132:V132)</f>
        <v>59000</v>
      </c>
      <c r="X132" s="62"/>
      <c r="Y132" s="62">
        <f aca="true" t="shared" si="115" ref="Y132:Y137">SUM(W132:X132)</f>
        <v>59000</v>
      </c>
      <c r="Z132" s="62"/>
      <c r="AA132" s="62">
        <f aca="true" t="shared" si="116" ref="AA132:AA137">SUM(Y132:Z132)</f>
        <v>59000</v>
      </c>
      <c r="AB132" s="62"/>
      <c r="AC132" s="62">
        <f aca="true" t="shared" si="117" ref="AC132:AC137">SUM(AA132:AB132)</f>
        <v>59000</v>
      </c>
    </row>
    <row r="133" spans="1:29" s="25" customFormat="1" ht="21" customHeight="1">
      <c r="A133" s="66"/>
      <c r="B133" s="63"/>
      <c r="C133" s="49">
        <v>4210</v>
      </c>
      <c r="D133" s="36" t="s">
        <v>86</v>
      </c>
      <c r="E133" s="62">
        <f>22980+1000</f>
        <v>23980</v>
      </c>
      <c r="F133" s="62"/>
      <c r="G133" s="62">
        <f t="shared" si="106"/>
        <v>23980</v>
      </c>
      <c r="H133" s="62"/>
      <c r="I133" s="62">
        <f t="shared" si="107"/>
        <v>23980</v>
      </c>
      <c r="J133" s="62"/>
      <c r="K133" s="62">
        <f t="shared" si="108"/>
        <v>23980</v>
      </c>
      <c r="L133" s="62"/>
      <c r="M133" s="62">
        <f t="shared" si="109"/>
        <v>23980</v>
      </c>
      <c r="N133" s="62"/>
      <c r="O133" s="62">
        <f t="shared" si="110"/>
        <v>23980</v>
      </c>
      <c r="P133" s="62"/>
      <c r="Q133" s="62">
        <f t="shared" si="111"/>
        <v>23980</v>
      </c>
      <c r="R133" s="62">
        <v>-800</v>
      </c>
      <c r="S133" s="62">
        <f t="shared" si="112"/>
        <v>23180</v>
      </c>
      <c r="T133" s="62"/>
      <c r="U133" s="62">
        <f t="shared" si="113"/>
        <v>23180</v>
      </c>
      <c r="V133" s="62">
        <f>100-100</f>
        <v>0</v>
      </c>
      <c r="W133" s="62">
        <f t="shared" si="114"/>
        <v>23180</v>
      </c>
      <c r="X133" s="62">
        <f>100-100</f>
        <v>0</v>
      </c>
      <c r="Y133" s="62">
        <f t="shared" si="115"/>
        <v>23180</v>
      </c>
      <c r="Z133" s="62">
        <f>400-1000</f>
        <v>-600</v>
      </c>
      <c r="AA133" s="62">
        <f t="shared" si="116"/>
        <v>22580</v>
      </c>
      <c r="AB133" s="62"/>
      <c r="AC133" s="62">
        <f t="shared" si="117"/>
        <v>22580</v>
      </c>
    </row>
    <row r="134" spans="1:29" s="25" customFormat="1" ht="21" customHeight="1">
      <c r="A134" s="66"/>
      <c r="B134" s="63"/>
      <c r="C134" s="49">
        <v>4300</v>
      </c>
      <c r="D134" s="36" t="s">
        <v>75</v>
      </c>
      <c r="E134" s="62">
        <v>5500</v>
      </c>
      <c r="F134" s="62"/>
      <c r="G134" s="62">
        <f t="shared" si="106"/>
        <v>5500</v>
      </c>
      <c r="H134" s="62"/>
      <c r="I134" s="62">
        <f t="shared" si="107"/>
        <v>5500</v>
      </c>
      <c r="J134" s="62"/>
      <c r="K134" s="62">
        <f t="shared" si="108"/>
        <v>5500</v>
      </c>
      <c r="L134" s="62"/>
      <c r="M134" s="62">
        <f t="shared" si="109"/>
        <v>5500</v>
      </c>
      <c r="N134" s="62"/>
      <c r="O134" s="62">
        <f t="shared" si="110"/>
        <v>5500</v>
      </c>
      <c r="P134" s="62"/>
      <c r="Q134" s="62">
        <f t="shared" si="111"/>
        <v>5500</v>
      </c>
      <c r="R134" s="62"/>
      <c r="S134" s="62">
        <f t="shared" si="112"/>
        <v>5500</v>
      </c>
      <c r="T134" s="62"/>
      <c r="U134" s="62">
        <f t="shared" si="113"/>
        <v>5500</v>
      </c>
      <c r="V134" s="62"/>
      <c r="W134" s="62">
        <f t="shared" si="114"/>
        <v>5500</v>
      </c>
      <c r="X134" s="62"/>
      <c r="Y134" s="62">
        <f t="shared" si="115"/>
        <v>5500</v>
      </c>
      <c r="Z134" s="62"/>
      <c r="AA134" s="62">
        <f t="shared" si="116"/>
        <v>5500</v>
      </c>
      <c r="AB134" s="62"/>
      <c r="AC134" s="62">
        <f t="shared" si="117"/>
        <v>5500</v>
      </c>
    </row>
    <row r="135" spans="1:29" s="25" customFormat="1" ht="21" customHeight="1">
      <c r="A135" s="66"/>
      <c r="B135" s="63"/>
      <c r="C135" s="49">
        <v>4410</v>
      </c>
      <c r="D135" s="36" t="s">
        <v>85</v>
      </c>
      <c r="E135" s="62">
        <v>5000</v>
      </c>
      <c r="F135" s="62"/>
      <c r="G135" s="62">
        <f t="shared" si="106"/>
        <v>5000</v>
      </c>
      <c r="H135" s="62"/>
      <c r="I135" s="62">
        <f t="shared" si="107"/>
        <v>5000</v>
      </c>
      <c r="J135" s="62"/>
      <c r="K135" s="62">
        <f t="shared" si="108"/>
        <v>5000</v>
      </c>
      <c r="L135" s="62"/>
      <c r="M135" s="62">
        <f t="shared" si="109"/>
        <v>5000</v>
      </c>
      <c r="N135" s="62"/>
      <c r="O135" s="62">
        <f t="shared" si="110"/>
        <v>5000</v>
      </c>
      <c r="P135" s="62"/>
      <c r="Q135" s="62">
        <f t="shared" si="111"/>
        <v>5000</v>
      </c>
      <c r="R135" s="62"/>
      <c r="S135" s="62">
        <f t="shared" si="112"/>
        <v>5000</v>
      </c>
      <c r="T135" s="62">
        <v>-900</v>
      </c>
      <c r="U135" s="62">
        <f t="shared" si="113"/>
        <v>4100</v>
      </c>
      <c r="V135" s="62"/>
      <c r="W135" s="62">
        <f t="shared" si="114"/>
        <v>4100</v>
      </c>
      <c r="X135" s="62"/>
      <c r="Y135" s="62">
        <f t="shared" si="115"/>
        <v>4100</v>
      </c>
      <c r="Z135" s="62"/>
      <c r="AA135" s="62">
        <f t="shared" si="116"/>
        <v>4100</v>
      </c>
      <c r="AB135" s="62"/>
      <c r="AC135" s="62">
        <f t="shared" si="117"/>
        <v>4100</v>
      </c>
    </row>
    <row r="136" spans="1:29" s="25" customFormat="1" ht="21" customHeight="1">
      <c r="A136" s="66"/>
      <c r="B136" s="63"/>
      <c r="C136" s="49">
        <v>4430</v>
      </c>
      <c r="D136" s="36" t="s">
        <v>87</v>
      </c>
      <c r="E136" s="62">
        <v>30000</v>
      </c>
      <c r="F136" s="62"/>
      <c r="G136" s="62">
        <f t="shared" si="106"/>
        <v>30000</v>
      </c>
      <c r="H136" s="62"/>
      <c r="I136" s="62">
        <f t="shared" si="107"/>
        <v>30000</v>
      </c>
      <c r="J136" s="62"/>
      <c r="K136" s="62">
        <f t="shared" si="108"/>
        <v>30000</v>
      </c>
      <c r="L136" s="62"/>
      <c r="M136" s="62">
        <f t="shared" si="109"/>
        <v>30000</v>
      </c>
      <c r="N136" s="62"/>
      <c r="O136" s="62">
        <f t="shared" si="110"/>
        <v>30000</v>
      </c>
      <c r="P136" s="62"/>
      <c r="Q136" s="62">
        <f t="shared" si="111"/>
        <v>30000</v>
      </c>
      <c r="R136" s="62"/>
      <c r="S136" s="62">
        <f t="shared" si="112"/>
        <v>30000</v>
      </c>
      <c r="T136" s="62">
        <v>1900</v>
      </c>
      <c r="U136" s="62">
        <f t="shared" si="113"/>
        <v>31900</v>
      </c>
      <c r="V136" s="62"/>
      <c r="W136" s="62">
        <f t="shared" si="114"/>
        <v>31900</v>
      </c>
      <c r="X136" s="62"/>
      <c r="Y136" s="62">
        <f t="shared" si="115"/>
        <v>31900</v>
      </c>
      <c r="Z136" s="62"/>
      <c r="AA136" s="62">
        <f t="shared" si="116"/>
        <v>31900</v>
      </c>
      <c r="AB136" s="62"/>
      <c r="AC136" s="62">
        <f t="shared" si="117"/>
        <v>31900</v>
      </c>
    </row>
    <row r="137" spans="1:29" s="25" customFormat="1" ht="36">
      <c r="A137" s="66"/>
      <c r="B137" s="63"/>
      <c r="C137" s="49">
        <v>4740</v>
      </c>
      <c r="D137" s="36" t="s">
        <v>183</v>
      </c>
      <c r="E137" s="62">
        <v>100</v>
      </c>
      <c r="F137" s="62"/>
      <c r="G137" s="62">
        <f t="shared" si="106"/>
        <v>100</v>
      </c>
      <c r="H137" s="62"/>
      <c r="I137" s="62">
        <f t="shared" si="107"/>
        <v>100</v>
      </c>
      <c r="J137" s="62"/>
      <c r="K137" s="62">
        <f t="shared" si="108"/>
        <v>100</v>
      </c>
      <c r="L137" s="62"/>
      <c r="M137" s="62">
        <f t="shared" si="109"/>
        <v>100</v>
      </c>
      <c r="N137" s="62"/>
      <c r="O137" s="62">
        <f t="shared" si="110"/>
        <v>100</v>
      </c>
      <c r="P137" s="62"/>
      <c r="Q137" s="62">
        <f t="shared" si="111"/>
        <v>100</v>
      </c>
      <c r="R137" s="62"/>
      <c r="S137" s="62">
        <f t="shared" si="112"/>
        <v>100</v>
      </c>
      <c r="T137" s="62"/>
      <c r="U137" s="62">
        <f t="shared" si="113"/>
        <v>100</v>
      </c>
      <c r="V137" s="62"/>
      <c r="W137" s="62">
        <f t="shared" si="114"/>
        <v>100</v>
      </c>
      <c r="X137" s="62"/>
      <c r="Y137" s="62">
        <f t="shared" si="115"/>
        <v>100</v>
      </c>
      <c r="Z137" s="62"/>
      <c r="AA137" s="62">
        <f t="shared" si="116"/>
        <v>100</v>
      </c>
      <c r="AB137" s="62"/>
      <c r="AC137" s="62">
        <f t="shared" si="117"/>
        <v>100</v>
      </c>
    </row>
    <row r="138" spans="1:29" s="6" customFormat="1" ht="36">
      <c r="A138" s="32">
        <v>751</v>
      </c>
      <c r="B138" s="33"/>
      <c r="C138" s="34"/>
      <c r="D138" s="35" t="s">
        <v>416</v>
      </c>
      <c r="E138" s="200">
        <f aca="true" t="shared" si="118" ref="E138:J138">SUM(E139)</f>
        <v>3910</v>
      </c>
      <c r="F138" s="200">
        <f t="shared" si="118"/>
        <v>0</v>
      </c>
      <c r="G138" s="200">
        <f t="shared" si="118"/>
        <v>3910</v>
      </c>
      <c r="H138" s="200">
        <f t="shared" si="118"/>
        <v>0</v>
      </c>
      <c r="I138" s="200">
        <f t="shared" si="118"/>
        <v>3910</v>
      </c>
      <c r="J138" s="200">
        <f t="shared" si="118"/>
        <v>0</v>
      </c>
      <c r="K138" s="200">
        <f aca="true" t="shared" si="119" ref="K138:W138">SUM(K139,K147)</f>
        <v>3910</v>
      </c>
      <c r="L138" s="200">
        <f t="shared" si="119"/>
        <v>19932</v>
      </c>
      <c r="M138" s="200">
        <f t="shared" si="119"/>
        <v>23842</v>
      </c>
      <c r="N138" s="200">
        <f t="shared" si="119"/>
        <v>0</v>
      </c>
      <c r="O138" s="200">
        <f t="shared" si="119"/>
        <v>23842</v>
      </c>
      <c r="P138" s="200">
        <f t="shared" si="119"/>
        <v>1000</v>
      </c>
      <c r="Q138" s="200">
        <f t="shared" si="119"/>
        <v>24842</v>
      </c>
      <c r="R138" s="200">
        <f t="shared" si="119"/>
        <v>0</v>
      </c>
      <c r="S138" s="200">
        <f t="shared" si="119"/>
        <v>24842</v>
      </c>
      <c r="T138" s="200">
        <f t="shared" si="119"/>
        <v>21240</v>
      </c>
      <c r="U138" s="200">
        <f t="shared" si="119"/>
        <v>46082</v>
      </c>
      <c r="V138" s="200">
        <f t="shared" si="119"/>
        <v>0</v>
      </c>
      <c r="W138" s="200">
        <f t="shared" si="119"/>
        <v>46082</v>
      </c>
      <c r="X138" s="200">
        <f aca="true" t="shared" si="120" ref="X138:AC138">SUM(X139,X147)</f>
        <v>0</v>
      </c>
      <c r="Y138" s="200">
        <f t="shared" si="120"/>
        <v>46082</v>
      </c>
      <c r="Z138" s="200">
        <f t="shared" si="120"/>
        <v>0</v>
      </c>
      <c r="AA138" s="200">
        <f t="shared" si="120"/>
        <v>46082</v>
      </c>
      <c r="AB138" s="200">
        <f t="shared" si="120"/>
        <v>0</v>
      </c>
      <c r="AC138" s="200">
        <f t="shared" si="120"/>
        <v>46082</v>
      </c>
    </row>
    <row r="139" spans="1:29" s="25" customFormat="1" ht="26.25" customHeight="1">
      <c r="A139" s="66"/>
      <c r="B139" s="63">
        <v>75101</v>
      </c>
      <c r="C139" s="66"/>
      <c r="D139" s="36" t="s">
        <v>20</v>
      </c>
      <c r="E139" s="62">
        <f aca="true" t="shared" si="121" ref="E139:Q139">SUM(E143:E146)</f>
        <v>3910</v>
      </c>
      <c r="F139" s="62">
        <f t="shared" si="121"/>
        <v>0</v>
      </c>
      <c r="G139" s="62">
        <f t="shared" si="121"/>
        <v>3910</v>
      </c>
      <c r="H139" s="62">
        <f t="shared" si="121"/>
        <v>0</v>
      </c>
      <c r="I139" s="62">
        <f t="shared" si="121"/>
        <v>3910</v>
      </c>
      <c r="J139" s="62">
        <f t="shared" si="121"/>
        <v>0</v>
      </c>
      <c r="K139" s="62">
        <f t="shared" si="121"/>
        <v>3910</v>
      </c>
      <c r="L139" s="62">
        <f t="shared" si="121"/>
        <v>0</v>
      </c>
      <c r="M139" s="62">
        <f t="shared" si="121"/>
        <v>3910</v>
      </c>
      <c r="N139" s="62">
        <f t="shared" si="121"/>
        <v>0</v>
      </c>
      <c r="O139" s="62">
        <f t="shared" si="121"/>
        <v>3910</v>
      </c>
      <c r="P139" s="62">
        <f t="shared" si="121"/>
        <v>0</v>
      </c>
      <c r="Q139" s="62">
        <f t="shared" si="121"/>
        <v>3910</v>
      </c>
      <c r="R139" s="62">
        <f>SUM(R143:R146)</f>
        <v>0</v>
      </c>
      <c r="S139" s="62">
        <f>SUM(S143:S146)</f>
        <v>3910</v>
      </c>
      <c r="T139" s="62">
        <f>SUM(T143:T146)</f>
        <v>0</v>
      </c>
      <c r="U139" s="62">
        <f aca="true" t="shared" si="122" ref="U139:AA139">SUM(U140:U146)</f>
        <v>3910</v>
      </c>
      <c r="V139" s="62">
        <f t="shared" si="122"/>
        <v>0</v>
      </c>
      <c r="W139" s="62">
        <f t="shared" si="122"/>
        <v>3910</v>
      </c>
      <c r="X139" s="62">
        <f t="shared" si="122"/>
        <v>0</v>
      </c>
      <c r="Y139" s="62">
        <f t="shared" si="122"/>
        <v>3910</v>
      </c>
      <c r="Z139" s="62">
        <f t="shared" si="122"/>
        <v>0</v>
      </c>
      <c r="AA139" s="62">
        <f t="shared" si="122"/>
        <v>3910</v>
      </c>
      <c r="AB139" s="62">
        <f>SUM(AB140:AB146)</f>
        <v>0</v>
      </c>
      <c r="AC139" s="62">
        <f>SUM(AC140:AC146)</f>
        <v>3910</v>
      </c>
    </row>
    <row r="140" spans="1:31" s="25" customFormat="1" ht="26.25" customHeight="1">
      <c r="A140" s="66"/>
      <c r="B140" s="63"/>
      <c r="C140" s="66">
        <v>4010</v>
      </c>
      <c r="D140" s="36" t="s">
        <v>79</v>
      </c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>
        <v>0</v>
      </c>
      <c r="V140" s="62">
        <v>2771</v>
      </c>
      <c r="W140" s="62">
        <f aca="true" t="shared" si="123" ref="W140:W146">SUM(U140:V140)</f>
        <v>2771</v>
      </c>
      <c r="X140" s="62"/>
      <c r="Y140" s="62">
        <f aca="true" t="shared" si="124" ref="Y140:Y146">SUM(W140:X140)</f>
        <v>2771</v>
      </c>
      <c r="Z140" s="62"/>
      <c r="AA140" s="62">
        <f aca="true" t="shared" si="125" ref="AA140:AA146">SUM(Y140:Z140)</f>
        <v>2771</v>
      </c>
      <c r="AB140" s="62"/>
      <c r="AC140" s="62">
        <f aca="true" t="shared" si="126" ref="AC140:AC146">SUM(AA140:AB140)</f>
        <v>2771</v>
      </c>
      <c r="AD140" s="79"/>
      <c r="AE140" s="79"/>
    </row>
    <row r="141" spans="1:31" s="25" customFormat="1" ht="26.25" customHeight="1">
      <c r="A141" s="66"/>
      <c r="B141" s="63"/>
      <c r="C141" s="66">
        <v>4110</v>
      </c>
      <c r="D141" s="36" t="s">
        <v>417</v>
      </c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>
        <v>0</v>
      </c>
      <c r="V141" s="62">
        <v>420</v>
      </c>
      <c r="W141" s="62">
        <f t="shared" si="123"/>
        <v>420</v>
      </c>
      <c r="X141" s="62"/>
      <c r="Y141" s="62">
        <f t="shared" si="124"/>
        <v>420</v>
      </c>
      <c r="Z141" s="62"/>
      <c r="AA141" s="62">
        <f t="shared" si="125"/>
        <v>420</v>
      </c>
      <c r="AB141" s="62"/>
      <c r="AC141" s="62">
        <f t="shared" si="126"/>
        <v>420</v>
      </c>
      <c r="AD141" s="79"/>
      <c r="AE141" s="79"/>
    </row>
    <row r="142" spans="1:31" s="25" customFormat="1" ht="26.25" customHeight="1">
      <c r="A142" s="66"/>
      <c r="B142" s="63"/>
      <c r="C142" s="66">
        <v>4120</v>
      </c>
      <c r="D142" s="36" t="s">
        <v>82</v>
      </c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>
        <v>0</v>
      </c>
      <c r="V142" s="62">
        <v>67</v>
      </c>
      <c r="W142" s="62">
        <f t="shared" si="123"/>
        <v>67</v>
      </c>
      <c r="X142" s="62"/>
      <c r="Y142" s="62">
        <f t="shared" si="124"/>
        <v>67</v>
      </c>
      <c r="Z142" s="62"/>
      <c r="AA142" s="62">
        <f t="shared" si="125"/>
        <v>67</v>
      </c>
      <c r="AB142" s="62"/>
      <c r="AC142" s="62">
        <f t="shared" si="126"/>
        <v>67</v>
      </c>
      <c r="AD142" s="79"/>
      <c r="AE142" s="79"/>
    </row>
    <row r="143" spans="1:29" s="25" customFormat="1" ht="21" customHeight="1">
      <c r="A143" s="66"/>
      <c r="B143" s="63"/>
      <c r="C143" s="49">
        <v>4210</v>
      </c>
      <c r="D143" s="36" t="s">
        <v>86</v>
      </c>
      <c r="E143" s="62">
        <v>1410</v>
      </c>
      <c r="F143" s="62"/>
      <c r="G143" s="62">
        <f t="shared" si="106"/>
        <v>1410</v>
      </c>
      <c r="H143" s="62"/>
      <c r="I143" s="62">
        <f>SUM(G143:H143)</f>
        <v>1410</v>
      </c>
      <c r="J143" s="62"/>
      <c r="K143" s="62">
        <f>SUM(I143:J143)</f>
        <v>1410</v>
      </c>
      <c r="L143" s="62"/>
      <c r="M143" s="62">
        <f>SUM(K143:L143)</f>
        <v>1410</v>
      </c>
      <c r="N143" s="62"/>
      <c r="O143" s="62">
        <f>SUM(M143:N143)</f>
        <v>1410</v>
      </c>
      <c r="P143" s="62"/>
      <c r="Q143" s="62">
        <f>SUM(O143:P143)</f>
        <v>1410</v>
      </c>
      <c r="R143" s="62"/>
      <c r="S143" s="62">
        <f>SUM(Q143:R143)</f>
        <v>1410</v>
      </c>
      <c r="T143" s="62"/>
      <c r="U143" s="62">
        <f>SUM(S143:T143)</f>
        <v>1410</v>
      </c>
      <c r="V143" s="62">
        <v>-1118</v>
      </c>
      <c r="W143" s="62">
        <f t="shared" si="123"/>
        <v>292</v>
      </c>
      <c r="X143" s="62"/>
      <c r="Y143" s="62">
        <f t="shared" si="124"/>
        <v>292</v>
      </c>
      <c r="Z143" s="62"/>
      <c r="AA143" s="62">
        <f t="shared" si="125"/>
        <v>292</v>
      </c>
      <c r="AB143" s="62"/>
      <c r="AC143" s="62">
        <f t="shared" si="126"/>
        <v>292</v>
      </c>
    </row>
    <row r="144" spans="1:29" s="25" customFormat="1" ht="27" customHeight="1">
      <c r="A144" s="66"/>
      <c r="B144" s="63"/>
      <c r="C144" s="49">
        <v>4700</v>
      </c>
      <c r="D144" s="36" t="s">
        <v>225</v>
      </c>
      <c r="E144" s="62">
        <v>500</v>
      </c>
      <c r="F144" s="62"/>
      <c r="G144" s="62">
        <f t="shared" si="106"/>
        <v>500</v>
      </c>
      <c r="H144" s="62"/>
      <c r="I144" s="62">
        <f>SUM(G144:H144)</f>
        <v>500</v>
      </c>
      <c r="J144" s="62"/>
      <c r="K144" s="62">
        <f>SUM(I144:J144)</f>
        <v>500</v>
      </c>
      <c r="L144" s="62"/>
      <c r="M144" s="62">
        <f>SUM(K144:L144)</f>
        <v>500</v>
      </c>
      <c r="N144" s="62"/>
      <c r="O144" s="62">
        <f>SUM(M144:N144)</f>
        <v>500</v>
      </c>
      <c r="P144" s="62"/>
      <c r="Q144" s="62">
        <f>SUM(O144:P144)</f>
        <v>500</v>
      </c>
      <c r="R144" s="62"/>
      <c r="S144" s="62">
        <f>SUM(Q144:R144)</f>
        <v>500</v>
      </c>
      <c r="T144" s="62"/>
      <c r="U144" s="62">
        <f>SUM(S144:T144)</f>
        <v>500</v>
      </c>
      <c r="V144" s="62">
        <v>-140</v>
      </c>
      <c r="W144" s="62">
        <f t="shared" si="123"/>
        <v>360</v>
      </c>
      <c r="X144" s="62"/>
      <c r="Y144" s="62">
        <f t="shared" si="124"/>
        <v>360</v>
      </c>
      <c r="Z144" s="62"/>
      <c r="AA144" s="62">
        <f t="shared" si="125"/>
        <v>360</v>
      </c>
      <c r="AB144" s="62"/>
      <c r="AC144" s="62">
        <f t="shared" si="126"/>
        <v>360</v>
      </c>
    </row>
    <row r="145" spans="1:29" s="25" customFormat="1" ht="36">
      <c r="A145" s="66"/>
      <c r="B145" s="63"/>
      <c r="C145" s="49">
        <v>4740</v>
      </c>
      <c r="D145" s="36" t="s">
        <v>183</v>
      </c>
      <c r="E145" s="62">
        <v>1000</v>
      </c>
      <c r="F145" s="62"/>
      <c r="G145" s="62">
        <f t="shared" si="106"/>
        <v>1000</v>
      </c>
      <c r="H145" s="62"/>
      <c r="I145" s="62">
        <f>SUM(G145:H145)</f>
        <v>1000</v>
      </c>
      <c r="J145" s="62"/>
      <c r="K145" s="62">
        <f>SUM(I145:J145)</f>
        <v>1000</v>
      </c>
      <c r="L145" s="62"/>
      <c r="M145" s="62">
        <f>SUM(K145:L145)</f>
        <v>1000</v>
      </c>
      <c r="N145" s="62"/>
      <c r="O145" s="62">
        <f>SUM(M145:N145)</f>
        <v>1000</v>
      </c>
      <c r="P145" s="62"/>
      <c r="Q145" s="62">
        <f>SUM(O145:P145)</f>
        <v>1000</v>
      </c>
      <c r="R145" s="62"/>
      <c r="S145" s="62">
        <f>SUM(Q145:R145)</f>
        <v>1000</v>
      </c>
      <c r="T145" s="62"/>
      <c r="U145" s="62">
        <f>SUM(S145:T145)</f>
        <v>1000</v>
      </c>
      <c r="V145" s="62">
        <v>-1000</v>
      </c>
      <c r="W145" s="62">
        <f t="shared" si="123"/>
        <v>0</v>
      </c>
      <c r="X145" s="62"/>
      <c r="Y145" s="62">
        <f t="shared" si="124"/>
        <v>0</v>
      </c>
      <c r="Z145" s="62"/>
      <c r="AA145" s="62">
        <f t="shared" si="125"/>
        <v>0</v>
      </c>
      <c r="AB145" s="62"/>
      <c r="AC145" s="62">
        <f t="shared" si="126"/>
        <v>0</v>
      </c>
    </row>
    <row r="146" spans="1:29" s="25" customFormat="1" ht="24">
      <c r="A146" s="66"/>
      <c r="B146" s="63"/>
      <c r="C146" s="49">
        <v>4750</v>
      </c>
      <c r="D146" s="36" t="s">
        <v>401</v>
      </c>
      <c r="E146" s="62">
        <v>1000</v>
      </c>
      <c r="F146" s="62"/>
      <c r="G146" s="62">
        <f t="shared" si="106"/>
        <v>1000</v>
      </c>
      <c r="H146" s="62"/>
      <c r="I146" s="62">
        <f>SUM(G146:H146)</f>
        <v>1000</v>
      </c>
      <c r="J146" s="62"/>
      <c r="K146" s="62">
        <f>SUM(I146:J146)</f>
        <v>1000</v>
      </c>
      <c r="L146" s="62"/>
      <c r="M146" s="62">
        <f>SUM(K146:L146)</f>
        <v>1000</v>
      </c>
      <c r="N146" s="62"/>
      <c r="O146" s="62">
        <f>SUM(M146:N146)</f>
        <v>1000</v>
      </c>
      <c r="P146" s="62"/>
      <c r="Q146" s="62">
        <f>SUM(O146:P146)</f>
        <v>1000</v>
      </c>
      <c r="R146" s="62"/>
      <c r="S146" s="62">
        <f>SUM(Q146:R146)</f>
        <v>1000</v>
      </c>
      <c r="T146" s="62"/>
      <c r="U146" s="62">
        <f>SUM(S146:T146)</f>
        <v>1000</v>
      </c>
      <c r="V146" s="62">
        <v>-1000</v>
      </c>
      <c r="W146" s="62">
        <f t="shared" si="123"/>
        <v>0</v>
      </c>
      <c r="X146" s="62"/>
      <c r="Y146" s="62">
        <f t="shared" si="124"/>
        <v>0</v>
      </c>
      <c r="Z146" s="62"/>
      <c r="AA146" s="62">
        <f t="shared" si="125"/>
        <v>0</v>
      </c>
      <c r="AB146" s="62"/>
      <c r="AC146" s="62">
        <f t="shared" si="126"/>
        <v>0</v>
      </c>
    </row>
    <row r="147" spans="1:29" s="25" customFormat="1" ht="21" customHeight="1">
      <c r="A147" s="66"/>
      <c r="B147" s="63">
        <v>75113</v>
      </c>
      <c r="C147" s="49"/>
      <c r="D147" s="36" t="s">
        <v>317</v>
      </c>
      <c r="E147" s="62"/>
      <c r="F147" s="62"/>
      <c r="G147" s="62"/>
      <c r="H147" s="62"/>
      <c r="I147" s="62"/>
      <c r="J147" s="62"/>
      <c r="K147" s="62">
        <f aca="true" t="shared" si="127" ref="K147:Q147">SUM(K149:K156)</f>
        <v>0</v>
      </c>
      <c r="L147" s="62">
        <f t="shared" si="127"/>
        <v>19932</v>
      </c>
      <c r="M147" s="62">
        <f t="shared" si="127"/>
        <v>19932</v>
      </c>
      <c r="N147" s="62">
        <f t="shared" si="127"/>
        <v>0</v>
      </c>
      <c r="O147" s="62">
        <f t="shared" si="127"/>
        <v>19932</v>
      </c>
      <c r="P147" s="62">
        <f t="shared" si="127"/>
        <v>1000</v>
      </c>
      <c r="Q147" s="62">
        <f t="shared" si="127"/>
        <v>20932</v>
      </c>
      <c r="R147" s="62">
        <f>SUM(R149:R156)</f>
        <v>0</v>
      </c>
      <c r="S147" s="62">
        <f aca="true" t="shared" si="128" ref="S147:Y147">SUM(S148:S156)</f>
        <v>20932</v>
      </c>
      <c r="T147" s="62">
        <f t="shared" si="128"/>
        <v>21240</v>
      </c>
      <c r="U147" s="62">
        <f t="shared" si="128"/>
        <v>42172</v>
      </c>
      <c r="V147" s="62">
        <f t="shared" si="128"/>
        <v>0</v>
      </c>
      <c r="W147" s="62">
        <f t="shared" si="128"/>
        <v>42172</v>
      </c>
      <c r="X147" s="62">
        <f t="shared" si="128"/>
        <v>0</v>
      </c>
      <c r="Y147" s="62">
        <f t="shared" si="128"/>
        <v>42172</v>
      </c>
      <c r="Z147" s="62">
        <f>SUM(Z148:Z156)</f>
        <v>0</v>
      </c>
      <c r="AA147" s="62">
        <f>SUM(AA148:AA156)</f>
        <v>42172</v>
      </c>
      <c r="AB147" s="62">
        <f>SUM(AB148:AB156)</f>
        <v>0</v>
      </c>
      <c r="AC147" s="62">
        <f>SUM(AC148:AC156)</f>
        <v>42172</v>
      </c>
    </row>
    <row r="148" spans="1:29" s="25" customFormat="1" ht="21" customHeight="1">
      <c r="A148" s="66"/>
      <c r="B148" s="63"/>
      <c r="C148" s="49">
        <v>3030</v>
      </c>
      <c r="D148" s="36" t="s">
        <v>84</v>
      </c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>
        <v>0</v>
      </c>
      <c r="T148" s="62">
        <v>21240</v>
      </c>
      <c r="U148" s="62">
        <f aca="true" t="shared" si="129" ref="U148:U156">SUM(S148:T148)</f>
        <v>21240</v>
      </c>
      <c r="V148" s="62"/>
      <c r="W148" s="62">
        <f aca="true" t="shared" si="130" ref="W148:W156">SUM(U148:V148)</f>
        <v>21240</v>
      </c>
      <c r="X148" s="62"/>
      <c r="Y148" s="62">
        <f aca="true" t="shared" si="131" ref="Y148:Y156">SUM(W148:X148)</f>
        <v>21240</v>
      </c>
      <c r="Z148" s="62"/>
      <c r="AA148" s="62">
        <f aca="true" t="shared" si="132" ref="AA148:AA156">SUM(Y148:Z148)</f>
        <v>21240</v>
      </c>
      <c r="AB148" s="62"/>
      <c r="AC148" s="62">
        <f aca="true" t="shared" si="133" ref="AC148:AC156">SUM(AA148:AB148)</f>
        <v>21240</v>
      </c>
    </row>
    <row r="149" spans="1:31" s="25" customFormat="1" ht="21" customHeight="1">
      <c r="A149" s="66"/>
      <c r="B149" s="63"/>
      <c r="C149" s="49">
        <v>4110</v>
      </c>
      <c r="D149" s="36" t="s">
        <v>81</v>
      </c>
      <c r="E149" s="62"/>
      <c r="F149" s="62"/>
      <c r="G149" s="62"/>
      <c r="H149" s="62"/>
      <c r="I149" s="62"/>
      <c r="J149" s="62"/>
      <c r="K149" s="62">
        <v>0</v>
      </c>
      <c r="L149" s="62">
        <v>72</v>
      </c>
      <c r="M149" s="62">
        <f aca="true" t="shared" si="134" ref="M149:M156">SUM(K149:L149)</f>
        <v>72</v>
      </c>
      <c r="N149" s="62"/>
      <c r="O149" s="62">
        <f aca="true" t="shared" si="135" ref="O149:O156">SUM(M149:N149)</f>
        <v>72</v>
      </c>
      <c r="P149" s="62"/>
      <c r="Q149" s="62">
        <f aca="true" t="shared" si="136" ref="Q149:Q156">SUM(O149:P149)</f>
        <v>72</v>
      </c>
      <c r="R149" s="62"/>
      <c r="S149" s="62">
        <f aca="true" t="shared" si="137" ref="S149:S156">SUM(Q149:R149)</f>
        <v>72</v>
      </c>
      <c r="T149" s="62"/>
      <c r="U149" s="62">
        <f t="shared" si="129"/>
        <v>72</v>
      </c>
      <c r="V149" s="62">
        <v>507</v>
      </c>
      <c r="W149" s="62">
        <f t="shared" si="130"/>
        <v>579</v>
      </c>
      <c r="X149" s="62"/>
      <c r="Y149" s="62">
        <f t="shared" si="131"/>
        <v>579</v>
      </c>
      <c r="Z149" s="62"/>
      <c r="AA149" s="62">
        <f t="shared" si="132"/>
        <v>579</v>
      </c>
      <c r="AB149" s="62"/>
      <c r="AC149" s="62">
        <f t="shared" si="133"/>
        <v>579</v>
      </c>
      <c r="AD149" s="79"/>
      <c r="AE149" s="79"/>
    </row>
    <row r="150" spans="1:31" s="25" customFormat="1" ht="21" customHeight="1">
      <c r="A150" s="66"/>
      <c r="B150" s="63"/>
      <c r="C150" s="49">
        <v>4120</v>
      </c>
      <c r="D150" s="36" t="s">
        <v>418</v>
      </c>
      <c r="E150" s="62"/>
      <c r="F150" s="62"/>
      <c r="G150" s="62"/>
      <c r="H150" s="62"/>
      <c r="I150" s="62"/>
      <c r="J150" s="62"/>
      <c r="K150" s="62">
        <v>0</v>
      </c>
      <c r="L150" s="62">
        <v>428</v>
      </c>
      <c r="M150" s="62">
        <f t="shared" si="134"/>
        <v>428</v>
      </c>
      <c r="N150" s="62"/>
      <c r="O150" s="62">
        <f t="shared" si="135"/>
        <v>428</v>
      </c>
      <c r="P150" s="62"/>
      <c r="Q150" s="62">
        <f t="shared" si="136"/>
        <v>428</v>
      </c>
      <c r="R150" s="62"/>
      <c r="S150" s="62">
        <f t="shared" si="137"/>
        <v>428</v>
      </c>
      <c r="T150" s="62"/>
      <c r="U150" s="62">
        <f t="shared" si="129"/>
        <v>428</v>
      </c>
      <c r="V150" s="62">
        <v>-333</v>
      </c>
      <c r="W150" s="62">
        <f t="shared" si="130"/>
        <v>95</v>
      </c>
      <c r="X150" s="62"/>
      <c r="Y150" s="62">
        <f t="shared" si="131"/>
        <v>95</v>
      </c>
      <c r="Z150" s="62"/>
      <c r="AA150" s="62">
        <f t="shared" si="132"/>
        <v>95</v>
      </c>
      <c r="AB150" s="62"/>
      <c r="AC150" s="62">
        <f t="shared" si="133"/>
        <v>95</v>
      </c>
      <c r="AD150" s="79"/>
      <c r="AE150" s="79"/>
    </row>
    <row r="151" spans="1:31" s="25" customFormat="1" ht="21" customHeight="1">
      <c r="A151" s="66"/>
      <c r="B151" s="63"/>
      <c r="C151" s="49">
        <v>4170</v>
      </c>
      <c r="D151" s="36" t="s">
        <v>161</v>
      </c>
      <c r="E151" s="62"/>
      <c r="F151" s="62"/>
      <c r="G151" s="62"/>
      <c r="H151" s="62"/>
      <c r="I151" s="62"/>
      <c r="J151" s="62"/>
      <c r="K151" s="62">
        <v>0</v>
      </c>
      <c r="L151" s="62">
        <v>6580</v>
      </c>
      <c r="M151" s="62">
        <f t="shared" si="134"/>
        <v>6580</v>
      </c>
      <c r="N151" s="62"/>
      <c r="O151" s="62">
        <f t="shared" si="135"/>
        <v>6580</v>
      </c>
      <c r="P151" s="62"/>
      <c r="Q151" s="62">
        <f t="shared" si="136"/>
        <v>6580</v>
      </c>
      <c r="R151" s="62"/>
      <c r="S151" s="62">
        <f t="shared" si="137"/>
        <v>6580</v>
      </c>
      <c r="T151" s="62"/>
      <c r="U151" s="62">
        <f t="shared" si="129"/>
        <v>6580</v>
      </c>
      <c r="V151" s="62">
        <v>650</v>
      </c>
      <c r="W151" s="62">
        <f t="shared" si="130"/>
        <v>7230</v>
      </c>
      <c r="X151" s="62"/>
      <c r="Y151" s="62">
        <f t="shared" si="131"/>
        <v>7230</v>
      </c>
      <c r="Z151" s="62"/>
      <c r="AA151" s="62">
        <f t="shared" si="132"/>
        <v>7230</v>
      </c>
      <c r="AB151" s="62"/>
      <c r="AC151" s="62">
        <f t="shared" si="133"/>
        <v>7230</v>
      </c>
      <c r="AD151" s="79"/>
      <c r="AE151" s="79"/>
    </row>
    <row r="152" spans="1:29" s="25" customFormat="1" ht="24" customHeight="1">
      <c r="A152" s="66"/>
      <c r="B152" s="63"/>
      <c r="C152" s="49">
        <v>4210</v>
      </c>
      <c r="D152" s="36" t="s">
        <v>86</v>
      </c>
      <c r="E152" s="62"/>
      <c r="F152" s="62"/>
      <c r="G152" s="62"/>
      <c r="H152" s="62"/>
      <c r="I152" s="62"/>
      <c r="J152" s="62"/>
      <c r="K152" s="62">
        <v>0</v>
      </c>
      <c r="L152" s="62">
        <v>7844</v>
      </c>
      <c r="M152" s="62">
        <f t="shared" si="134"/>
        <v>7844</v>
      </c>
      <c r="N152" s="62"/>
      <c r="O152" s="62">
        <f t="shared" si="135"/>
        <v>7844</v>
      </c>
      <c r="P152" s="62">
        <v>1000</v>
      </c>
      <c r="Q152" s="62">
        <f t="shared" si="136"/>
        <v>8844</v>
      </c>
      <c r="R152" s="62">
        <v>-1000</v>
      </c>
      <c r="S152" s="62">
        <f t="shared" si="137"/>
        <v>7844</v>
      </c>
      <c r="T152" s="62"/>
      <c r="U152" s="62">
        <f t="shared" si="129"/>
        <v>7844</v>
      </c>
      <c r="V152" s="62">
        <v>-1156</v>
      </c>
      <c r="W152" s="62">
        <f t="shared" si="130"/>
        <v>6688</v>
      </c>
      <c r="X152" s="62"/>
      <c r="Y152" s="62">
        <f t="shared" si="131"/>
        <v>6688</v>
      </c>
      <c r="Z152" s="62"/>
      <c r="AA152" s="62">
        <f t="shared" si="132"/>
        <v>6688</v>
      </c>
      <c r="AB152" s="62"/>
      <c r="AC152" s="62">
        <f t="shared" si="133"/>
        <v>6688</v>
      </c>
    </row>
    <row r="153" spans="1:29" s="25" customFormat="1" ht="24" customHeight="1">
      <c r="A153" s="66"/>
      <c r="B153" s="63"/>
      <c r="C153" s="49">
        <v>4300</v>
      </c>
      <c r="D153" s="36" t="s">
        <v>75</v>
      </c>
      <c r="E153" s="62"/>
      <c r="F153" s="62"/>
      <c r="G153" s="62"/>
      <c r="H153" s="62"/>
      <c r="I153" s="62"/>
      <c r="J153" s="62"/>
      <c r="K153" s="62">
        <v>0</v>
      </c>
      <c r="L153" s="62">
        <v>2037</v>
      </c>
      <c r="M153" s="62">
        <f t="shared" si="134"/>
        <v>2037</v>
      </c>
      <c r="N153" s="62"/>
      <c r="O153" s="62">
        <f t="shared" si="135"/>
        <v>2037</v>
      </c>
      <c r="P153" s="62"/>
      <c r="Q153" s="62">
        <f t="shared" si="136"/>
        <v>2037</v>
      </c>
      <c r="R153" s="62"/>
      <c r="S153" s="62">
        <f t="shared" si="137"/>
        <v>2037</v>
      </c>
      <c r="T153" s="62"/>
      <c r="U153" s="62">
        <f t="shared" si="129"/>
        <v>2037</v>
      </c>
      <c r="V153" s="62"/>
      <c r="W153" s="62">
        <f t="shared" si="130"/>
        <v>2037</v>
      </c>
      <c r="X153" s="62"/>
      <c r="Y153" s="62">
        <f t="shared" si="131"/>
        <v>2037</v>
      </c>
      <c r="Z153" s="62"/>
      <c r="AA153" s="62">
        <f t="shared" si="132"/>
        <v>2037</v>
      </c>
      <c r="AB153" s="62"/>
      <c r="AC153" s="62">
        <f t="shared" si="133"/>
        <v>2037</v>
      </c>
    </row>
    <row r="154" spans="1:29" s="25" customFormat="1" ht="24" customHeight="1">
      <c r="A154" s="66"/>
      <c r="B154" s="63"/>
      <c r="C154" s="49">
        <v>4410</v>
      </c>
      <c r="D154" s="36" t="s">
        <v>85</v>
      </c>
      <c r="E154" s="62"/>
      <c r="F154" s="62"/>
      <c r="G154" s="62"/>
      <c r="H154" s="62"/>
      <c r="I154" s="62"/>
      <c r="J154" s="62"/>
      <c r="K154" s="62">
        <v>0</v>
      </c>
      <c r="L154" s="62">
        <v>2500</v>
      </c>
      <c r="M154" s="62">
        <f t="shared" si="134"/>
        <v>2500</v>
      </c>
      <c r="N154" s="62"/>
      <c r="O154" s="62">
        <f t="shared" si="135"/>
        <v>2500</v>
      </c>
      <c r="P154" s="62"/>
      <c r="Q154" s="62">
        <f t="shared" si="136"/>
        <v>2500</v>
      </c>
      <c r="R154" s="62"/>
      <c r="S154" s="62">
        <f t="shared" si="137"/>
        <v>2500</v>
      </c>
      <c r="T154" s="62"/>
      <c r="U154" s="62">
        <f t="shared" si="129"/>
        <v>2500</v>
      </c>
      <c r="V154" s="62">
        <v>-1395</v>
      </c>
      <c r="W154" s="62">
        <f t="shared" si="130"/>
        <v>1105</v>
      </c>
      <c r="X154" s="62"/>
      <c r="Y154" s="62">
        <f t="shared" si="131"/>
        <v>1105</v>
      </c>
      <c r="Z154" s="62"/>
      <c r="AA154" s="62">
        <f t="shared" si="132"/>
        <v>1105</v>
      </c>
      <c r="AB154" s="62"/>
      <c r="AC154" s="62">
        <f t="shared" si="133"/>
        <v>1105</v>
      </c>
    </row>
    <row r="155" spans="1:29" s="25" customFormat="1" ht="36">
      <c r="A155" s="66"/>
      <c r="B155" s="63"/>
      <c r="C155" s="49">
        <v>4740</v>
      </c>
      <c r="D155" s="36" t="s">
        <v>183</v>
      </c>
      <c r="E155" s="62"/>
      <c r="F155" s="62"/>
      <c r="G155" s="62"/>
      <c r="H155" s="62"/>
      <c r="I155" s="62"/>
      <c r="J155" s="62"/>
      <c r="K155" s="62">
        <v>0</v>
      </c>
      <c r="L155" s="62">
        <v>238</v>
      </c>
      <c r="M155" s="62">
        <f t="shared" si="134"/>
        <v>238</v>
      </c>
      <c r="N155" s="62"/>
      <c r="O155" s="62">
        <f t="shared" si="135"/>
        <v>238</v>
      </c>
      <c r="P155" s="62"/>
      <c r="Q155" s="62">
        <f t="shared" si="136"/>
        <v>238</v>
      </c>
      <c r="R155" s="62"/>
      <c r="S155" s="62">
        <f t="shared" si="137"/>
        <v>238</v>
      </c>
      <c r="T155" s="62"/>
      <c r="U155" s="62">
        <f t="shared" si="129"/>
        <v>238</v>
      </c>
      <c r="V155" s="62">
        <v>42</v>
      </c>
      <c r="W155" s="62">
        <f t="shared" si="130"/>
        <v>280</v>
      </c>
      <c r="X155" s="62"/>
      <c r="Y155" s="62">
        <f t="shared" si="131"/>
        <v>280</v>
      </c>
      <c r="Z155" s="62"/>
      <c r="AA155" s="62">
        <f t="shared" si="132"/>
        <v>280</v>
      </c>
      <c r="AB155" s="62"/>
      <c r="AC155" s="62">
        <f t="shared" si="133"/>
        <v>280</v>
      </c>
    </row>
    <row r="156" spans="1:29" s="25" customFormat="1" ht="25.5" customHeight="1">
      <c r="A156" s="66"/>
      <c r="B156" s="63"/>
      <c r="C156" s="49">
        <v>4750</v>
      </c>
      <c r="D156" s="36" t="s">
        <v>401</v>
      </c>
      <c r="E156" s="62"/>
      <c r="F156" s="62"/>
      <c r="G156" s="62"/>
      <c r="H156" s="62"/>
      <c r="I156" s="62"/>
      <c r="J156" s="62"/>
      <c r="K156" s="62">
        <v>0</v>
      </c>
      <c r="L156" s="62">
        <v>233</v>
      </c>
      <c r="M156" s="62">
        <f t="shared" si="134"/>
        <v>233</v>
      </c>
      <c r="N156" s="62"/>
      <c r="O156" s="62">
        <f t="shared" si="135"/>
        <v>233</v>
      </c>
      <c r="P156" s="62"/>
      <c r="Q156" s="62">
        <f t="shared" si="136"/>
        <v>233</v>
      </c>
      <c r="R156" s="62">
        <v>1000</v>
      </c>
      <c r="S156" s="62">
        <f t="shared" si="137"/>
        <v>1233</v>
      </c>
      <c r="T156" s="62"/>
      <c r="U156" s="62">
        <f t="shared" si="129"/>
        <v>1233</v>
      </c>
      <c r="V156" s="62">
        <v>1685</v>
      </c>
      <c r="W156" s="62">
        <f t="shared" si="130"/>
        <v>2918</v>
      </c>
      <c r="X156" s="62"/>
      <c r="Y156" s="62">
        <f t="shared" si="131"/>
        <v>2918</v>
      </c>
      <c r="Z156" s="62"/>
      <c r="AA156" s="62">
        <f t="shared" si="132"/>
        <v>2918</v>
      </c>
      <c r="AB156" s="62"/>
      <c r="AC156" s="62">
        <f t="shared" si="133"/>
        <v>2918</v>
      </c>
    </row>
    <row r="157" spans="1:29" s="6" customFormat="1" ht="24.75" customHeight="1">
      <c r="A157" s="32" t="s">
        <v>21</v>
      </c>
      <c r="B157" s="33"/>
      <c r="C157" s="34"/>
      <c r="D157" s="35" t="s">
        <v>22</v>
      </c>
      <c r="E157" s="200">
        <f aca="true" t="shared" si="138" ref="E157:K157">SUM(E160,E175,E196,)</f>
        <v>448253</v>
      </c>
      <c r="F157" s="200">
        <f t="shared" si="138"/>
        <v>150000</v>
      </c>
      <c r="G157" s="200">
        <f t="shared" si="138"/>
        <v>598253</v>
      </c>
      <c r="H157" s="200">
        <f t="shared" si="138"/>
        <v>0</v>
      </c>
      <c r="I157" s="200">
        <f t="shared" si="138"/>
        <v>598253</v>
      </c>
      <c r="J157" s="200">
        <f t="shared" si="138"/>
        <v>0</v>
      </c>
      <c r="K157" s="200">
        <f t="shared" si="138"/>
        <v>598253</v>
      </c>
      <c r="L157" s="200">
        <f>SUM(L160,L175,L196,)</f>
        <v>0</v>
      </c>
      <c r="M157" s="200">
        <f>SUM(M160,M175,M196,)</f>
        <v>598253</v>
      </c>
      <c r="N157" s="200">
        <f>SUM(N160,N175,N196,)</f>
        <v>0</v>
      </c>
      <c r="O157" s="200">
        <f>SUM(O160,O175,O196,)</f>
        <v>598253</v>
      </c>
      <c r="P157" s="200">
        <f>SUM(P160,P175,P196,)</f>
        <v>0</v>
      </c>
      <c r="Q157" s="200">
        <f aca="true" t="shared" si="139" ref="Q157:W157">SUM(Q160,Q175,Q196,Q158)</f>
        <v>598253</v>
      </c>
      <c r="R157" s="200">
        <f t="shared" si="139"/>
        <v>150000</v>
      </c>
      <c r="S157" s="200">
        <f t="shared" si="139"/>
        <v>748253</v>
      </c>
      <c r="T157" s="200">
        <f t="shared" si="139"/>
        <v>0</v>
      </c>
      <c r="U157" s="200">
        <f t="shared" si="139"/>
        <v>748253</v>
      </c>
      <c r="V157" s="200">
        <f t="shared" si="139"/>
        <v>0</v>
      </c>
      <c r="W157" s="200">
        <f t="shared" si="139"/>
        <v>748253</v>
      </c>
      <c r="X157" s="200">
        <f>SUM(X160,X175,X196,X158)</f>
        <v>0</v>
      </c>
      <c r="Y157" s="200">
        <f>SUM(Y160,Y175,Y196,Y158,Y193)</f>
        <v>748253</v>
      </c>
      <c r="Z157" s="200">
        <f>SUM(Z160,Z175,Z196,Z158,Z193)</f>
        <v>76000</v>
      </c>
      <c r="AA157" s="200">
        <f>SUM(AA160,AA175,AA196,AA158,AA193)</f>
        <v>824253</v>
      </c>
      <c r="AB157" s="200">
        <f>SUM(AB160,AB175,AB196,AB158,AB193)</f>
        <v>0</v>
      </c>
      <c r="AC157" s="200">
        <f>SUM(AC160,AC175,AC196,AC158,AC193)</f>
        <v>824253</v>
      </c>
    </row>
    <row r="158" spans="1:29" s="100" customFormat="1" ht="24.75" customHeight="1">
      <c r="A158" s="173"/>
      <c r="B158" s="159">
        <v>75411</v>
      </c>
      <c r="C158" s="160"/>
      <c r="D158" s="158" t="s">
        <v>329</v>
      </c>
      <c r="E158" s="205"/>
      <c r="F158" s="205"/>
      <c r="G158" s="205"/>
      <c r="H158" s="205"/>
      <c r="I158" s="205"/>
      <c r="J158" s="205"/>
      <c r="K158" s="205"/>
      <c r="L158" s="205"/>
      <c r="M158" s="205"/>
      <c r="N158" s="205"/>
      <c r="O158" s="205"/>
      <c r="P158" s="205"/>
      <c r="Q158" s="205">
        <f aca="true" t="shared" si="140" ref="Q158:AC158">SUM(Q159)</f>
        <v>0</v>
      </c>
      <c r="R158" s="205">
        <f t="shared" si="140"/>
        <v>150000</v>
      </c>
      <c r="S158" s="205">
        <f t="shared" si="140"/>
        <v>150000</v>
      </c>
      <c r="T158" s="205">
        <f t="shared" si="140"/>
        <v>0</v>
      </c>
      <c r="U158" s="205">
        <f t="shared" si="140"/>
        <v>150000</v>
      </c>
      <c r="V158" s="205">
        <f t="shared" si="140"/>
        <v>0</v>
      </c>
      <c r="W158" s="205">
        <f t="shared" si="140"/>
        <v>150000</v>
      </c>
      <c r="X158" s="205">
        <f t="shared" si="140"/>
        <v>0</v>
      </c>
      <c r="Y158" s="205">
        <f t="shared" si="140"/>
        <v>150000</v>
      </c>
      <c r="Z158" s="205">
        <f t="shared" si="140"/>
        <v>0</v>
      </c>
      <c r="AA158" s="205">
        <f t="shared" si="140"/>
        <v>150000</v>
      </c>
      <c r="AB158" s="205">
        <f t="shared" si="140"/>
        <v>0</v>
      </c>
      <c r="AC158" s="205">
        <f t="shared" si="140"/>
        <v>150000</v>
      </c>
    </row>
    <row r="159" spans="1:35" s="100" customFormat="1" ht="48">
      <c r="A159" s="173"/>
      <c r="B159" s="159"/>
      <c r="C159" s="160">
        <v>6620</v>
      </c>
      <c r="D159" s="158" t="s">
        <v>330</v>
      </c>
      <c r="E159" s="205"/>
      <c r="F159" s="205"/>
      <c r="G159" s="205"/>
      <c r="H159" s="205"/>
      <c r="I159" s="205"/>
      <c r="J159" s="205"/>
      <c r="K159" s="205"/>
      <c r="L159" s="205"/>
      <c r="M159" s="205"/>
      <c r="N159" s="205"/>
      <c r="O159" s="205"/>
      <c r="P159" s="205"/>
      <c r="Q159" s="205">
        <v>0</v>
      </c>
      <c r="R159" s="205">
        <v>150000</v>
      </c>
      <c r="S159" s="205">
        <f>SUM(Q159:R159)</f>
        <v>150000</v>
      </c>
      <c r="T159" s="205"/>
      <c r="U159" s="205">
        <f>SUM(S159:T159)</f>
        <v>150000</v>
      </c>
      <c r="V159" s="205"/>
      <c r="W159" s="205">
        <f>SUM(U159:V159)</f>
        <v>150000</v>
      </c>
      <c r="X159" s="205"/>
      <c r="Y159" s="205">
        <f>SUM(W159:X159)</f>
        <v>150000</v>
      </c>
      <c r="Z159" s="205"/>
      <c r="AA159" s="205">
        <f>SUM(Y159:Z159)</f>
        <v>150000</v>
      </c>
      <c r="AB159" s="205"/>
      <c r="AC159" s="205">
        <f>SUM(AA159:AB159)</f>
        <v>150000</v>
      </c>
      <c r="AF159" s="234"/>
      <c r="AG159" s="234"/>
      <c r="AH159" s="234"/>
      <c r="AI159" s="234"/>
    </row>
    <row r="160" spans="1:29" s="25" customFormat="1" ht="21.75" customHeight="1">
      <c r="A160" s="66"/>
      <c r="B160" s="63" t="s">
        <v>419</v>
      </c>
      <c r="C160" s="66"/>
      <c r="D160" s="36" t="s">
        <v>90</v>
      </c>
      <c r="E160" s="62">
        <f>SUM(E161:E173)</f>
        <v>184000</v>
      </c>
      <c r="F160" s="62">
        <f>SUM(F161:F173)</f>
        <v>0</v>
      </c>
      <c r="G160" s="62">
        <f>SUM(G161:G173)</f>
        <v>184000</v>
      </c>
      <c r="H160" s="62">
        <f>SUM(H161:H173)</f>
        <v>0</v>
      </c>
      <c r="I160" s="62">
        <f aca="true" t="shared" si="141" ref="I160:U160">SUM(I161:I174)</f>
        <v>184000</v>
      </c>
      <c r="J160" s="62">
        <f t="shared" si="141"/>
        <v>0</v>
      </c>
      <c r="K160" s="62">
        <f t="shared" si="141"/>
        <v>184000</v>
      </c>
      <c r="L160" s="62">
        <f t="shared" si="141"/>
        <v>0</v>
      </c>
      <c r="M160" s="62">
        <f t="shared" si="141"/>
        <v>184000</v>
      </c>
      <c r="N160" s="62">
        <f t="shared" si="141"/>
        <v>0</v>
      </c>
      <c r="O160" s="62">
        <f t="shared" si="141"/>
        <v>184000</v>
      </c>
      <c r="P160" s="62">
        <f t="shared" si="141"/>
        <v>0</v>
      </c>
      <c r="Q160" s="62">
        <f t="shared" si="141"/>
        <v>184000</v>
      </c>
      <c r="R160" s="62">
        <f t="shared" si="141"/>
        <v>0</v>
      </c>
      <c r="S160" s="62">
        <f t="shared" si="141"/>
        <v>184000</v>
      </c>
      <c r="T160" s="62">
        <f t="shared" si="141"/>
        <v>0</v>
      </c>
      <c r="U160" s="62">
        <f t="shared" si="141"/>
        <v>184000</v>
      </c>
      <c r="V160" s="62">
        <f aca="true" t="shared" si="142" ref="V160:AA160">SUM(V161:V174)</f>
        <v>0</v>
      </c>
      <c r="W160" s="62">
        <f t="shared" si="142"/>
        <v>184000</v>
      </c>
      <c r="X160" s="62">
        <f t="shared" si="142"/>
        <v>0</v>
      </c>
      <c r="Y160" s="62">
        <f t="shared" si="142"/>
        <v>184000</v>
      </c>
      <c r="Z160" s="62">
        <f t="shared" si="142"/>
        <v>0</v>
      </c>
      <c r="AA160" s="62">
        <f t="shared" si="142"/>
        <v>184000</v>
      </c>
      <c r="AB160" s="62">
        <f>SUM(AB161:AB174)</f>
        <v>0</v>
      </c>
      <c r="AC160" s="62">
        <f>SUM(AC161:AC174)</f>
        <v>184000</v>
      </c>
    </row>
    <row r="161" spans="1:35" s="25" customFormat="1" ht="36">
      <c r="A161" s="66"/>
      <c r="B161" s="63"/>
      <c r="C161" s="66">
        <v>2820</v>
      </c>
      <c r="D161" s="36" t="s">
        <v>236</v>
      </c>
      <c r="E161" s="62">
        <v>10000</v>
      </c>
      <c r="F161" s="62"/>
      <c r="G161" s="62">
        <f t="shared" si="106"/>
        <v>10000</v>
      </c>
      <c r="H161" s="62"/>
      <c r="I161" s="62">
        <f aca="true" t="shared" si="143" ref="I161:I173">SUM(G161:H161)</f>
        <v>10000</v>
      </c>
      <c r="J161" s="62"/>
      <c r="K161" s="62">
        <f aca="true" t="shared" si="144" ref="K161:K174">SUM(I161:J161)</f>
        <v>10000</v>
      </c>
      <c r="L161" s="62"/>
      <c r="M161" s="62">
        <f aca="true" t="shared" si="145" ref="M161:M174">SUM(K161:L161)</f>
        <v>10000</v>
      </c>
      <c r="N161" s="62"/>
      <c r="O161" s="62">
        <f aca="true" t="shared" si="146" ref="O161:O174">SUM(M161:N161)</f>
        <v>10000</v>
      </c>
      <c r="P161" s="62"/>
      <c r="Q161" s="62">
        <f aca="true" t="shared" si="147" ref="Q161:Q174">SUM(O161:P161)</f>
        <v>10000</v>
      </c>
      <c r="R161" s="62"/>
      <c r="S161" s="62">
        <f aca="true" t="shared" si="148" ref="S161:S174">SUM(Q161:R161)</f>
        <v>10000</v>
      </c>
      <c r="T161" s="62"/>
      <c r="U161" s="62">
        <f aca="true" t="shared" si="149" ref="U161:U174">SUM(S161:T161)</f>
        <v>10000</v>
      </c>
      <c r="V161" s="62"/>
      <c r="W161" s="62">
        <f aca="true" t="shared" si="150" ref="W161:W174">SUM(U161:V161)</f>
        <v>10000</v>
      </c>
      <c r="X161" s="62"/>
      <c r="Y161" s="62">
        <f aca="true" t="shared" si="151" ref="Y161:Y174">SUM(W161:X161)</f>
        <v>10000</v>
      </c>
      <c r="Z161" s="62"/>
      <c r="AA161" s="62">
        <f aca="true" t="shared" si="152" ref="AA161:AA174">SUM(Y161:Z161)</f>
        <v>10000</v>
      </c>
      <c r="AB161" s="62">
        <v>5633</v>
      </c>
      <c r="AC161" s="62">
        <f aca="true" t="shared" si="153" ref="AC161:AC174">SUM(AA161:AB161)</f>
        <v>15633</v>
      </c>
      <c r="AH161" s="79"/>
      <c r="AI161" s="79"/>
    </row>
    <row r="162" spans="1:29" s="25" customFormat="1" ht="24" customHeight="1">
      <c r="A162" s="66"/>
      <c r="B162" s="63"/>
      <c r="C162" s="66">
        <v>3020</v>
      </c>
      <c r="D162" s="36" t="s">
        <v>159</v>
      </c>
      <c r="E162" s="62">
        <v>19350</v>
      </c>
      <c r="F162" s="62"/>
      <c r="G162" s="62">
        <f t="shared" si="106"/>
        <v>19350</v>
      </c>
      <c r="H162" s="62"/>
      <c r="I162" s="62">
        <f t="shared" si="143"/>
        <v>19350</v>
      </c>
      <c r="J162" s="62"/>
      <c r="K162" s="62">
        <f t="shared" si="144"/>
        <v>19350</v>
      </c>
      <c r="L162" s="62"/>
      <c r="M162" s="62">
        <f t="shared" si="145"/>
        <v>19350</v>
      </c>
      <c r="N162" s="62"/>
      <c r="O162" s="62">
        <f t="shared" si="146"/>
        <v>19350</v>
      </c>
      <c r="P162" s="62"/>
      <c r="Q162" s="62">
        <f t="shared" si="147"/>
        <v>19350</v>
      </c>
      <c r="R162" s="62"/>
      <c r="S162" s="62">
        <f t="shared" si="148"/>
        <v>19350</v>
      </c>
      <c r="T162" s="62"/>
      <c r="U162" s="62">
        <f t="shared" si="149"/>
        <v>19350</v>
      </c>
      <c r="V162" s="62"/>
      <c r="W162" s="62">
        <f t="shared" si="150"/>
        <v>19350</v>
      </c>
      <c r="X162" s="62">
        <v>-6000</v>
      </c>
      <c r="Y162" s="62">
        <f t="shared" si="151"/>
        <v>13350</v>
      </c>
      <c r="Z162" s="62">
        <v>2200</v>
      </c>
      <c r="AA162" s="62">
        <f t="shared" si="152"/>
        <v>15550</v>
      </c>
      <c r="AB162" s="62">
        <v>-3000</v>
      </c>
      <c r="AC162" s="62">
        <f t="shared" si="153"/>
        <v>12550</v>
      </c>
    </row>
    <row r="163" spans="1:29" s="25" customFormat="1" ht="21" customHeight="1">
      <c r="A163" s="66"/>
      <c r="B163" s="63"/>
      <c r="C163" s="66">
        <v>3030</v>
      </c>
      <c r="D163" s="36" t="s">
        <v>84</v>
      </c>
      <c r="E163" s="62">
        <v>15000</v>
      </c>
      <c r="F163" s="62"/>
      <c r="G163" s="62">
        <f t="shared" si="106"/>
        <v>15000</v>
      </c>
      <c r="H163" s="62"/>
      <c r="I163" s="62">
        <f t="shared" si="143"/>
        <v>15000</v>
      </c>
      <c r="J163" s="62"/>
      <c r="K163" s="62">
        <f t="shared" si="144"/>
        <v>15000</v>
      </c>
      <c r="L163" s="62"/>
      <c r="M163" s="62">
        <f t="shared" si="145"/>
        <v>15000</v>
      </c>
      <c r="N163" s="62"/>
      <c r="O163" s="62">
        <f t="shared" si="146"/>
        <v>15000</v>
      </c>
      <c r="P163" s="62"/>
      <c r="Q163" s="62">
        <f t="shared" si="147"/>
        <v>15000</v>
      </c>
      <c r="R163" s="62"/>
      <c r="S163" s="62">
        <f t="shared" si="148"/>
        <v>15000</v>
      </c>
      <c r="T163" s="62"/>
      <c r="U163" s="62">
        <f t="shared" si="149"/>
        <v>15000</v>
      </c>
      <c r="V163" s="62"/>
      <c r="W163" s="62">
        <f t="shared" si="150"/>
        <v>15000</v>
      </c>
      <c r="X163" s="62">
        <v>10000</v>
      </c>
      <c r="Y163" s="62">
        <f t="shared" si="151"/>
        <v>25000</v>
      </c>
      <c r="Z163" s="62"/>
      <c r="AA163" s="62">
        <f t="shared" si="152"/>
        <v>25000</v>
      </c>
      <c r="AB163" s="62"/>
      <c r="AC163" s="62">
        <f t="shared" si="153"/>
        <v>25000</v>
      </c>
    </row>
    <row r="164" spans="1:31" s="25" customFormat="1" ht="21" customHeight="1">
      <c r="A164" s="66"/>
      <c r="B164" s="63"/>
      <c r="C164" s="66">
        <v>4110</v>
      </c>
      <c r="D164" s="36" t="s">
        <v>81</v>
      </c>
      <c r="E164" s="62">
        <v>4550</v>
      </c>
      <c r="F164" s="62"/>
      <c r="G164" s="62">
        <f t="shared" si="106"/>
        <v>4550</v>
      </c>
      <c r="H164" s="62"/>
      <c r="I164" s="62">
        <f t="shared" si="143"/>
        <v>4550</v>
      </c>
      <c r="J164" s="62"/>
      <c r="K164" s="62">
        <f t="shared" si="144"/>
        <v>4550</v>
      </c>
      <c r="L164" s="62"/>
      <c r="M164" s="62">
        <f t="shared" si="145"/>
        <v>4550</v>
      </c>
      <c r="N164" s="62"/>
      <c r="O164" s="62">
        <f t="shared" si="146"/>
        <v>4550</v>
      </c>
      <c r="P164" s="62"/>
      <c r="Q164" s="62">
        <f t="shared" si="147"/>
        <v>4550</v>
      </c>
      <c r="R164" s="62"/>
      <c r="S164" s="62">
        <f t="shared" si="148"/>
        <v>4550</v>
      </c>
      <c r="T164" s="62"/>
      <c r="U164" s="62">
        <f t="shared" si="149"/>
        <v>4550</v>
      </c>
      <c r="V164" s="62"/>
      <c r="W164" s="62">
        <f t="shared" si="150"/>
        <v>4550</v>
      </c>
      <c r="X164" s="62"/>
      <c r="Y164" s="62">
        <f t="shared" si="151"/>
        <v>4550</v>
      </c>
      <c r="Z164" s="62"/>
      <c r="AA164" s="62">
        <f t="shared" si="152"/>
        <v>4550</v>
      </c>
      <c r="AB164" s="62"/>
      <c r="AC164" s="62">
        <f t="shared" si="153"/>
        <v>4550</v>
      </c>
      <c r="AD164" s="79"/>
      <c r="AE164" s="79"/>
    </row>
    <row r="165" spans="1:31" s="25" customFormat="1" ht="21" customHeight="1">
      <c r="A165" s="66"/>
      <c r="B165" s="63"/>
      <c r="C165" s="66">
        <v>4120</v>
      </c>
      <c r="D165" s="36" t="s">
        <v>418</v>
      </c>
      <c r="E165" s="62">
        <v>700</v>
      </c>
      <c r="F165" s="62"/>
      <c r="G165" s="62">
        <f t="shared" si="106"/>
        <v>700</v>
      </c>
      <c r="H165" s="62"/>
      <c r="I165" s="62">
        <f t="shared" si="143"/>
        <v>700</v>
      </c>
      <c r="J165" s="62"/>
      <c r="K165" s="62">
        <f t="shared" si="144"/>
        <v>700</v>
      </c>
      <c r="L165" s="62"/>
      <c r="M165" s="62">
        <f t="shared" si="145"/>
        <v>700</v>
      </c>
      <c r="N165" s="62"/>
      <c r="O165" s="62">
        <f t="shared" si="146"/>
        <v>700</v>
      </c>
      <c r="P165" s="62"/>
      <c r="Q165" s="62">
        <f t="shared" si="147"/>
        <v>700</v>
      </c>
      <c r="R165" s="62"/>
      <c r="S165" s="62">
        <f t="shared" si="148"/>
        <v>700</v>
      </c>
      <c r="T165" s="62"/>
      <c r="U165" s="62">
        <f t="shared" si="149"/>
        <v>700</v>
      </c>
      <c r="V165" s="62"/>
      <c r="W165" s="62">
        <f t="shared" si="150"/>
        <v>700</v>
      </c>
      <c r="X165" s="62"/>
      <c r="Y165" s="62">
        <f t="shared" si="151"/>
        <v>700</v>
      </c>
      <c r="Z165" s="62"/>
      <c r="AA165" s="62">
        <f t="shared" si="152"/>
        <v>700</v>
      </c>
      <c r="AB165" s="62"/>
      <c r="AC165" s="62">
        <f t="shared" si="153"/>
        <v>700</v>
      </c>
      <c r="AD165" s="79"/>
      <c r="AE165" s="79"/>
    </row>
    <row r="166" spans="1:31" s="25" customFormat="1" ht="21" customHeight="1">
      <c r="A166" s="66"/>
      <c r="B166" s="63"/>
      <c r="C166" s="49">
        <v>4170</v>
      </c>
      <c r="D166" s="36" t="s">
        <v>161</v>
      </c>
      <c r="E166" s="62">
        <v>28500</v>
      </c>
      <c r="F166" s="62"/>
      <c r="G166" s="62">
        <f t="shared" si="106"/>
        <v>28500</v>
      </c>
      <c r="H166" s="62"/>
      <c r="I166" s="62">
        <f t="shared" si="143"/>
        <v>28500</v>
      </c>
      <c r="J166" s="62"/>
      <c r="K166" s="62">
        <f t="shared" si="144"/>
        <v>28500</v>
      </c>
      <c r="L166" s="62"/>
      <c r="M166" s="62">
        <f t="shared" si="145"/>
        <v>28500</v>
      </c>
      <c r="N166" s="62"/>
      <c r="O166" s="62">
        <f t="shared" si="146"/>
        <v>28500</v>
      </c>
      <c r="P166" s="62"/>
      <c r="Q166" s="62">
        <f t="shared" si="147"/>
        <v>28500</v>
      </c>
      <c r="R166" s="62"/>
      <c r="S166" s="62">
        <f t="shared" si="148"/>
        <v>28500</v>
      </c>
      <c r="T166" s="62"/>
      <c r="U166" s="62">
        <f t="shared" si="149"/>
        <v>28500</v>
      </c>
      <c r="V166" s="62"/>
      <c r="W166" s="62">
        <f t="shared" si="150"/>
        <v>28500</v>
      </c>
      <c r="X166" s="62"/>
      <c r="Y166" s="62">
        <f t="shared" si="151"/>
        <v>28500</v>
      </c>
      <c r="Z166" s="62"/>
      <c r="AA166" s="62">
        <f t="shared" si="152"/>
        <v>28500</v>
      </c>
      <c r="AB166" s="62"/>
      <c r="AC166" s="62">
        <f t="shared" si="153"/>
        <v>28500</v>
      </c>
      <c r="AD166" s="79"/>
      <c r="AE166" s="79"/>
    </row>
    <row r="167" spans="1:29" s="25" customFormat="1" ht="21" customHeight="1">
      <c r="A167" s="66"/>
      <c r="B167" s="63"/>
      <c r="C167" s="49">
        <v>4210</v>
      </c>
      <c r="D167" s="36" t="s">
        <v>86</v>
      </c>
      <c r="E167" s="62">
        <f>9000+43500</f>
        <v>52500</v>
      </c>
      <c r="F167" s="62"/>
      <c r="G167" s="62">
        <f t="shared" si="106"/>
        <v>52500</v>
      </c>
      <c r="H167" s="62"/>
      <c r="I167" s="62">
        <f t="shared" si="143"/>
        <v>52500</v>
      </c>
      <c r="J167" s="62">
        <v>-170</v>
      </c>
      <c r="K167" s="62">
        <f t="shared" si="144"/>
        <v>52330</v>
      </c>
      <c r="L167" s="62"/>
      <c r="M167" s="62">
        <f t="shared" si="145"/>
        <v>52330</v>
      </c>
      <c r="N167" s="62"/>
      <c r="O167" s="62">
        <f t="shared" si="146"/>
        <v>52330</v>
      </c>
      <c r="P167" s="62"/>
      <c r="Q167" s="62">
        <f t="shared" si="147"/>
        <v>52330</v>
      </c>
      <c r="R167" s="62"/>
      <c r="S167" s="62">
        <f t="shared" si="148"/>
        <v>52330</v>
      </c>
      <c r="T167" s="62"/>
      <c r="U167" s="62">
        <f t="shared" si="149"/>
        <v>52330</v>
      </c>
      <c r="V167" s="62"/>
      <c r="W167" s="62">
        <f t="shared" si="150"/>
        <v>52330</v>
      </c>
      <c r="X167" s="62">
        <v>-4000</v>
      </c>
      <c r="Y167" s="62">
        <f t="shared" si="151"/>
        <v>48330</v>
      </c>
      <c r="Z167" s="62">
        <v>-2200</v>
      </c>
      <c r="AA167" s="62">
        <f t="shared" si="152"/>
        <v>46130</v>
      </c>
      <c r="AB167" s="62">
        <v>-2633</v>
      </c>
      <c r="AC167" s="62">
        <f t="shared" si="153"/>
        <v>43497</v>
      </c>
    </row>
    <row r="168" spans="1:29" s="25" customFormat="1" ht="21" customHeight="1">
      <c r="A168" s="66"/>
      <c r="B168" s="63"/>
      <c r="C168" s="49">
        <v>4260</v>
      </c>
      <c r="D168" s="36" t="s">
        <v>88</v>
      </c>
      <c r="E168" s="62">
        <v>15000</v>
      </c>
      <c r="F168" s="62"/>
      <c r="G168" s="62">
        <f t="shared" si="106"/>
        <v>15000</v>
      </c>
      <c r="H168" s="62"/>
      <c r="I168" s="62">
        <f t="shared" si="143"/>
        <v>15000</v>
      </c>
      <c r="J168" s="62"/>
      <c r="K168" s="62">
        <f t="shared" si="144"/>
        <v>15000</v>
      </c>
      <c r="L168" s="62"/>
      <c r="M168" s="62">
        <f t="shared" si="145"/>
        <v>15000</v>
      </c>
      <c r="N168" s="62"/>
      <c r="O168" s="62">
        <f t="shared" si="146"/>
        <v>15000</v>
      </c>
      <c r="P168" s="62"/>
      <c r="Q168" s="62">
        <f t="shared" si="147"/>
        <v>15000</v>
      </c>
      <c r="R168" s="62"/>
      <c r="S168" s="62">
        <f t="shared" si="148"/>
        <v>15000</v>
      </c>
      <c r="T168" s="62"/>
      <c r="U168" s="62">
        <f t="shared" si="149"/>
        <v>15000</v>
      </c>
      <c r="V168" s="62"/>
      <c r="W168" s="62">
        <f t="shared" si="150"/>
        <v>15000</v>
      </c>
      <c r="X168" s="62"/>
      <c r="Y168" s="62">
        <f t="shared" si="151"/>
        <v>15000</v>
      </c>
      <c r="Z168" s="62"/>
      <c r="AA168" s="62">
        <f t="shared" si="152"/>
        <v>15000</v>
      </c>
      <c r="AB168" s="62"/>
      <c r="AC168" s="62">
        <f t="shared" si="153"/>
        <v>15000</v>
      </c>
    </row>
    <row r="169" spans="1:29" s="25" customFormat="1" ht="21" customHeight="1">
      <c r="A169" s="66"/>
      <c r="B169" s="63"/>
      <c r="C169" s="49">
        <v>4270</v>
      </c>
      <c r="D169" s="36" t="s">
        <v>74</v>
      </c>
      <c r="E169" s="62">
        <v>13000</v>
      </c>
      <c r="F169" s="62"/>
      <c r="G169" s="62">
        <f t="shared" si="106"/>
        <v>13000</v>
      </c>
      <c r="H169" s="62"/>
      <c r="I169" s="62">
        <f t="shared" si="143"/>
        <v>13000</v>
      </c>
      <c r="J169" s="62"/>
      <c r="K169" s="62">
        <f t="shared" si="144"/>
        <v>13000</v>
      </c>
      <c r="L169" s="62"/>
      <c r="M169" s="62">
        <f t="shared" si="145"/>
        <v>13000</v>
      </c>
      <c r="N169" s="62"/>
      <c r="O169" s="62">
        <f t="shared" si="146"/>
        <v>13000</v>
      </c>
      <c r="P169" s="62"/>
      <c r="Q169" s="62">
        <f t="shared" si="147"/>
        <v>13000</v>
      </c>
      <c r="R169" s="62"/>
      <c r="S169" s="62">
        <f t="shared" si="148"/>
        <v>13000</v>
      </c>
      <c r="T169" s="62"/>
      <c r="U169" s="62">
        <f t="shared" si="149"/>
        <v>13000</v>
      </c>
      <c r="V169" s="62"/>
      <c r="W169" s="62">
        <f t="shared" si="150"/>
        <v>13000</v>
      </c>
      <c r="X169" s="62"/>
      <c r="Y169" s="62">
        <f t="shared" si="151"/>
        <v>13000</v>
      </c>
      <c r="Z169" s="62"/>
      <c r="AA169" s="62">
        <f t="shared" si="152"/>
        <v>13000</v>
      </c>
      <c r="AB169" s="62"/>
      <c r="AC169" s="62">
        <f t="shared" si="153"/>
        <v>13000</v>
      </c>
    </row>
    <row r="170" spans="1:29" s="25" customFormat="1" ht="21" customHeight="1">
      <c r="A170" s="66"/>
      <c r="B170" s="63"/>
      <c r="C170" s="49">
        <v>4280</v>
      </c>
      <c r="D170" s="36" t="s">
        <v>407</v>
      </c>
      <c r="E170" s="62">
        <v>6000</v>
      </c>
      <c r="F170" s="62"/>
      <c r="G170" s="62">
        <f t="shared" si="106"/>
        <v>6000</v>
      </c>
      <c r="H170" s="62"/>
      <c r="I170" s="62">
        <f t="shared" si="143"/>
        <v>6000</v>
      </c>
      <c r="J170" s="62"/>
      <c r="K170" s="62">
        <f t="shared" si="144"/>
        <v>6000</v>
      </c>
      <c r="L170" s="62"/>
      <c r="M170" s="62">
        <f t="shared" si="145"/>
        <v>6000</v>
      </c>
      <c r="N170" s="62"/>
      <c r="O170" s="62">
        <f t="shared" si="146"/>
        <v>6000</v>
      </c>
      <c r="P170" s="62"/>
      <c r="Q170" s="62">
        <f t="shared" si="147"/>
        <v>6000</v>
      </c>
      <c r="R170" s="62"/>
      <c r="S170" s="62">
        <f t="shared" si="148"/>
        <v>6000</v>
      </c>
      <c r="T170" s="62"/>
      <c r="U170" s="62">
        <f t="shared" si="149"/>
        <v>6000</v>
      </c>
      <c r="V170" s="62"/>
      <c r="W170" s="62">
        <f t="shared" si="150"/>
        <v>6000</v>
      </c>
      <c r="X170" s="62"/>
      <c r="Y170" s="62">
        <f t="shared" si="151"/>
        <v>6000</v>
      </c>
      <c r="Z170" s="62"/>
      <c r="AA170" s="62">
        <f t="shared" si="152"/>
        <v>6000</v>
      </c>
      <c r="AB170" s="62"/>
      <c r="AC170" s="62">
        <f t="shared" si="153"/>
        <v>6000</v>
      </c>
    </row>
    <row r="171" spans="1:29" s="25" customFormat="1" ht="21" customHeight="1">
      <c r="A171" s="66"/>
      <c r="B171" s="63"/>
      <c r="C171" s="49">
        <v>4300</v>
      </c>
      <c r="D171" s="36" t="s">
        <v>75</v>
      </c>
      <c r="E171" s="62">
        <v>5400</v>
      </c>
      <c r="F171" s="62"/>
      <c r="G171" s="62">
        <f t="shared" si="106"/>
        <v>5400</v>
      </c>
      <c r="H171" s="62"/>
      <c r="I171" s="62">
        <f t="shared" si="143"/>
        <v>5400</v>
      </c>
      <c r="J171" s="62"/>
      <c r="K171" s="62">
        <f t="shared" si="144"/>
        <v>5400</v>
      </c>
      <c r="L171" s="62"/>
      <c r="M171" s="62">
        <f t="shared" si="145"/>
        <v>5400</v>
      </c>
      <c r="N171" s="62"/>
      <c r="O171" s="62">
        <f t="shared" si="146"/>
        <v>5400</v>
      </c>
      <c r="P171" s="62"/>
      <c r="Q171" s="62">
        <f t="shared" si="147"/>
        <v>5400</v>
      </c>
      <c r="R171" s="62"/>
      <c r="S171" s="62">
        <f t="shared" si="148"/>
        <v>5400</v>
      </c>
      <c r="T171" s="62"/>
      <c r="U171" s="62">
        <f t="shared" si="149"/>
        <v>5400</v>
      </c>
      <c r="V171" s="62"/>
      <c r="W171" s="62">
        <f t="shared" si="150"/>
        <v>5400</v>
      </c>
      <c r="X171" s="62"/>
      <c r="Y171" s="62">
        <f t="shared" si="151"/>
        <v>5400</v>
      </c>
      <c r="Z171" s="62"/>
      <c r="AA171" s="62">
        <f t="shared" si="152"/>
        <v>5400</v>
      </c>
      <c r="AB171" s="62"/>
      <c r="AC171" s="62">
        <f t="shared" si="153"/>
        <v>5400</v>
      </c>
    </row>
    <row r="172" spans="1:29" s="25" customFormat="1" ht="21" customHeight="1">
      <c r="A172" s="66"/>
      <c r="B172" s="63"/>
      <c r="C172" s="49">
        <v>4410</v>
      </c>
      <c r="D172" s="36" t="s">
        <v>85</v>
      </c>
      <c r="E172" s="62">
        <v>4000</v>
      </c>
      <c r="F172" s="62"/>
      <c r="G172" s="62">
        <f t="shared" si="106"/>
        <v>4000</v>
      </c>
      <c r="H172" s="62"/>
      <c r="I172" s="62">
        <f t="shared" si="143"/>
        <v>4000</v>
      </c>
      <c r="J172" s="62"/>
      <c r="K172" s="62">
        <f t="shared" si="144"/>
        <v>4000</v>
      </c>
      <c r="L172" s="62"/>
      <c r="M172" s="62">
        <f t="shared" si="145"/>
        <v>4000</v>
      </c>
      <c r="N172" s="62"/>
      <c r="O172" s="62">
        <f t="shared" si="146"/>
        <v>4000</v>
      </c>
      <c r="P172" s="62"/>
      <c r="Q172" s="62">
        <f t="shared" si="147"/>
        <v>4000</v>
      </c>
      <c r="R172" s="62"/>
      <c r="S172" s="62">
        <f t="shared" si="148"/>
        <v>4000</v>
      </c>
      <c r="T172" s="62"/>
      <c r="U172" s="62">
        <f t="shared" si="149"/>
        <v>4000</v>
      </c>
      <c r="V172" s="62"/>
      <c r="W172" s="62">
        <f t="shared" si="150"/>
        <v>4000</v>
      </c>
      <c r="X172" s="62"/>
      <c r="Y172" s="62">
        <f t="shared" si="151"/>
        <v>4000</v>
      </c>
      <c r="Z172" s="62"/>
      <c r="AA172" s="62">
        <f t="shared" si="152"/>
        <v>4000</v>
      </c>
      <c r="AB172" s="62"/>
      <c r="AC172" s="62">
        <f t="shared" si="153"/>
        <v>4000</v>
      </c>
    </row>
    <row r="173" spans="1:29" s="25" customFormat="1" ht="21" customHeight="1">
      <c r="A173" s="66"/>
      <c r="B173" s="63"/>
      <c r="C173" s="49">
        <v>4430</v>
      </c>
      <c r="D173" s="36" t="s">
        <v>87</v>
      </c>
      <c r="E173" s="62">
        <v>10000</v>
      </c>
      <c r="F173" s="62"/>
      <c r="G173" s="62">
        <f t="shared" si="106"/>
        <v>10000</v>
      </c>
      <c r="H173" s="62"/>
      <c r="I173" s="62">
        <f t="shared" si="143"/>
        <v>10000</v>
      </c>
      <c r="J173" s="62"/>
      <c r="K173" s="62">
        <f t="shared" si="144"/>
        <v>10000</v>
      </c>
      <c r="L173" s="62"/>
      <c r="M173" s="62">
        <f t="shared" si="145"/>
        <v>10000</v>
      </c>
      <c r="N173" s="62"/>
      <c r="O173" s="62">
        <f t="shared" si="146"/>
        <v>10000</v>
      </c>
      <c r="P173" s="62"/>
      <c r="Q173" s="62">
        <f t="shared" si="147"/>
        <v>10000</v>
      </c>
      <c r="R173" s="62"/>
      <c r="S173" s="62">
        <f t="shared" si="148"/>
        <v>10000</v>
      </c>
      <c r="T173" s="62"/>
      <c r="U173" s="62">
        <f t="shared" si="149"/>
        <v>10000</v>
      </c>
      <c r="V173" s="62"/>
      <c r="W173" s="62">
        <f t="shared" si="150"/>
        <v>10000</v>
      </c>
      <c r="X173" s="62"/>
      <c r="Y173" s="62">
        <f t="shared" si="151"/>
        <v>10000</v>
      </c>
      <c r="Z173" s="62"/>
      <c r="AA173" s="62">
        <f t="shared" si="152"/>
        <v>10000</v>
      </c>
      <c r="AB173" s="62"/>
      <c r="AC173" s="62">
        <f t="shared" si="153"/>
        <v>10000</v>
      </c>
    </row>
    <row r="174" spans="1:33" s="25" customFormat="1" ht="24" customHeight="1">
      <c r="A174" s="66"/>
      <c r="B174" s="63"/>
      <c r="C174" s="49">
        <v>6050</v>
      </c>
      <c r="D174" s="14" t="s">
        <v>69</v>
      </c>
      <c r="E174" s="62"/>
      <c r="F174" s="62"/>
      <c r="G174" s="62"/>
      <c r="H174" s="62"/>
      <c r="I174" s="62">
        <v>0</v>
      </c>
      <c r="J174" s="62">
        <v>170</v>
      </c>
      <c r="K174" s="62">
        <f t="shared" si="144"/>
        <v>170</v>
      </c>
      <c r="L174" s="62"/>
      <c r="M174" s="62">
        <f t="shared" si="145"/>
        <v>170</v>
      </c>
      <c r="N174" s="62"/>
      <c r="O174" s="62">
        <f t="shared" si="146"/>
        <v>170</v>
      </c>
      <c r="P174" s="62"/>
      <c r="Q174" s="62">
        <f t="shared" si="147"/>
        <v>170</v>
      </c>
      <c r="R174" s="62"/>
      <c r="S174" s="62">
        <f t="shared" si="148"/>
        <v>170</v>
      </c>
      <c r="T174" s="62"/>
      <c r="U174" s="62">
        <f t="shared" si="149"/>
        <v>170</v>
      </c>
      <c r="V174" s="62"/>
      <c r="W174" s="62">
        <f t="shared" si="150"/>
        <v>170</v>
      </c>
      <c r="X174" s="62"/>
      <c r="Y174" s="62">
        <f t="shared" si="151"/>
        <v>170</v>
      </c>
      <c r="Z174" s="62"/>
      <c r="AA174" s="62">
        <f t="shared" si="152"/>
        <v>170</v>
      </c>
      <c r="AB174" s="62"/>
      <c r="AC174" s="62">
        <f t="shared" si="153"/>
        <v>170</v>
      </c>
      <c r="AF174" s="79"/>
      <c r="AG174" s="79"/>
    </row>
    <row r="175" spans="1:29" s="25" customFormat="1" ht="21" customHeight="1">
      <c r="A175" s="66"/>
      <c r="B175" s="63">
        <v>75416</v>
      </c>
      <c r="C175" s="66"/>
      <c r="D175" s="36" t="s">
        <v>24</v>
      </c>
      <c r="E175" s="62">
        <f aca="true" t="shared" si="154" ref="E175:W175">SUM(E176:E192)</f>
        <v>259253</v>
      </c>
      <c r="F175" s="62">
        <f t="shared" si="154"/>
        <v>0</v>
      </c>
      <c r="G175" s="62">
        <f t="shared" si="154"/>
        <v>259253</v>
      </c>
      <c r="H175" s="62">
        <f t="shared" si="154"/>
        <v>0</v>
      </c>
      <c r="I175" s="62">
        <f t="shared" si="154"/>
        <v>259253</v>
      </c>
      <c r="J175" s="62">
        <f t="shared" si="154"/>
        <v>0</v>
      </c>
      <c r="K175" s="62">
        <f t="shared" si="154"/>
        <v>259253</v>
      </c>
      <c r="L175" s="62">
        <f t="shared" si="154"/>
        <v>0</v>
      </c>
      <c r="M175" s="62">
        <f t="shared" si="154"/>
        <v>259253</v>
      </c>
      <c r="N175" s="62">
        <f t="shared" si="154"/>
        <v>0</v>
      </c>
      <c r="O175" s="62">
        <f t="shared" si="154"/>
        <v>259253</v>
      </c>
      <c r="P175" s="62">
        <f t="shared" si="154"/>
        <v>0</v>
      </c>
      <c r="Q175" s="62">
        <f t="shared" si="154"/>
        <v>259253</v>
      </c>
      <c r="R175" s="62">
        <f t="shared" si="154"/>
        <v>0</v>
      </c>
      <c r="S175" s="62">
        <f t="shared" si="154"/>
        <v>259253</v>
      </c>
      <c r="T175" s="62">
        <f t="shared" si="154"/>
        <v>0</v>
      </c>
      <c r="U175" s="62">
        <f t="shared" si="154"/>
        <v>259253</v>
      </c>
      <c r="V175" s="62">
        <f t="shared" si="154"/>
        <v>0</v>
      </c>
      <c r="W175" s="62">
        <f t="shared" si="154"/>
        <v>259253</v>
      </c>
      <c r="X175" s="62">
        <f aca="true" t="shared" si="155" ref="X175:AC175">SUM(X176:X192)</f>
        <v>0</v>
      </c>
      <c r="Y175" s="62">
        <f t="shared" si="155"/>
        <v>259253</v>
      </c>
      <c r="Z175" s="62">
        <f t="shared" si="155"/>
        <v>0</v>
      </c>
      <c r="AA175" s="62">
        <f t="shared" si="155"/>
        <v>259253</v>
      </c>
      <c r="AB175" s="62">
        <f t="shared" si="155"/>
        <v>0</v>
      </c>
      <c r="AC175" s="62">
        <f t="shared" si="155"/>
        <v>259253</v>
      </c>
    </row>
    <row r="176" spans="1:29" s="25" customFormat="1" ht="27.75" customHeight="1">
      <c r="A176" s="66"/>
      <c r="B176" s="63"/>
      <c r="C176" s="49">
        <v>3020</v>
      </c>
      <c r="D176" s="36" t="s">
        <v>159</v>
      </c>
      <c r="E176" s="62">
        <v>6045</v>
      </c>
      <c r="F176" s="62"/>
      <c r="G176" s="62">
        <f t="shared" si="106"/>
        <v>6045</v>
      </c>
      <c r="H176" s="62"/>
      <c r="I176" s="62">
        <f aca="true" t="shared" si="156" ref="I176:I192">SUM(G176:H176)</f>
        <v>6045</v>
      </c>
      <c r="J176" s="62"/>
      <c r="K176" s="62">
        <f aca="true" t="shared" si="157" ref="K176:K192">SUM(I176:J176)</f>
        <v>6045</v>
      </c>
      <c r="L176" s="62"/>
      <c r="M176" s="62">
        <f aca="true" t="shared" si="158" ref="M176:M192">SUM(K176:L176)</f>
        <v>6045</v>
      </c>
      <c r="N176" s="62"/>
      <c r="O176" s="62">
        <f aca="true" t="shared" si="159" ref="O176:O192">SUM(M176:N176)</f>
        <v>6045</v>
      </c>
      <c r="P176" s="62"/>
      <c r="Q176" s="62">
        <f aca="true" t="shared" si="160" ref="Q176:Q192">SUM(O176:P176)</f>
        <v>6045</v>
      </c>
      <c r="R176" s="62"/>
      <c r="S176" s="62">
        <f aca="true" t="shared" si="161" ref="S176:S192">SUM(Q176:R176)</f>
        <v>6045</v>
      </c>
      <c r="T176" s="62"/>
      <c r="U176" s="62">
        <f aca="true" t="shared" si="162" ref="U176:U192">SUM(S176:T176)</f>
        <v>6045</v>
      </c>
      <c r="V176" s="62"/>
      <c r="W176" s="62">
        <f aca="true" t="shared" si="163" ref="W176:W192">SUM(U176:V176)</f>
        <v>6045</v>
      </c>
      <c r="X176" s="62"/>
      <c r="Y176" s="62">
        <f aca="true" t="shared" si="164" ref="Y176:Y192">SUM(W176:X176)</f>
        <v>6045</v>
      </c>
      <c r="Z176" s="62"/>
      <c r="AA176" s="62">
        <f aca="true" t="shared" si="165" ref="AA176:AA192">SUM(Y176:Z176)</f>
        <v>6045</v>
      </c>
      <c r="AB176" s="62"/>
      <c r="AC176" s="62">
        <f aca="true" t="shared" si="166" ref="AC176:AC192">SUM(AA176:AB176)</f>
        <v>6045</v>
      </c>
    </row>
    <row r="177" spans="1:31" s="25" customFormat="1" ht="21" customHeight="1">
      <c r="A177" s="66"/>
      <c r="B177" s="63"/>
      <c r="C177" s="49">
        <v>4010</v>
      </c>
      <c r="D177" s="36" t="s">
        <v>79</v>
      </c>
      <c r="E177" s="62">
        <v>176055</v>
      </c>
      <c r="F177" s="62"/>
      <c r="G177" s="62">
        <f t="shared" si="106"/>
        <v>176055</v>
      </c>
      <c r="H177" s="62"/>
      <c r="I177" s="62">
        <f t="shared" si="156"/>
        <v>176055</v>
      </c>
      <c r="J177" s="62"/>
      <c r="K177" s="62">
        <f t="shared" si="157"/>
        <v>176055</v>
      </c>
      <c r="L177" s="62"/>
      <c r="M177" s="62">
        <f t="shared" si="158"/>
        <v>176055</v>
      </c>
      <c r="N177" s="62"/>
      <c r="O177" s="62">
        <f t="shared" si="159"/>
        <v>176055</v>
      </c>
      <c r="P177" s="62"/>
      <c r="Q177" s="62">
        <f t="shared" si="160"/>
        <v>176055</v>
      </c>
      <c r="R177" s="62"/>
      <c r="S177" s="62">
        <f t="shared" si="161"/>
        <v>176055</v>
      </c>
      <c r="T177" s="62"/>
      <c r="U177" s="62">
        <f t="shared" si="162"/>
        <v>176055</v>
      </c>
      <c r="V177" s="62"/>
      <c r="W177" s="62">
        <f t="shared" si="163"/>
        <v>176055</v>
      </c>
      <c r="X177" s="62"/>
      <c r="Y177" s="62">
        <f t="shared" si="164"/>
        <v>176055</v>
      </c>
      <c r="Z177" s="62"/>
      <c r="AA177" s="62">
        <f t="shared" si="165"/>
        <v>176055</v>
      </c>
      <c r="AB177" s="62"/>
      <c r="AC177" s="62">
        <f t="shared" si="166"/>
        <v>176055</v>
      </c>
      <c r="AD177" s="79"/>
      <c r="AE177" s="79"/>
    </row>
    <row r="178" spans="1:31" s="25" customFormat="1" ht="21" customHeight="1">
      <c r="A178" s="66"/>
      <c r="B178" s="63"/>
      <c r="C178" s="49">
        <v>4040</v>
      </c>
      <c r="D178" s="36" t="s">
        <v>80</v>
      </c>
      <c r="E178" s="62">
        <v>10000</v>
      </c>
      <c r="F178" s="62"/>
      <c r="G178" s="62">
        <f t="shared" si="106"/>
        <v>10000</v>
      </c>
      <c r="H178" s="62"/>
      <c r="I178" s="62">
        <f t="shared" si="156"/>
        <v>10000</v>
      </c>
      <c r="J178" s="62"/>
      <c r="K178" s="62">
        <f t="shared" si="157"/>
        <v>10000</v>
      </c>
      <c r="L178" s="62"/>
      <c r="M178" s="62">
        <f t="shared" si="158"/>
        <v>10000</v>
      </c>
      <c r="N178" s="62"/>
      <c r="O178" s="62">
        <f t="shared" si="159"/>
        <v>10000</v>
      </c>
      <c r="P178" s="62"/>
      <c r="Q178" s="62">
        <f t="shared" si="160"/>
        <v>10000</v>
      </c>
      <c r="R178" s="62"/>
      <c r="S178" s="62">
        <f t="shared" si="161"/>
        <v>10000</v>
      </c>
      <c r="T178" s="62"/>
      <c r="U178" s="62">
        <f t="shared" si="162"/>
        <v>10000</v>
      </c>
      <c r="V178" s="62"/>
      <c r="W178" s="62">
        <f t="shared" si="163"/>
        <v>10000</v>
      </c>
      <c r="X178" s="62"/>
      <c r="Y178" s="62">
        <f t="shared" si="164"/>
        <v>10000</v>
      </c>
      <c r="Z178" s="62"/>
      <c r="AA178" s="62">
        <f t="shared" si="165"/>
        <v>10000</v>
      </c>
      <c r="AB178" s="62"/>
      <c r="AC178" s="62">
        <f t="shared" si="166"/>
        <v>10000</v>
      </c>
      <c r="AD178" s="79"/>
      <c r="AE178" s="79"/>
    </row>
    <row r="179" spans="1:31" s="25" customFormat="1" ht="21" customHeight="1">
      <c r="A179" s="66"/>
      <c r="B179" s="63"/>
      <c r="C179" s="49">
        <v>4110</v>
      </c>
      <c r="D179" s="36" t="s">
        <v>81</v>
      </c>
      <c r="E179" s="62">
        <v>28487</v>
      </c>
      <c r="F179" s="62"/>
      <c r="G179" s="62">
        <f t="shared" si="106"/>
        <v>28487</v>
      </c>
      <c r="H179" s="62"/>
      <c r="I179" s="62">
        <f t="shared" si="156"/>
        <v>28487</v>
      </c>
      <c r="J179" s="62"/>
      <c r="K179" s="62">
        <f t="shared" si="157"/>
        <v>28487</v>
      </c>
      <c r="L179" s="62"/>
      <c r="M179" s="62">
        <f t="shared" si="158"/>
        <v>28487</v>
      </c>
      <c r="N179" s="62"/>
      <c r="O179" s="62">
        <f t="shared" si="159"/>
        <v>28487</v>
      </c>
      <c r="P179" s="62"/>
      <c r="Q179" s="62">
        <f t="shared" si="160"/>
        <v>28487</v>
      </c>
      <c r="R179" s="62"/>
      <c r="S179" s="62">
        <f t="shared" si="161"/>
        <v>28487</v>
      </c>
      <c r="T179" s="62"/>
      <c r="U179" s="62">
        <f t="shared" si="162"/>
        <v>28487</v>
      </c>
      <c r="V179" s="62"/>
      <c r="W179" s="62">
        <f t="shared" si="163"/>
        <v>28487</v>
      </c>
      <c r="X179" s="62"/>
      <c r="Y179" s="62">
        <f t="shared" si="164"/>
        <v>28487</v>
      </c>
      <c r="Z179" s="62"/>
      <c r="AA179" s="62">
        <f t="shared" si="165"/>
        <v>28487</v>
      </c>
      <c r="AB179" s="62"/>
      <c r="AC179" s="62">
        <f t="shared" si="166"/>
        <v>28487</v>
      </c>
      <c r="AD179" s="79"/>
      <c r="AE179" s="79"/>
    </row>
    <row r="180" spans="1:31" s="25" customFormat="1" ht="21" customHeight="1">
      <c r="A180" s="66"/>
      <c r="B180" s="63"/>
      <c r="C180" s="49">
        <v>4120</v>
      </c>
      <c r="D180" s="36" t="s">
        <v>82</v>
      </c>
      <c r="E180" s="62">
        <v>4491</v>
      </c>
      <c r="F180" s="62"/>
      <c r="G180" s="62">
        <f t="shared" si="106"/>
        <v>4491</v>
      </c>
      <c r="H180" s="62"/>
      <c r="I180" s="62">
        <f t="shared" si="156"/>
        <v>4491</v>
      </c>
      <c r="J180" s="62"/>
      <c r="K180" s="62">
        <f t="shared" si="157"/>
        <v>4491</v>
      </c>
      <c r="L180" s="62"/>
      <c r="M180" s="62">
        <f t="shared" si="158"/>
        <v>4491</v>
      </c>
      <c r="N180" s="62"/>
      <c r="O180" s="62">
        <f t="shared" si="159"/>
        <v>4491</v>
      </c>
      <c r="P180" s="62"/>
      <c r="Q180" s="62">
        <f t="shared" si="160"/>
        <v>4491</v>
      </c>
      <c r="R180" s="62"/>
      <c r="S180" s="62">
        <f t="shared" si="161"/>
        <v>4491</v>
      </c>
      <c r="T180" s="62"/>
      <c r="U180" s="62">
        <f t="shared" si="162"/>
        <v>4491</v>
      </c>
      <c r="V180" s="62"/>
      <c r="W180" s="62">
        <f t="shared" si="163"/>
        <v>4491</v>
      </c>
      <c r="X180" s="62"/>
      <c r="Y180" s="62">
        <f t="shared" si="164"/>
        <v>4491</v>
      </c>
      <c r="Z180" s="62"/>
      <c r="AA180" s="62">
        <f t="shared" si="165"/>
        <v>4491</v>
      </c>
      <c r="AB180" s="62"/>
      <c r="AC180" s="62">
        <f t="shared" si="166"/>
        <v>4491</v>
      </c>
      <c r="AD180" s="79"/>
      <c r="AE180" s="79"/>
    </row>
    <row r="181" spans="1:29" s="25" customFormat="1" ht="21" customHeight="1">
      <c r="A181" s="66"/>
      <c r="B181" s="63"/>
      <c r="C181" s="49">
        <v>4210</v>
      </c>
      <c r="D181" s="36" t="s">
        <v>86</v>
      </c>
      <c r="E181" s="62">
        <v>12900</v>
      </c>
      <c r="F181" s="62"/>
      <c r="G181" s="62">
        <f t="shared" si="106"/>
        <v>12900</v>
      </c>
      <c r="H181" s="62"/>
      <c r="I181" s="62">
        <f t="shared" si="156"/>
        <v>12900</v>
      </c>
      <c r="J181" s="62"/>
      <c r="K181" s="62">
        <f t="shared" si="157"/>
        <v>12900</v>
      </c>
      <c r="L181" s="62"/>
      <c r="M181" s="62">
        <f t="shared" si="158"/>
        <v>12900</v>
      </c>
      <c r="N181" s="62"/>
      <c r="O181" s="62">
        <f t="shared" si="159"/>
        <v>12900</v>
      </c>
      <c r="P181" s="62"/>
      <c r="Q181" s="62">
        <f t="shared" si="160"/>
        <v>12900</v>
      </c>
      <c r="R181" s="62"/>
      <c r="S181" s="62">
        <f t="shared" si="161"/>
        <v>12900</v>
      </c>
      <c r="T181" s="62"/>
      <c r="U181" s="62">
        <f t="shared" si="162"/>
        <v>12900</v>
      </c>
      <c r="V181" s="62"/>
      <c r="W181" s="62">
        <f t="shared" si="163"/>
        <v>12900</v>
      </c>
      <c r="X181" s="62"/>
      <c r="Y181" s="62">
        <f t="shared" si="164"/>
        <v>12900</v>
      </c>
      <c r="Z181" s="62"/>
      <c r="AA181" s="62">
        <f t="shared" si="165"/>
        <v>12900</v>
      </c>
      <c r="AB181" s="62"/>
      <c r="AC181" s="62">
        <f t="shared" si="166"/>
        <v>12900</v>
      </c>
    </row>
    <row r="182" spans="1:29" s="25" customFormat="1" ht="21" customHeight="1">
      <c r="A182" s="66"/>
      <c r="B182" s="63"/>
      <c r="C182" s="49">
        <v>4270</v>
      </c>
      <c r="D182" s="36" t="s">
        <v>74</v>
      </c>
      <c r="E182" s="62">
        <v>2000</v>
      </c>
      <c r="F182" s="62"/>
      <c r="G182" s="62">
        <f t="shared" si="106"/>
        <v>2000</v>
      </c>
      <c r="H182" s="62"/>
      <c r="I182" s="62">
        <f t="shared" si="156"/>
        <v>2000</v>
      </c>
      <c r="J182" s="62"/>
      <c r="K182" s="62">
        <f t="shared" si="157"/>
        <v>2000</v>
      </c>
      <c r="L182" s="62"/>
      <c r="M182" s="62">
        <f t="shared" si="158"/>
        <v>2000</v>
      </c>
      <c r="N182" s="62"/>
      <c r="O182" s="62">
        <f t="shared" si="159"/>
        <v>2000</v>
      </c>
      <c r="P182" s="62"/>
      <c r="Q182" s="62">
        <f t="shared" si="160"/>
        <v>2000</v>
      </c>
      <c r="R182" s="62"/>
      <c r="S182" s="62">
        <f t="shared" si="161"/>
        <v>2000</v>
      </c>
      <c r="T182" s="62"/>
      <c r="U182" s="62">
        <f t="shared" si="162"/>
        <v>2000</v>
      </c>
      <c r="V182" s="62"/>
      <c r="W182" s="62">
        <f t="shared" si="163"/>
        <v>2000</v>
      </c>
      <c r="X182" s="62"/>
      <c r="Y182" s="62">
        <f t="shared" si="164"/>
        <v>2000</v>
      </c>
      <c r="Z182" s="62"/>
      <c r="AA182" s="62">
        <f t="shared" si="165"/>
        <v>2000</v>
      </c>
      <c r="AB182" s="62"/>
      <c r="AC182" s="62">
        <f t="shared" si="166"/>
        <v>2000</v>
      </c>
    </row>
    <row r="183" spans="1:29" s="25" customFormat="1" ht="21" customHeight="1">
      <c r="A183" s="66"/>
      <c r="B183" s="63"/>
      <c r="C183" s="49">
        <v>4280</v>
      </c>
      <c r="D183" s="36" t="s">
        <v>407</v>
      </c>
      <c r="E183" s="62">
        <v>1200</v>
      </c>
      <c r="F183" s="62"/>
      <c r="G183" s="62">
        <f t="shared" si="106"/>
        <v>1200</v>
      </c>
      <c r="H183" s="62"/>
      <c r="I183" s="62">
        <f t="shared" si="156"/>
        <v>1200</v>
      </c>
      <c r="J183" s="62"/>
      <c r="K183" s="62">
        <f t="shared" si="157"/>
        <v>1200</v>
      </c>
      <c r="L183" s="62"/>
      <c r="M183" s="62">
        <f t="shared" si="158"/>
        <v>1200</v>
      </c>
      <c r="N183" s="62"/>
      <c r="O183" s="62">
        <f t="shared" si="159"/>
        <v>1200</v>
      </c>
      <c r="P183" s="62"/>
      <c r="Q183" s="62">
        <f t="shared" si="160"/>
        <v>1200</v>
      </c>
      <c r="R183" s="62"/>
      <c r="S183" s="62">
        <f t="shared" si="161"/>
        <v>1200</v>
      </c>
      <c r="T183" s="62"/>
      <c r="U183" s="62">
        <f t="shared" si="162"/>
        <v>1200</v>
      </c>
      <c r="V183" s="62"/>
      <c r="W183" s="62">
        <f t="shared" si="163"/>
        <v>1200</v>
      </c>
      <c r="X183" s="62"/>
      <c r="Y183" s="62">
        <f t="shared" si="164"/>
        <v>1200</v>
      </c>
      <c r="Z183" s="62"/>
      <c r="AA183" s="62">
        <f t="shared" si="165"/>
        <v>1200</v>
      </c>
      <c r="AB183" s="62"/>
      <c r="AC183" s="62">
        <f t="shared" si="166"/>
        <v>1200</v>
      </c>
    </row>
    <row r="184" spans="1:29" s="25" customFormat="1" ht="21" customHeight="1">
      <c r="A184" s="66"/>
      <c r="B184" s="63"/>
      <c r="C184" s="49">
        <v>4300</v>
      </c>
      <c r="D184" s="36" t="s">
        <v>75</v>
      </c>
      <c r="E184" s="62">
        <v>3000</v>
      </c>
      <c r="F184" s="62"/>
      <c r="G184" s="62">
        <f t="shared" si="106"/>
        <v>3000</v>
      </c>
      <c r="H184" s="62"/>
      <c r="I184" s="62">
        <f t="shared" si="156"/>
        <v>3000</v>
      </c>
      <c r="J184" s="62"/>
      <c r="K184" s="62">
        <f t="shared" si="157"/>
        <v>3000</v>
      </c>
      <c r="L184" s="62"/>
      <c r="M184" s="62">
        <f t="shared" si="158"/>
        <v>3000</v>
      </c>
      <c r="N184" s="62"/>
      <c r="O184" s="62">
        <f t="shared" si="159"/>
        <v>3000</v>
      </c>
      <c r="P184" s="62"/>
      <c r="Q184" s="62">
        <f t="shared" si="160"/>
        <v>3000</v>
      </c>
      <c r="R184" s="62"/>
      <c r="S184" s="62">
        <f t="shared" si="161"/>
        <v>3000</v>
      </c>
      <c r="T184" s="62"/>
      <c r="U184" s="62">
        <f t="shared" si="162"/>
        <v>3000</v>
      </c>
      <c r="V184" s="62"/>
      <c r="W184" s="62">
        <f t="shared" si="163"/>
        <v>3000</v>
      </c>
      <c r="X184" s="62"/>
      <c r="Y184" s="62">
        <f t="shared" si="164"/>
        <v>3000</v>
      </c>
      <c r="Z184" s="62"/>
      <c r="AA184" s="62">
        <f t="shared" si="165"/>
        <v>3000</v>
      </c>
      <c r="AB184" s="62"/>
      <c r="AC184" s="62">
        <f t="shared" si="166"/>
        <v>3000</v>
      </c>
    </row>
    <row r="185" spans="1:29" s="25" customFormat="1" ht="24">
      <c r="A185" s="66"/>
      <c r="B185" s="63"/>
      <c r="C185" s="49">
        <v>4360</v>
      </c>
      <c r="D185" s="36" t="s">
        <v>413</v>
      </c>
      <c r="E185" s="62">
        <v>1800</v>
      </c>
      <c r="F185" s="62"/>
      <c r="G185" s="62">
        <f t="shared" si="106"/>
        <v>1800</v>
      </c>
      <c r="H185" s="62"/>
      <c r="I185" s="62">
        <f t="shared" si="156"/>
        <v>1800</v>
      </c>
      <c r="J185" s="62"/>
      <c r="K185" s="62">
        <f t="shared" si="157"/>
        <v>1800</v>
      </c>
      <c r="L185" s="62"/>
      <c r="M185" s="62">
        <f t="shared" si="158"/>
        <v>1800</v>
      </c>
      <c r="N185" s="62"/>
      <c r="O185" s="62">
        <f t="shared" si="159"/>
        <v>1800</v>
      </c>
      <c r="P185" s="62"/>
      <c r="Q185" s="62">
        <f t="shared" si="160"/>
        <v>1800</v>
      </c>
      <c r="R185" s="62"/>
      <c r="S185" s="62">
        <f t="shared" si="161"/>
        <v>1800</v>
      </c>
      <c r="T185" s="62"/>
      <c r="U185" s="62">
        <f t="shared" si="162"/>
        <v>1800</v>
      </c>
      <c r="V185" s="62"/>
      <c r="W185" s="62">
        <f t="shared" si="163"/>
        <v>1800</v>
      </c>
      <c r="X185" s="62"/>
      <c r="Y185" s="62">
        <f t="shared" si="164"/>
        <v>1800</v>
      </c>
      <c r="Z185" s="62"/>
      <c r="AA185" s="62">
        <f t="shared" si="165"/>
        <v>1800</v>
      </c>
      <c r="AB185" s="62"/>
      <c r="AC185" s="62">
        <f t="shared" si="166"/>
        <v>1800</v>
      </c>
    </row>
    <row r="186" spans="1:29" s="25" customFormat="1" ht="24">
      <c r="A186" s="66"/>
      <c r="B186" s="63"/>
      <c r="C186" s="49">
        <v>4400</v>
      </c>
      <c r="D186" s="36" t="s">
        <v>217</v>
      </c>
      <c r="E186" s="62">
        <v>1000</v>
      </c>
      <c r="F186" s="62"/>
      <c r="G186" s="62">
        <f t="shared" si="106"/>
        <v>1000</v>
      </c>
      <c r="H186" s="62"/>
      <c r="I186" s="62">
        <f t="shared" si="156"/>
        <v>1000</v>
      </c>
      <c r="J186" s="62">
        <v>-96</v>
      </c>
      <c r="K186" s="62">
        <f t="shared" si="157"/>
        <v>904</v>
      </c>
      <c r="L186" s="62"/>
      <c r="M186" s="62">
        <f t="shared" si="158"/>
        <v>904</v>
      </c>
      <c r="N186" s="62"/>
      <c r="O186" s="62">
        <f t="shared" si="159"/>
        <v>904</v>
      </c>
      <c r="P186" s="62"/>
      <c r="Q186" s="62">
        <f t="shared" si="160"/>
        <v>904</v>
      </c>
      <c r="R186" s="62"/>
      <c r="S186" s="62">
        <f t="shared" si="161"/>
        <v>904</v>
      </c>
      <c r="T186" s="62"/>
      <c r="U186" s="62">
        <f t="shared" si="162"/>
        <v>904</v>
      </c>
      <c r="V186" s="62"/>
      <c r="W186" s="62">
        <f t="shared" si="163"/>
        <v>904</v>
      </c>
      <c r="X186" s="62"/>
      <c r="Y186" s="62">
        <f t="shared" si="164"/>
        <v>904</v>
      </c>
      <c r="Z186" s="62"/>
      <c r="AA186" s="62">
        <f t="shared" si="165"/>
        <v>904</v>
      </c>
      <c r="AB186" s="62"/>
      <c r="AC186" s="62">
        <f t="shared" si="166"/>
        <v>904</v>
      </c>
    </row>
    <row r="187" spans="1:29" s="25" customFormat="1" ht="21" customHeight="1">
      <c r="A187" s="66"/>
      <c r="B187" s="63"/>
      <c r="C187" s="49">
        <v>4410</v>
      </c>
      <c r="D187" s="36" t="s">
        <v>85</v>
      </c>
      <c r="E187" s="62">
        <v>1200</v>
      </c>
      <c r="F187" s="62"/>
      <c r="G187" s="62">
        <f t="shared" si="106"/>
        <v>1200</v>
      </c>
      <c r="H187" s="62"/>
      <c r="I187" s="62">
        <f t="shared" si="156"/>
        <v>1200</v>
      </c>
      <c r="J187" s="62"/>
      <c r="K187" s="62">
        <f t="shared" si="157"/>
        <v>1200</v>
      </c>
      <c r="L187" s="62"/>
      <c r="M187" s="62">
        <f t="shared" si="158"/>
        <v>1200</v>
      </c>
      <c r="N187" s="62"/>
      <c r="O187" s="62">
        <f t="shared" si="159"/>
        <v>1200</v>
      </c>
      <c r="P187" s="62"/>
      <c r="Q187" s="62">
        <f t="shared" si="160"/>
        <v>1200</v>
      </c>
      <c r="R187" s="62"/>
      <c r="S187" s="62">
        <f t="shared" si="161"/>
        <v>1200</v>
      </c>
      <c r="T187" s="62"/>
      <c r="U187" s="62">
        <f t="shared" si="162"/>
        <v>1200</v>
      </c>
      <c r="V187" s="62"/>
      <c r="W187" s="62">
        <f t="shared" si="163"/>
        <v>1200</v>
      </c>
      <c r="X187" s="62"/>
      <c r="Y187" s="62">
        <f t="shared" si="164"/>
        <v>1200</v>
      </c>
      <c r="Z187" s="62"/>
      <c r="AA187" s="62">
        <f t="shared" si="165"/>
        <v>1200</v>
      </c>
      <c r="AB187" s="62"/>
      <c r="AC187" s="62">
        <f t="shared" si="166"/>
        <v>1200</v>
      </c>
    </row>
    <row r="188" spans="1:29" s="25" customFormat="1" ht="21" customHeight="1">
      <c r="A188" s="66"/>
      <c r="B188" s="63"/>
      <c r="C188" s="201">
        <v>4430</v>
      </c>
      <c r="D188" s="36" t="s">
        <v>87</v>
      </c>
      <c r="E188" s="62">
        <v>3500</v>
      </c>
      <c r="F188" s="62"/>
      <c r="G188" s="62">
        <f t="shared" si="106"/>
        <v>3500</v>
      </c>
      <c r="H188" s="62"/>
      <c r="I188" s="62">
        <f t="shared" si="156"/>
        <v>3500</v>
      </c>
      <c r="J188" s="62"/>
      <c r="K188" s="62">
        <f t="shared" si="157"/>
        <v>3500</v>
      </c>
      <c r="L188" s="62"/>
      <c r="M188" s="62">
        <f t="shared" si="158"/>
        <v>3500</v>
      </c>
      <c r="N188" s="62"/>
      <c r="O188" s="62">
        <f t="shared" si="159"/>
        <v>3500</v>
      </c>
      <c r="P188" s="62"/>
      <c r="Q188" s="62">
        <f t="shared" si="160"/>
        <v>3500</v>
      </c>
      <c r="R188" s="62"/>
      <c r="S188" s="62">
        <f t="shared" si="161"/>
        <v>3500</v>
      </c>
      <c r="T188" s="62"/>
      <c r="U188" s="62">
        <f t="shared" si="162"/>
        <v>3500</v>
      </c>
      <c r="V188" s="62"/>
      <c r="W188" s="62">
        <f t="shared" si="163"/>
        <v>3500</v>
      </c>
      <c r="X188" s="62"/>
      <c r="Y188" s="62">
        <f t="shared" si="164"/>
        <v>3500</v>
      </c>
      <c r="Z188" s="62"/>
      <c r="AA188" s="62">
        <f t="shared" si="165"/>
        <v>3500</v>
      </c>
      <c r="AB188" s="62"/>
      <c r="AC188" s="62">
        <f t="shared" si="166"/>
        <v>3500</v>
      </c>
    </row>
    <row r="189" spans="1:29" s="25" customFormat="1" ht="21" customHeight="1">
      <c r="A189" s="66"/>
      <c r="B189" s="63"/>
      <c r="C189" s="201">
        <v>4440</v>
      </c>
      <c r="D189" s="36" t="s">
        <v>83</v>
      </c>
      <c r="E189" s="62">
        <v>4875</v>
      </c>
      <c r="F189" s="62"/>
      <c r="G189" s="62">
        <f t="shared" si="106"/>
        <v>4875</v>
      </c>
      <c r="H189" s="62"/>
      <c r="I189" s="62">
        <f t="shared" si="156"/>
        <v>4875</v>
      </c>
      <c r="J189" s="62"/>
      <c r="K189" s="62">
        <f t="shared" si="157"/>
        <v>4875</v>
      </c>
      <c r="L189" s="62"/>
      <c r="M189" s="62">
        <f t="shared" si="158"/>
        <v>4875</v>
      </c>
      <c r="N189" s="62"/>
      <c r="O189" s="62">
        <f t="shared" si="159"/>
        <v>4875</v>
      </c>
      <c r="P189" s="62"/>
      <c r="Q189" s="62">
        <f t="shared" si="160"/>
        <v>4875</v>
      </c>
      <c r="R189" s="62"/>
      <c r="S189" s="62">
        <f t="shared" si="161"/>
        <v>4875</v>
      </c>
      <c r="T189" s="62"/>
      <c r="U189" s="62">
        <f t="shared" si="162"/>
        <v>4875</v>
      </c>
      <c r="V189" s="62"/>
      <c r="W189" s="62">
        <f t="shared" si="163"/>
        <v>4875</v>
      </c>
      <c r="X189" s="62"/>
      <c r="Y189" s="62">
        <f t="shared" si="164"/>
        <v>4875</v>
      </c>
      <c r="Z189" s="62"/>
      <c r="AA189" s="62">
        <f t="shared" si="165"/>
        <v>4875</v>
      </c>
      <c r="AB189" s="62"/>
      <c r="AC189" s="62">
        <f t="shared" si="166"/>
        <v>4875</v>
      </c>
    </row>
    <row r="190" spans="1:29" s="25" customFormat="1" ht="21" customHeight="1">
      <c r="A190" s="66"/>
      <c r="B190" s="63"/>
      <c r="C190" s="201">
        <v>4510</v>
      </c>
      <c r="D190" s="36" t="s">
        <v>403</v>
      </c>
      <c r="E190" s="62">
        <v>200</v>
      </c>
      <c r="F190" s="62"/>
      <c r="G190" s="62">
        <f t="shared" si="106"/>
        <v>200</v>
      </c>
      <c r="H190" s="62"/>
      <c r="I190" s="62">
        <f t="shared" si="156"/>
        <v>200</v>
      </c>
      <c r="J190" s="62"/>
      <c r="K190" s="62">
        <f t="shared" si="157"/>
        <v>200</v>
      </c>
      <c r="L190" s="62"/>
      <c r="M190" s="62">
        <f t="shared" si="158"/>
        <v>200</v>
      </c>
      <c r="N190" s="62"/>
      <c r="O190" s="62">
        <f t="shared" si="159"/>
        <v>200</v>
      </c>
      <c r="P190" s="62"/>
      <c r="Q190" s="62">
        <f t="shared" si="160"/>
        <v>200</v>
      </c>
      <c r="R190" s="62"/>
      <c r="S190" s="62">
        <f t="shared" si="161"/>
        <v>200</v>
      </c>
      <c r="T190" s="62"/>
      <c r="U190" s="62">
        <f t="shared" si="162"/>
        <v>200</v>
      </c>
      <c r="V190" s="62"/>
      <c r="W190" s="62">
        <f t="shared" si="163"/>
        <v>200</v>
      </c>
      <c r="X190" s="62"/>
      <c r="Y190" s="62">
        <f t="shared" si="164"/>
        <v>200</v>
      </c>
      <c r="Z190" s="62"/>
      <c r="AA190" s="62">
        <f t="shared" si="165"/>
        <v>200</v>
      </c>
      <c r="AB190" s="62"/>
      <c r="AC190" s="62">
        <f t="shared" si="166"/>
        <v>200</v>
      </c>
    </row>
    <row r="191" spans="1:29" s="25" customFormat="1" ht="21" customHeight="1">
      <c r="A191" s="66"/>
      <c r="B191" s="63"/>
      <c r="C191" s="201">
        <v>4580</v>
      </c>
      <c r="D191" s="36" t="s">
        <v>11</v>
      </c>
      <c r="E191" s="62"/>
      <c r="F191" s="62"/>
      <c r="G191" s="62"/>
      <c r="H191" s="62"/>
      <c r="I191" s="62">
        <v>0</v>
      </c>
      <c r="J191" s="62">
        <v>96</v>
      </c>
      <c r="K191" s="62">
        <f t="shared" si="157"/>
        <v>96</v>
      </c>
      <c r="L191" s="62"/>
      <c r="M191" s="62">
        <f t="shared" si="158"/>
        <v>96</v>
      </c>
      <c r="N191" s="62"/>
      <c r="O191" s="62">
        <f t="shared" si="159"/>
        <v>96</v>
      </c>
      <c r="P191" s="62"/>
      <c r="Q191" s="62">
        <f t="shared" si="160"/>
        <v>96</v>
      </c>
      <c r="R191" s="62"/>
      <c r="S191" s="62">
        <f t="shared" si="161"/>
        <v>96</v>
      </c>
      <c r="T191" s="62"/>
      <c r="U191" s="62">
        <f t="shared" si="162"/>
        <v>96</v>
      </c>
      <c r="V191" s="62"/>
      <c r="W191" s="62">
        <f t="shared" si="163"/>
        <v>96</v>
      </c>
      <c r="X191" s="62"/>
      <c r="Y191" s="62">
        <f t="shared" si="164"/>
        <v>96</v>
      </c>
      <c r="Z191" s="62"/>
      <c r="AA191" s="62">
        <f t="shared" si="165"/>
        <v>96</v>
      </c>
      <c r="AB191" s="62"/>
      <c r="AC191" s="62">
        <f t="shared" si="166"/>
        <v>96</v>
      </c>
    </row>
    <row r="192" spans="1:29" s="25" customFormat="1" ht="24">
      <c r="A192" s="66"/>
      <c r="B192" s="63"/>
      <c r="C192" s="201">
        <v>4700</v>
      </c>
      <c r="D192" s="36" t="s">
        <v>225</v>
      </c>
      <c r="E192" s="62">
        <v>2500</v>
      </c>
      <c r="F192" s="62"/>
      <c r="G192" s="62">
        <f t="shared" si="106"/>
        <v>2500</v>
      </c>
      <c r="H192" s="62"/>
      <c r="I192" s="62">
        <f t="shared" si="156"/>
        <v>2500</v>
      </c>
      <c r="J192" s="62"/>
      <c r="K192" s="62">
        <f t="shared" si="157"/>
        <v>2500</v>
      </c>
      <c r="L192" s="62"/>
      <c r="M192" s="62">
        <f t="shared" si="158"/>
        <v>2500</v>
      </c>
      <c r="N192" s="62"/>
      <c r="O192" s="62">
        <f t="shared" si="159"/>
        <v>2500</v>
      </c>
      <c r="P192" s="62"/>
      <c r="Q192" s="62">
        <f t="shared" si="160"/>
        <v>2500</v>
      </c>
      <c r="R192" s="62"/>
      <c r="S192" s="62">
        <f t="shared" si="161"/>
        <v>2500</v>
      </c>
      <c r="T192" s="62"/>
      <c r="U192" s="62">
        <f t="shared" si="162"/>
        <v>2500</v>
      </c>
      <c r="V192" s="62"/>
      <c r="W192" s="62">
        <f t="shared" si="163"/>
        <v>2500</v>
      </c>
      <c r="X192" s="62"/>
      <c r="Y192" s="62">
        <f t="shared" si="164"/>
        <v>2500</v>
      </c>
      <c r="Z192" s="62"/>
      <c r="AA192" s="62">
        <f t="shared" si="165"/>
        <v>2500</v>
      </c>
      <c r="AB192" s="62"/>
      <c r="AC192" s="62">
        <f t="shared" si="166"/>
        <v>2500</v>
      </c>
    </row>
    <row r="193" spans="1:29" s="25" customFormat="1" ht="20.25" customHeight="1">
      <c r="A193" s="66"/>
      <c r="B193" s="63">
        <v>75421</v>
      </c>
      <c r="C193" s="201"/>
      <c r="D193" s="36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>
        <f>SUM(Y194:Y195)</f>
        <v>0</v>
      </c>
      <c r="Z193" s="62">
        <f>SUM(Z194:Z195)</f>
        <v>76000</v>
      </c>
      <c r="AA193" s="62">
        <f>SUM(AA194:AA195)</f>
        <v>76000</v>
      </c>
      <c r="AB193" s="62">
        <f>SUM(AB194:AB195)</f>
        <v>0</v>
      </c>
      <c r="AC193" s="62">
        <f>SUM(AC194:AC195)</f>
        <v>76000</v>
      </c>
    </row>
    <row r="194" spans="1:29" s="25" customFormat="1" ht="21.75" customHeight="1">
      <c r="A194" s="66"/>
      <c r="B194" s="63"/>
      <c r="C194" s="201">
        <v>4270</v>
      </c>
      <c r="D194" s="36" t="s">
        <v>74</v>
      </c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>
        <v>0</v>
      </c>
      <c r="Z194" s="62">
        <v>10000</v>
      </c>
      <c r="AA194" s="62">
        <f>SUM(Y194:Z194)</f>
        <v>10000</v>
      </c>
      <c r="AB194" s="62"/>
      <c r="AC194" s="62">
        <f>SUM(AA194:AB194)</f>
        <v>10000</v>
      </c>
    </row>
    <row r="195" spans="1:33" s="25" customFormat="1" ht="22.5" customHeight="1">
      <c r="A195" s="66"/>
      <c r="B195" s="63"/>
      <c r="C195" s="201">
        <v>6060</v>
      </c>
      <c r="D195" s="36" t="s">
        <v>89</v>
      </c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>
        <v>0</v>
      </c>
      <c r="Z195" s="62">
        <v>66000</v>
      </c>
      <c r="AA195" s="62">
        <f>SUM(Y195:Z195)</f>
        <v>66000</v>
      </c>
      <c r="AB195" s="62"/>
      <c r="AC195" s="62">
        <f>SUM(AA195:AB195)</f>
        <v>66000</v>
      </c>
      <c r="AF195" s="79"/>
      <c r="AG195" s="79"/>
    </row>
    <row r="196" spans="1:29" s="25" customFormat="1" ht="21" customHeight="1">
      <c r="A196" s="66"/>
      <c r="B196" s="63" t="s">
        <v>91</v>
      </c>
      <c r="C196" s="66"/>
      <c r="D196" s="36" t="s">
        <v>6</v>
      </c>
      <c r="E196" s="62">
        <f aca="true" t="shared" si="167" ref="E196:W196">SUM(E197:E198)</f>
        <v>5000</v>
      </c>
      <c r="F196" s="62">
        <f t="shared" si="167"/>
        <v>150000</v>
      </c>
      <c r="G196" s="62">
        <f t="shared" si="167"/>
        <v>155000</v>
      </c>
      <c r="H196" s="62">
        <f t="shared" si="167"/>
        <v>0</v>
      </c>
      <c r="I196" s="62">
        <f t="shared" si="167"/>
        <v>155000</v>
      </c>
      <c r="J196" s="62">
        <f t="shared" si="167"/>
        <v>0</v>
      </c>
      <c r="K196" s="62">
        <f t="shared" si="167"/>
        <v>155000</v>
      </c>
      <c r="L196" s="62">
        <f t="shared" si="167"/>
        <v>0</v>
      </c>
      <c r="M196" s="62">
        <f t="shared" si="167"/>
        <v>155000</v>
      </c>
      <c r="N196" s="62">
        <f t="shared" si="167"/>
        <v>0</v>
      </c>
      <c r="O196" s="62">
        <f t="shared" si="167"/>
        <v>155000</v>
      </c>
      <c r="P196" s="62">
        <f t="shared" si="167"/>
        <v>0</v>
      </c>
      <c r="Q196" s="62">
        <f t="shared" si="167"/>
        <v>155000</v>
      </c>
      <c r="R196" s="62">
        <f t="shared" si="167"/>
        <v>0</v>
      </c>
      <c r="S196" s="62">
        <f t="shared" si="167"/>
        <v>155000</v>
      </c>
      <c r="T196" s="62">
        <f t="shared" si="167"/>
        <v>0</v>
      </c>
      <c r="U196" s="62">
        <f t="shared" si="167"/>
        <v>155000</v>
      </c>
      <c r="V196" s="62">
        <f t="shared" si="167"/>
        <v>0</v>
      </c>
      <c r="W196" s="62">
        <f t="shared" si="167"/>
        <v>155000</v>
      </c>
      <c r="X196" s="62">
        <f aca="true" t="shared" si="168" ref="X196:AC196">SUM(X197:X198)</f>
        <v>0</v>
      </c>
      <c r="Y196" s="62">
        <f t="shared" si="168"/>
        <v>155000</v>
      </c>
      <c r="Z196" s="62">
        <f t="shared" si="168"/>
        <v>0</v>
      </c>
      <c r="AA196" s="62">
        <f t="shared" si="168"/>
        <v>155000</v>
      </c>
      <c r="AB196" s="62">
        <f t="shared" si="168"/>
        <v>0</v>
      </c>
      <c r="AC196" s="62">
        <f t="shared" si="168"/>
        <v>155000</v>
      </c>
    </row>
    <row r="197" spans="1:29" s="25" customFormat="1" ht="21" customHeight="1">
      <c r="A197" s="66"/>
      <c r="B197" s="63"/>
      <c r="C197" s="201">
        <v>4430</v>
      </c>
      <c r="D197" s="36" t="s">
        <v>87</v>
      </c>
      <c r="E197" s="62">
        <v>5000</v>
      </c>
      <c r="F197" s="62"/>
      <c r="G197" s="62">
        <f t="shared" si="106"/>
        <v>5000</v>
      </c>
      <c r="H197" s="62"/>
      <c r="I197" s="62">
        <f>SUM(G197:H197)</f>
        <v>5000</v>
      </c>
      <c r="J197" s="62"/>
      <c r="K197" s="62">
        <f>SUM(I197:J197)</f>
        <v>5000</v>
      </c>
      <c r="L197" s="62"/>
      <c r="M197" s="62">
        <f>SUM(K197:L197)</f>
        <v>5000</v>
      </c>
      <c r="N197" s="62"/>
      <c r="O197" s="62">
        <f>SUM(M197:N197)</f>
        <v>5000</v>
      </c>
      <c r="P197" s="62"/>
      <c r="Q197" s="62">
        <f>SUM(O197:P197)</f>
        <v>5000</v>
      </c>
      <c r="R197" s="62"/>
      <c r="S197" s="62">
        <f>SUM(Q197:R197)</f>
        <v>5000</v>
      </c>
      <c r="T197" s="62"/>
      <c r="U197" s="62">
        <f>SUM(S197:T197)</f>
        <v>5000</v>
      </c>
      <c r="V197" s="62"/>
      <c r="W197" s="62">
        <f>SUM(U197:V197)</f>
        <v>5000</v>
      </c>
      <c r="X197" s="62"/>
      <c r="Y197" s="62">
        <f>SUM(W197:X197)</f>
        <v>5000</v>
      </c>
      <c r="Z197" s="62"/>
      <c r="AA197" s="62">
        <f>SUM(Y197:Z197)</f>
        <v>5000</v>
      </c>
      <c r="AB197" s="62"/>
      <c r="AC197" s="62">
        <f>SUM(AA197:AB197)</f>
        <v>5000</v>
      </c>
    </row>
    <row r="198" spans="1:33" s="25" customFormat="1" ht="26.25" customHeight="1">
      <c r="A198" s="66"/>
      <c r="B198" s="63"/>
      <c r="C198" s="201">
        <v>6050</v>
      </c>
      <c r="D198" s="14" t="s">
        <v>69</v>
      </c>
      <c r="E198" s="62">
        <v>0</v>
      </c>
      <c r="F198" s="62">
        <v>150000</v>
      </c>
      <c r="G198" s="62">
        <f t="shared" si="106"/>
        <v>150000</v>
      </c>
      <c r="H198" s="62"/>
      <c r="I198" s="62">
        <f>SUM(G198:H198)</f>
        <v>150000</v>
      </c>
      <c r="J198" s="62"/>
      <c r="K198" s="62">
        <f>SUM(I198:J198)</f>
        <v>150000</v>
      </c>
      <c r="L198" s="62"/>
      <c r="M198" s="62">
        <f>SUM(K198:L198)</f>
        <v>150000</v>
      </c>
      <c r="N198" s="62"/>
      <c r="O198" s="62">
        <f>SUM(M198:N198)</f>
        <v>150000</v>
      </c>
      <c r="P198" s="62"/>
      <c r="Q198" s="62">
        <f>SUM(O198:P198)</f>
        <v>150000</v>
      </c>
      <c r="R198" s="62"/>
      <c r="S198" s="62">
        <f>SUM(Q198:R198)</f>
        <v>150000</v>
      </c>
      <c r="T198" s="62"/>
      <c r="U198" s="62">
        <f>SUM(S198:T198)</f>
        <v>150000</v>
      </c>
      <c r="V198" s="62"/>
      <c r="W198" s="62">
        <f>SUM(U198:V198)</f>
        <v>150000</v>
      </c>
      <c r="X198" s="62"/>
      <c r="Y198" s="62">
        <f>SUM(W198:X198)</f>
        <v>150000</v>
      </c>
      <c r="Z198" s="62"/>
      <c r="AA198" s="62">
        <f>SUM(Y198:Z198)</f>
        <v>150000</v>
      </c>
      <c r="AB198" s="62"/>
      <c r="AC198" s="62">
        <f>SUM(AA198:AB198)</f>
        <v>150000</v>
      </c>
      <c r="AF198" s="79"/>
      <c r="AG198" s="79"/>
    </row>
    <row r="199" spans="1:29" s="38" customFormat="1" ht="72">
      <c r="A199" s="34">
        <v>756</v>
      </c>
      <c r="B199" s="208"/>
      <c r="C199" s="168"/>
      <c r="D199" s="35" t="s">
        <v>420</v>
      </c>
      <c r="E199" s="200">
        <f aca="true" t="shared" si="169" ref="E199:AC199">SUM(E200)</f>
        <v>109900</v>
      </c>
      <c r="F199" s="200">
        <f t="shared" si="169"/>
        <v>0</v>
      </c>
      <c r="G199" s="200">
        <f t="shared" si="169"/>
        <v>109900</v>
      </c>
      <c r="H199" s="200">
        <f t="shared" si="169"/>
        <v>0</v>
      </c>
      <c r="I199" s="200">
        <f t="shared" si="169"/>
        <v>109900</v>
      </c>
      <c r="J199" s="200">
        <f t="shared" si="169"/>
        <v>0</v>
      </c>
      <c r="K199" s="200">
        <f t="shared" si="169"/>
        <v>109900</v>
      </c>
      <c r="L199" s="200">
        <f t="shared" si="169"/>
        <v>0</v>
      </c>
      <c r="M199" s="200">
        <f t="shared" si="169"/>
        <v>109900</v>
      </c>
      <c r="N199" s="200">
        <f t="shared" si="169"/>
        <v>0</v>
      </c>
      <c r="O199" s="200">
        <f t="shared" si="169"/>
        <v>109900</v>
      </c>
      <c r="P199" s="200">
        <f t="shared" si="169"/>
        <v>0</v>
      </c>
      <c r="Q199" s="200">
        <f t="shared" si="169"/>
        <v>109900</v>
      </c>
      <c r="R199" s="200">
        <f t="shared" si="169"/>
        <v>0</v>
      </c>
      <c r="S199" s="200">
        <f t="shared" si="169"/>
        <v>109900</v>
      </c>
      <c r="T199" s="200">
        <f t="shared" si="169"/>
        <v>0</v>
      </c>
      <c r="U199" s="200">
        <f t="shared" si="169"/>
        <v>109900</v>
      </c>
      <c r="V199" s="200">
        <f t="shared" si="169"/>
        <v>0</v>
      </c>
      <c r="W199" s="200">
        <f t="shared" si="169"/>
        <v>109900</v>
      </c>
      <c r="X199" s="200">
        <f t="shared" si="169"/>
        <v>0</v>
      </c>
      <c r="Y199" s="200">
        <f t="shared" si="169"/>
        <v>109900</v>
      </c>
      <c r="Z199" s="200">
        <f t="shared" si="169"/>
        <v>-8000</v>
      </c>
      <c r="AA199" s="200">
        <f t="shared" si="169"/>
        <v>101900</v>
      </c>
      <c r="AB199" s="200">
        <f t="shared" si="169"/>
        <v>0</v>
      </c>
      <c r="AC199" s="200">
        <f t="shared" si="169"/>
        <v>101900</v>
      </c>
    </row>
    <row r="200" spans="1:29" s="25" customFormat="1" ht="25.5" customHeight="1">
      <c r="A200" s="66"/>
      <c r="B200" s="63">
        <v>75647</v>
      </c>
      <c r="C200" s="201"/>
      <c r="D200" s="36" t="s">
        <v>421</v>
      </c>
      <c r="E200" s="62">
        <f aca="true" t="shared" si="170" ref="E200:W200">SUM(E201:E208)</f>
        <v>109900</v>
      </c>
      <c r="F200" s="62">
        <f t="shared" si="170"/>
        <v>0</v>
      </c>
      <c r="G200" s="62">
        <f t="shared" si="170"/>
        <v>109900</v>
      </c>
      <c r="H200" s="62">
        <f t="shared" si="170"/>
        <v>0</v>
      </c>
      <c r="I200" s="62">
        <f t="shared" si="170"/>
        <v>109900</v>
      </c>
      <c r="J200" s="62">
        <f t="shared" si="170"/>
        <v>0</v>
      </c>
      <c r="K200" s="62">
        <f t="shared" si="170"/>
        <v>109900</v>
      </c>
      <c r="L200" s="62">
        <f t="shared" si="170"/>
        <v>0</v>
      </c>
      <c r="M200" s="62">
        <f t="shared" si="170"/>
        <v>109900</v>
      </c>
      <c r="N200" s="62">
        <f t="shared" si="170"/>
        <v>0</v>
      </c>
      <c r="O200" s="62">
        <f t="shared" si="170"/>
        <v>109900</v>
      </c>
      <c r="P200" s="62">
        <f t="shared" si="170"/>
        <v>0</v>
      </c>
      <c r="Q200" s="62">
        <f t="shared" si="170"/>
        <v>109900</v>
      </c>
      <c r="R200" s="62">
        <f t="shared" si="170"/>
        <v>0</v>
      </c>
      <c r="S200" s="62">
        <f t="shared" si="170"/>
        <v>109900</v>
      </c>
      <c r="T200" s="62">
        <f t="shared" si="170"/>
        <v>0</v>
      </c>
      <c r="U200" s="62">
        <f t="shared" si="170"/>
        <v>109900</v>
      </c>
      <c r="V200" s="62">
        <f t="shared" si="170"/>
        <v>0</v>
      </c>
      <c r="W200" s="62">
        <f t="shared" si="170"/>
        <v>109900</v>
      </c>
      <c r="X200" s="62">
        <f aca="true" t="shared" si="171" ref="X200:AC200">SUM(X201:X208)</f>
        <v>0</v>
      </c>
      <c r="Y200" s="62">
        <f t="shared" si="171"/>
        <v>109900</v>
      </c>
      <c r="Z200" s="62">
        <f t="shared" si="171"/>
        <v>-8000</v>
      </c>
      <c r="AA200" s="62">
        <f t="shared" si="171"/>
        <v>101900</v>
      </c>
      <c r="AB200" s="62">
        <f t="shared" si="171"/>
        <v>0</v>
      </c>
      <c r="AC200" s="62">
        <f t="shared" si="171"/>
        <v>101900</v>
      </c>
    </row>
    <row r="201" spans="1:31" s="25" customFormat="1" ht="21" customHeight="1">
      <c r="A201" s="66"/>
      <c r="B201" s="63"/>
      <c r="C201" s="201">
        <v>4100</v>
      </c>
      <c r="D201" s="36" t="s">
        <v>422</v>
      </c>
      <c r="E201" s="62">
        <v>40000</v>
      </c>
      <c r="F201" s="62"/>
      <c r="G201" s="62">
        <f t="shared" si="106"/>
        <v>40000</v>
      </c>
      <c r="H201" s="62"/>
      <c r="I201" s="62">
        <f aca="true" t="shared" si="172" ref="I201:I208">SUM(G201:H201)</f>
        <v>40000</v>
      </c>
      <c r="J201" s="62"/>
      <c r="K201" s="62">
        <f aca="true" t="shared" si="173" ref="K201:K208">SUM(I201:J201)</f>
        <v>40000</v>
      </c>
      <c r="L201" s="62"/>
      <c r="M201" s="62">
        <f aca="true" t="shared" si="174" ref="M201:M208">SUM(K201:L201)</f>
        <v>40000</v>
      </c>
      <c r="N201" s="62"/>
      <c r="O201" s="62">
        <f aca="true" t="shared" si="175" ref="O201:O208">SUM(M201:N201)</f>
        <v>40000</v>
      </c>
      <c r="P201" s="62"/>
      <c r="Q201" s="62">
        <f aca="true" t="shared" si="176" ref="Q201:Q208">SUM(O201:P201)</f>
        <v>40000</v>
      </c>
      <c r="R201" s="62"/>
      <c r="S201" s="62">
        <f aca="true" t="shared" si="177" ref="S201:S208">SUM(Q201:R201)</f>
        <v>40000</v>
      </c>
      <c r="T201" s="62"/>
      <c r="U201" s="62">
        <f aca="true" t="shared" si="178" ref="U201:U208">SUM(S201:T201)</f>
        <v>40000</v>
      </c>
      <c r="V201" s="62"/>
      <c r="W201" s="62">
        <f aca="true" t="shared" si="179" ref="W201:W208">SUM(U201:V201)</f>
        <v>40000</v>
      </c>
      <c r="X201" s="62"/>
      <c r="Y201" s="62">
        <f aca="true" t="shared" si="180" ref="Y201:Y208">SUM(W201:X201)</f>
        <v>40000</v>
      </c>
      <c r="Z201" s="62">
        <v>-4000</v>
      </c>
      <c r="AA201" s="62">
        <f aca="true" t="shared" si="181" ref="AA201:AA208">SUM(Y201:Z201)</f>
        <v>36000</v>
      </c>
      <c r="AB201" s="62"/>
      <c r="AC201" s="62">
        <f aca="true" t="shared" si="182" ref="AC201:AC208">SUM(AA201:AB201)</f>
        <v>36000</v>
      </c>
      <c r="AD201" s="79"/>
      <c r="AE201" s="79"/>
    </row>
    <row r="202" spans="1:31" s="25" customFormat="1" ht="21" customHeight="1">
      <c r="A202" s="66"/>
      <c r="B202" s="63"/>
      <c r="C202" s="201">
        <v>4170</v>
      </c>
      <c r="D202" s="36" t="s">
        <v>161</v>
      </c>
      <c r="E202" s="62">
        <v>5000</v>
      </c>
      <c r="F202" s="62"/>
      <c r="G202" s="62">
        <f t="shared" si="106"/>
        <v>5000</v>
      </c>
      <c r="H202" s="62"/>
      <c r="I202" s="62">
        <f t="shared" si="172"/>
        <v>5000</v>
      </c>
      <c r="J202" s="62"/>
      <c r="K202" s="62">
        <f t="shared" si="173"/>
        <v>5000</v>
      </c>
      <c r="L202" s="62"/>
      <c r="M202" s="62">
        <f t="shared" si="174"/>
        <v>5000</v>
      </c>
      <c r="N202" s="62"/>
      <c r="O202" s="62">
        <f t="shared" si="175"/>
        <v>5000</v>
      </c>
      <c r="P202" s="62"/>
      <c r="Q202" s="62">
        <f t="shared" si="176"/>
        <v>5000</v>
      </c>
      <c r="R202" s="62"/>
      <c r="S202" s="62">
        <f t="shared" si="177"/>
        <v>5000</v>
      </c>
      <c r="T202" s="62"/>
      <c r="U202" s="62">
        <f t="shared" si="178"/>
        <v>5000</v>
      </c>
      <c r="V202" s="62"/>
      <c r="W202" s="62">
        <f t="shared" si="179"/>
        <v>5000</v>
      </c>
      <c r="X202" s="62"/>
      <c r="Y202" s="62">
        <f t="shared" si="180"/>
        <v>5000</v>
      </c>
      <c r="Z202" s="62"/>
      <c r="AA202" s="62">
        <f t="shared" si="181"/>
        <v>5000</v>
      </c>
      <c r="AB202" s="62"/>
      <c r="AC202" s="62">
        <f t="shared" si="182"/>
        <v>5000</v>
      </c>
      <c r="AD202" s="79"/>
      <c r="AE202" s="79"/>
    </row>
    <row r="203" spans="1:29" s="25" customFormat="1" ht="21" customHeight="1">
      <c r="A203" s="66"/>
      <c r="B203" s="63"/>
      <c r="C203" s="201">
        <v>4210</v>
      </c>
      <c r="D203" s="36" t="s">
        <v>68</v>
      </c>
      <c r="E203" s="62">
        <v>2000</v>
      </c>
      <c r="F203" s="62"/>
      <c r="G203" s="62">
        <f t="shared" si="106"/>
        <v>2000</v>
      </c>
      <c r="H203" s="62"/>
      <c r="I203" s="62">
        <f t="shared" si="172"/>
        <v>2000</v>
      </c>
      <c r="J203" s="62"/>
      <c r="K203" s="62">
        <f t="shared" si="173"/>
        <v>2000</v>
      </c>
      <c r="L203" s="62"/>
      <c r="M203" s="62">
        <f t="shared" si="174"/>
        <v>2000</v>
      </c>
      <c r="N203" s="62"/>
      <c r="O203" s="62">
        <f t="shared" si="175"/>
        <v>2000</v>
      </c>
      <c r="P203" s="62"/>
      <c r="Q203" s="62">
        <f t="shared" si="176"/>
        <v>2000</v>
      </c>
      <c r="R203" s="62"/>
      <c r="S203" s="62">
        <f t="shared" si="177"/>
        <v>2000</v>
      </c>
      <c r="T203" s="62"/>
      <c r="U203" s="62">
        <f t="shared" si="178"/>
        <v>2000</v>
      </c>
      <c r="V203" s="62"/>
      <c r="W203" s="62">
        <f t="shared" si="179"/>
        <v>2000</v>
      </c>
      <c r="X203" s="62"/>
      <c r="Y203" s="62">
        <f t="shared" si="180"/>
        <v>2000</v>
      </c>
      <c r="Z203" s="62"/>
      <c r="AA203" s="62">
        <f t="shared" si="181"/>
        <v>2000</v>
      </c>
      <c r="AB203" s="62"/>
      <c r="AC203" s="62">
        <f t="shared" si="182"/>
        <v>2000</v>
      </c>
    </row>
    <row r="204" spans="1:29" s="25" customFormat="1" ht="21" customHeight="1">
      <c r="A204" s="66"/>
      <c r="B204" s="63"/>
      <c r="C204" s="201">
        <v>4300</v>
      </c>
      <c r="D204" s="36" t="s">
        <v>75</v>
      </c>
      <c r="E204" s="62">
        <v>20000</v>
      </c>
      <c r="F204" s="62"/>
      <c r="G204" s="62">
        <f t="shared" si="106"/>
        <v>20000</v>
      </c>
      <c r="H204" s="62"/>
      <c r="I204" s="62">
        <f t="shared" si="172"/>
        <v>20000</v>
      </c>
      <c r="J204" s="62"/>
      <c r="K204" s="62">
        <f t="shared" si="173"/>
        <v>20000</v>
      </c>
      <c r="L204" s="62"/>
      <c r="M204" s="62">
        <f t="shared" si="174"/>
        <v>20000</v>
      </c>
      <c r="N204" s="62"/>
      <c r="O204" s="62">
        <f t="shared" si="175"/>
        <v>20000</v>
      </c>
      <c r="P204" s="62"/>
      <c r="Q204" s="62">
        <f t="shared" si="176"/>
        <v>20000</v>
      </c>
      <c r="R204" s="62"/>
      <c r="S204" s="62">
        <f t="shared" si="177"/>
        <v>20000</v>
      </c>
      <c r="T204" s="62"/>
      <c r="U204" s="62">
        <f t="shared" si="178"/>
        <v>20000</v>
      </c>
      <c r="V204" s="62"/>
      <c r="W204" s="62">
        <f t="shared" si="179"/>
        <v>20000</v>
      </c>
      <c r="X204" s="62"/>
      <c r="Y204" s="62">
        <f t="shared" si="180"/>
        <v>20000</v>
      </c>
      <c r="Z204" s="62"/>
      <c r="AA204" s="62">
        <f t="shared" si="181"/>
        <v>20000</v>
      </c>
      <c r="AB204" s="62"/>
      <c r="AC204" s="62">
        <f t="shared" si="182"/>
        <v>20000</v>
      </c>
    </row>
    <row r="205" spans="1:29" s="25" customFormat="1" ht="21" customHeight="1">
      <c r="A205" s="66"/>
      <c r="B205" s="63"/>
      <c r="C205" s="201">
        <v>4430</v>
      </c>
      <c r="D205" s="36" t="s">
        <v>87</v>
      </c>
      <c r="E205" s="62">
        <v>4900</v>
      </c>
      <c r="F205" s="62"/>
      <c r="G205" s="62">
        <f t="shared" si="106"/>
        <v>4900</v>
      </c>
      <c r="H205" s="62"/>
      <c r="I205" s="62">
        <f t="shared" si="172"/>
        <v>4900</v>
      </c>
      <c r="J205" s="62"/>
      <c r="K205" s="62">
        <f t="shared" si="173"/>
        <v>4900</v>
      </c>
      <c r="L205" s="62"/>
      <c r="M205" s="62">
        <f t="shared" si="174"/>
        <v>4900</v>
      </c>
      <c r="N205" s="62"/>
      <c r="O205" s="62">
        <f t="shared" si="175"/>
        <v>4900</v>
      </c>
      <c r="P205" s="62"/>
      <c r="Q205" s="62">
        <f t="shared" si="176"/>
        <v>4900</v>
      </c>
      <c r="R205" s="62"/>
      <c r="S205" s="62">
        <f t="shared" si="177"/>
        <v>4900</v>
      </c>
      <c r="T205" s="62"/>
      <c r="U205" s="62">
        <f t="shared" si="178"/>
        <v>4900</v>
      </c>
      <c r="V205" s="62"/>
      <c r="W205" s="62">
        <f t="shared" si="179"/>
        <v>4900</v>
      </c>
      <c r="X205" s="62"/>
      <c r="Y205" s="62">
        <f t="shared" si="180"/>
        <v>4900</v>
      </c>
      <c r="Z205" s="62">
        <v>-4000</v>
      </c>
      <c r="AA205" s="62">
        <f t="shared" si="181"/>
        <v>900</v>
      </c>
      <c r="AB205" s="62"/>
      <c r="AC205" s="62">
        <f t="shared" si="182"/>
        <v>900</v>
      </c>
    </row>
    <row r="206" spans="1:29" s="25" customFormat="1" ht="24">
      <c r="A206" s="66"/>
      <c r="B206" s="63"/>
      <c r="C206" s="201">
        <v>4610</v>
      </c>
      <c r="D206" s="36" t="s">
        <v>151</v>
      </c>
      <c r="E206" s="62">
        <f>24000+10000</f>
        <v>34000</v>
      </c>
      <c r="F206" s="62"/>
      <c r="G206" s="62">
        <f t="shared" si="106"/>
        <v>34000</v>
      </c>
      <c r="H206" s="62"/>
      <c r="I206" s="62">
        <f t="shared" si="172"/>
        <v>34000</v>
      </c>
      <c r="J206" s="62"/>
      <c r="K206" s="62">
        <f t="shared" si="173"/>
        <v>34000</v>
      </c>
      <c r="L206" s="62"/>
      <c r="M206" s="62">
        <f t="shared" si="174"/>
        <v>34000</v>
      </c>
      <c r="N206" s="62"/>
      <c r="O206" s="62">
        <f t="shared" si="175"/>
        <v>34000</v>
      </c>
      <c r="P206" s="62"/>
      <c r="Q206" s="62">
        <f t="shared" si="176"/>
        <v>34000</v>
      </c>
      <c r="R206" s="62"/>
      <c r="S206" s="62">
        <f t="shared" si="177"/>
        <v>34000</v>
      </c>
      <c r="T206" s="62"/>
      <c r="U206" s="62">
        <f t="shared" si="178"/>
        <v>34000</v>
      </c>
      <c r="V206" s="62"/>
      <c r="W206" s="62">
        <f t="shared" si="179"/>
        <v>34000</v>
      </c>
      <c r="X206" s="62"/>
      <c r="Y206" s="62">
        <f t="shared" si="180"/>
        <v>34000</v>
      </c>
      <c r="Z206" s="62"/>
      <c r="AA206" s="62">
        <f t="shared" si="181"/>
        <v>34000</v>
      </c>
      <c r="AB206" s="62"/>
      <c r="AC206" s="62">
        <f t="shared" si="182"/>
        <v>34000</v>
      </c>
    </row>
    <row r="207" spans="1:29" s="25" customFormat="1" ht="36">
      <c r="A207" s="66"/>
      <c r="B207" s="63"/>
      <c r="C207" s="201">
        <v>4740</v>
      </c>
      <c r="D207" s="36" t="s">
        <v>183</v>
      </c>
      <c r="E207" s="62">
        <v>2000</v>
      </c>
      <c r="F207" s="62"/>
      <c r="G207" s="62">
        <f t="shared" si="106"/>
        <v>2000</v>
      </c>
      <c r="H207" s="62"/>
      <c r="I207" s="62">
        <f t="shared" si="172"/>
        <v>2000</v>
      </c>
      <c r="J207" s="62"/>
      <c r="K207" s="62">
        <f t="shared" si="173"/>
        <v>2000</v>
      </c>
      <c r="L207" s="62"/>
      <c r="M207" s="62">
        <f t="shared" si="174"/>
        <v>2000</v>
      </c>
      <c r="N207" s="62"/>
      <c r="O207" s="62">
        <f t="shared" si="175"/>
        <v>2000</v>
      </c>
      <c r="P207" s="62"/>
      <c r="Q207" s="62">
        <f t="shared" si="176"/>
        <v>2000</v>
      </c>
      <c r="R207" s="62"/>
      <c r="S207" s="62">
        <f t="shared" si="177"/>
        <v>2000</v>
      </c>
      <c r="T207" s="62"/>
      <c r="U207" s="62">
        <f t="shared" si="178"/>
        <v>2000</v>
      </c>
      <c r="V207" s="62"/>
      <c r="W207" s="62">
        <f t="shared" si="179"/>
        <v>2000</v>
      </c>
      <c r="X207" s="62"/>
      <c r="Y207" s="62">
        <f t="shared" si="180"/>
        <v>2000</v>
      </c>
      <c r="Z207" s="62"/>
      <c r="AA207" s="62">
        <f t="shared" si="181"/>
        <v>2000</v>
      </c>
      <c r="AB207" s="62"/>
      <c r="AC207" s="62">
        <f t="shared" si="182"/>
        <v>2000</v>
      </c>
    </row>
    <row r="208" spans="1:29" s="25" customFormat="1" ht="24">
      <c r="A208" s="66"/>
      <c r="B208" s="63"/>
      <c r="C208" s="201">
        <v>4750</v>
      </c>
      <c r="D208" s="36" t="s">
        <v>401</v>
      </c>
      <c r="E208" s="62">
        <v>2000</v>
      </c>
      <c r="F208" s="62"/>
      <c r="G208" s="62">
        <f t="shared" si="106"/>
        <v>2000</v>
      </c>
      <c r="H208" s="62"/>
      <c r="I208" s="62">
        <f t="shared" si="172"/>
        <v>2000</v>
      </c>
      <c r="J208" s="62"/>
      <c r="K208" s="62">
        <f t="shared" si="173"/>
        <v>2000</v>
      </c>
      <c r="L208" s="62"/>
      <c r="M208" s="62">
        <f t="shared" si="174"/>
        <v>2000</v>
      </c>
      <c r="N208" s="62"/>
      <c r="O208" s="62">
        <f t="shared" si="175"/>
        <v>2000</v>
      </c>
      <c r="P208" s="62"/>
      <c r="Q208" s="62">
        <f t="shared" si="176"/>
        <v>2000</v>
      </c>
      <c r="R208" s="62"/>
      <c r="S208" s="62">
        <f t="shared" si="177"/>
        <v>2000</v>
      </c>
      <c r="T208" s="62"/>
      <c r="U208" s="62">
        <f t="shared" si="178"/>
        <v>2000</v>
      </c>
      <c r="V208" s="62"/>
      <c r="W208" s="62">
        <f t="shared" si="179"/>
        <v>2000</v>
      </c>
      <c r="X208" s="62"/>
      <c r="Y208" s="62">
        <f t="shared" si="180"/>
        <v>2000</v>
      </c>
      <c r="Z208" s="62"/>
      <c r="AA208" s="62">
        <f t="shared" si="181"/>
        <v>2000</v>
      </c>
      <c r="AB208" s="62"/>
      <c r="AC208" s="62">
        <f t="shared" si="182"/>
        <v>2000</v>
      </c>
    </row>
    <row r="209" spans="1:29" s="6" customFormat="1" ht="21.75" customHeight="1">
      <c r="A209" s="32" t="s">
        <v>423</v>
      </c>
      <c r="B209" s="33"/>
      <c r="C209" s="34"/>
      <c r="D209" s="35" t="s">
        <v>424</v>
      </c>
      <c r="E209" s="200">
        <f aca="true" t="shared" si="183" ref="E209:AC209">SUM(E210)</f>
        <v>356637</v>
      </c>
      <c r="F209" s="200">
        <f t="shared" si="183"/>
        <v>0</v>
      </c>
      <c r="G209" s="200">
        <f t="shared" si="183"/>
        <v>356637</v>
      </c>
      <c r="H209" s="200">
        <f t="shared" si="183"/>
        <v>0</v>
      </c>
      <c r="I209" s="200">
        <f t="shared" si="183"/>
        <v>356637</v>
      </c>
      <c r="J209" s="200">
        <f t="shared" si="183"/>
        <v>0</v>
      </c>
      <c r="K209" s="200">
        <f t="shared" si="183"/>
        <v>356637</v>
      </c>
      <c r="L209" s="200">
        <f t="shared" si="183"/>
        <v>0</v>
      </c>
      <c r="M209" s="200">
        <f t="shared" si="183"/>
        <v>356637</v>
      </c>
      <c r="N209" s="200">
        <f t="shared" si="183"/>
        <v>0</v>
      </c>
      <c r="O209" s="200">
        <f t="shared" si="183"/>
        <v>356637</v>
      </c>
      <c r="P209" s="200">
        <f t="shared" si="183"/>
        <v>0</v>
      </c>
      <c r="Q209" s="200">
        <f t="shared" si="183"/>
        <v>356637</v>
      </c>
      <c r="R209" s="200">
        <f t="shared" si="183"/>
        <v>0</v>
      </c>
      <c r="S209" s="200">
        <f t="shared" si="183"/>
        <v>356637</v>
      </c>
      <c r="T209" s="200">
        <f t="shared" si="183"/>
        <v>0</v>
      </c>
      <c r="U209" s="200">
        <f t="shared" si="183"/>
        <v>356637</v>
      </c>
      <c r="V209" s="200">
        <f t="shared" si="183"/>
        <v>0</v>
      </c>
      <c r="W209" s="200">
        <f t="shared" si="183"/>
        <v>356637</v>
      </c>
      <c r="X209" s="200">
        <f t="shared" si="183"/>
        <v>0</v>
      </c>
      <c r="Y209" s="200">
        <f t="shared" si="183"/>
        <v>356637</v>
      </c>
      <c r="Z209" s="200">
        <f t="shared" si="183"/>
        <v>130000</v>
      </c>
      <c r="AA209" s="200">
        <f t="shared" si="183"/>
        <v>486637</v>
      </c>
      <c r="AB209" s="200">
        <f t="shared" si="183"/>
        <v>0</v>
      </c>
      <c r="AC209" s="200">
        <f t="shared" si="183"/>
        <v>486637</v>
      </c>
    </row>
    <row r="210" spans="1:29" s="25" customFormat="1" ht="36">
      <c r="A210" s="49"/>
      <c r="B210" s="63" t="s">
        <v>425</v>
      </c>
      <c r="C210" s="66"/>
      <c r="D210" s="36" t="s">
        <v>426</v>
      </c>
      <c r="E210" s="62">
        <f aca="true" t="shared" si="184" ref="E210:AC210">SUM(E211:E211)</f>
        <v>356637</v>
      </c>
      <c r="F210" s="62">
        <f t="shared" si="184"/>
        <v>0</v>
      </c>
      <c r="G210" s="62">
        <f t="shared" si="184"/>
        <v>356637</v>
      </c>
      <c r="H210" s="62">
        <f t="shared" si="184"/>
        <v>0</v>
      </c>
      <c r="I210" s="62">
        <f t="shared" si="184"/>
        <v>356637</v>
      </c>
      <c r="J210" s="62">
        <f t="shared" si="184"/>
        <v>0</v>
      </c>
      <c r="K210" s="62">
        <f t="shared" si="184"/>
        <v>356637</v>
      </c>
      <c r="L210" s="62">
        <f t="shared" si="184"/>
        <v>0</v>
      </c>
      <c r="M210" s="62">
        <f t="shared" si="184"/>
        <v>356637</v>
      </c>
      <c r="N210" s="62">
        <f t="shared" si="184"/>
        <v>0</v>
      </c>
      <c r="O210" s="62">
        <f t="shared" si="184"/>
        <v>356637</v>
      </c>
      <c r="P210" s="62">
        <f t="shared" si="184"/>
        <v>0</v>
      </c>
      <c r="Q210" s="62">
        <f t="shared" si="184"/>
        <v>356637</v>
      </c>
      <c r="R210" s="62">
        <f t="shared" si="184"/>
        <v>0</v>
      </c>
      <c r="S210" s="62">
        <f t="shared" si="184"/>
        <v>356637</v>
      </c>
      <c r="T210" s="62">
        <f t="shared" si="184"/>
        <v>0</v>
      </c>
      <c r="U210" s="62">
        <f t="shared" si="184"/>
        <v>356637</v>
      </c>
      <c r="V210" s="62">
        <f t="shared" si="184"/>
        <v>0</v>
      </c>
      <c r="W210" s="62">
        <f t="shared" si="184"/>
        <v>356637</v>
      </c>
      <c r="X210" s="62">
        <f t="shared" si="184"/>
        <v>0</v>
      </c>
      <c r="Y210" s="62">
        <f t="shared" si="184"/>
        <v>356637</v>
      </c>
      <c r="Z210" s="62">
        <f t="shared" si="184"/>
        <v>130000</v>
      </c>
      <c r="AA210" s="62">
        <f t="shared" si="184"/>
        <v>486637</v>
      </c>
      <c r="AB210" s="62">
        <f t="shared" si="184"/>
        <v>0</v>
      </c>
      <c r="AC210" s="62">
        <f t="shared" si="184"/>
        <v>486637</v>
      </c>
    </row>
    <row r="211" spans="1:29" s="25" customFormat="1" ht="48">
      <c r="A211" s="49"/>
      <c r="B211" s="206"/>
      <c r="C211" s="66">
        <v>8070</v>
      </c>
      <c r="D211" s="36" t="s">
        <v>427</v>
      </c>
      <c r="E211" s="62">
        <v>356637</v>
      </c>
      <c r="F211" s="62"/>
      <c r="G211" s="62">
        <f t="shared" si="106"/>
        <v>356637</v>
      </c>
      <c r="H211" s="62"/>
      <c r="I211" s="62">
        <f>SUM(G211:H211)</f>
        <v>356637</v>
      </c>
      <c r="J211" s="62"/>
      <c r="K211" s="62">
        <f>SUM(I211:J211)</f>
        <v>356637</v>
      </c>
      <c r="L211" s="62"/>
      <c r="M211" s="62">
        <f>SUM(K211:L211)</f>
        <v>356637</v>
      </c>
      <c r="N211" s="62"/>
      <c r="O211" s="62">
        <f>SUM(M211:N211)</f>
        <v>356637</v>
      </c>
      <c r="P211" s="62"/>
      <c r="Q211" s="62">
        <f>SUM(O211:P211)</f>
        <v>356637</v>
      </c>
      <c r="R211" s="62"/>
      <c r="S211" s="62">
        <f>SUM(Q211:R211)</f>
        <v>356637</v>
      </c>
      <c r="T211" s="62"/>
      <c r="U211" s="62">
        <f>SUM(S211:T211)</f>
        <v>356637</v>
      </c>
      <c r="V211" s="62"/>
      <c r="W211" s="62">
        <f>SUM(U211:V211)</f>
        <v>356637</v>
      </c>
      <c r="X211" s="62"/>
      <c r="Y211" s="62">
        <f>SUM(W211:X211)</f>
        <v>356637</v>
      </c>
      <c r="Z211" s="62">
        <v>130000</v>
      </c>
      <c r="AA211" s="62">
        <f>SUM(Y211:Z211)</f>
        <v>486637</v>
      </c>
      <c r="AB211" s="62"/>
      <c r="AC211" s="62">
        <f>SUM(AA211:AB211)</f>
        <v>486637</v>
      </c>
    </row>
    <row r="212" spans="1:29" s="6" customFormat="1" ht="21" customHeight="1">
      <c r="A212" s="32" t="s">
        <v>45</v>
      </c>
      <c r="B212" s="33"/>
      <c r="C212" s="34"/>
      <c r="D212" s="35" t="s">
        <v>46</v>
      </c>
      <c r="E212" s="200">
        <f aca="true" t="shared" si="185" ref="E212:AC212">SUM(E213)</f>
        <v>1167300</v>
      </c>
      <c r="F212" s="200">
        <f t="shared" si="185"/>
        <v>1050000</v>
      </c>
      <c r="G212" s="200">
        <f t="shared" si="185"/>
        <v>2217300</v>
      </c>
      <c r="H212" s="200">
        <f t="shared" si="185"/>
        <v>-511010</v>
      </c>
      <c r="I212" s="200">
        <f t="shared" si="185"/>
        <v>1706290</v>
      </c>
      <c r="J212" s="200">
        <f t="shared" si="185"/>
        <v>-599645</v>
      </c>
      <c r="K212" s="200">
        <f t="shared" si="185"/>
        <v>1106645</v>
      </c>
      <c r="L212" s="200">
        <f t="shared" si="185"/>
        <v>0</v>
      </c>
      <c r="M212" s="200">
        <f t="shared" si="185"/>
        <v>1106645</v>
      </c>
      <c r="N212" s="200">
        <f t="shared" si="185"/>
        <v>0</v>
      </c>
      <c r="O212" s="200">
        <f t="shared" si="185"/>
        <v>1106645</v>
      </c>
      <c r="P212" s="200">
        <f t="shared" si="185"/>
        <v>0</v>
      </c>
      <c r="Q212" s="200">
        <f t="shared" si="185"/>
        <v>1106645</v>
      </c>
      <c r="R212" s="200">
        <f t="shared" si="185"/>
        <v>-150000</v>
      </c>
      <c r="S212" s="200">
        <f t="shared" si="185"/>
        <v>956645</v>
      </c>
      <c r="T212" s="200">
        <f t="shared" si="185"/>
        <v>0</v>
      </c>
      <c r="U212" s="200">
        <f t="shared" si="185"/>
        <v>956645</v>
      </c>
      <c r="V212" s="200">
        <f t="shared" si="185"/>
        <v>-30600</v>
      </c>
      <c r="W212" s="200">
        <f t="shared" si="185"/>
        <v>887795</v>
      </c>
      <c r="X212" s="200">
        <f t="shared" si="185"/>
        <v>0</v>
      </c>
      <c r="Y212" s="200">
        <f t="shared" si="185"/>
        <v>887795</v>
      </c>
      <c r="Z212" s="200">
        <f t="shared" si="185"/>
        <v>-384750</v>
      </c>
      <c r="AA212" s="200">
        <f t="shared" si="185"/>
        <v>503045</v>
      </c>
      <c r="AB212" s="200">
        <f t="shared" si="185"/>
        <v>-22899</v>
      </c>
      <c r="AC212" s="200">
        <f t="shared" si="185"/>
        <v>480146</v>
      </c>
    </row>
    <row r="213" spans="1:29" s="25" customFormat="1" ht="21" customHeight="1">
      <c r="A213" s="49"/>
      <c r="B213" s="63" t="s">
        <v>428</v>
      </c>
      <c r="C213" s="66"/>
      <c r="D213" s="36" t="s">
        <v>92</v>
      </c>
      <c r="E213" s="62">
        <f aca="true" t="shared" si="186" ref="E213:W213">SUM(E214:E215)</f>
        <v>1167300</v>
      </c>
      <c r="F213" s="62">
        <f t="shared" si="186"/>
        <v>1050000</v>
      </c>
      <c r="G213" s="62">
        <f t="shared" si="186"/>
        <v>2217300</v>
      </c>
      <c r="H213" s="62">
        <f t="shared" si="186"/>
        <v>-511010</v>
      </c>
      <c r="I213" s="62">
        <f t="shared" si="186"/>
        <v>1706290</v>
      </c>
      <c r="J213" s="62">
        <f t="shared" si="186"/>
        <v>-599645</v>
      </c>
      <c r="K213" s="62">
        <f t="shared" si="186"/>
        <v>1106645</v>
      </c>
      <c r="L213" s="62">
        <f t="shared" si="186"/>
        <v>0</v>
      </c>
      <c r="M213" s="62">
        <f t="shared" si="186"/>
        <v>1106645</v>
      </c>
      <c r="N213" s="62">
        <f t="shared" si="186"/>
        <v>0</v>
      </c>
      <c r="O213" s="62">
        <f t="shared" si="186"/>
        <v>1106645</v>
      </c>
      <c r="P213" s="62">
        <f t="shared" si="186"/>
        <v>0</v>
      </c>
      <c r="Q213" s="62">
        <f t="shared" si="186"/>
        <v>1106645</v>
      </c>
      <c r="R213" s="62">
        <f t="shared" si="186"/>
        <v>-150000</v>
      </c>
      <c r="S213" s="62">
        <f t="shared" si="186"/>
        <v>956645</v>
      </c>
      <c r="T213" s="62">
        <f t="shared" si="186"/>
        <v>0</v>
      </c>
      <c r="U213" s="62">
        <f t="shared" si="186"/>
        <v>956645</v>
      </c>
      <c r="V213" s="62">
        <f t="shared" si="186"/>
        <v>-30600</v>
      </c>
      <c r="W213" s="62">
        <f t="shared" si="186"/>
        <v>887795</v>
      </c>
      <c r="X213" s="62">
        <f aca="true" t="shared" si="187" ref="X213:AC213">SUM(X214:X215)</f>
        <v>0</v>
      </c>
      <c r="Y213" s="62">
        <f t="shared" si="187"/>
        <v>887795</v>
      </c>
      <c r="Z213" s="62">
        <f t="shared" si="187"/>
        <v>-384750</v>
      </c>
      <c r="AA213" s="62">
        <f t="shared" si="187"/>
        <v>503045</v>
      </c>
      <c r="AB213" s="62">
        <f t="shared" si="187"/>
        <v>-22899</v>
      </c>
      <c r="AC213" s="62">
        <f t="shared" si="187"/>
        <v>480146</v>
      </c>
    </row>
    <row r="214" spans="1:29" s="25" customFormat="1" ht="21" customHeight="1">
      <c r="A214" s="49"/>
      <c r="B214" s="206"/>
      <c r="C214" s="66">
        <v>4810</v>
      </c>
      <c r="D214" s="36" t="s">
        <v>93</v>
      </c>
      <c r="E214" s="62">
        <f>68800+48500+200000+300000</f>
        <v>617300</v>
      </c>
      <c r="F214" s="62">
        <f>100000+60000+10000+65000+5000+300000+190000</f>
        <v>730000</v>
      </c>
      <c r="G214" s="62">
        <f t="shared" si="106"/>
        <v>1347300</v>
      </c>
      <c r="H214" s="62">
        <f>-58190-5820-447000</f>
        <v>-511010</v>
      </c>
      <c r="I214" s="62">
        <f>SUM(G214:H214)</f>
        <v>836290</v>
      </c>
      <c r="J214" s="62">
        <f>-175597+24400-119-329-148000</f>
        <v>-299645</v>
      </c>
      <c r="K214" s="62">
        <f>SUM(I214:J214)</f>
        <v>536645</v>
      </c>
      <c r="L214" s="62"/>
      <c r="M214" s="62">
        <f>SUM(K214:L214)</f>
        <v>536645</v>
      </c>
      <c r="N214" s="62"/>
      <c r="O214" s="62">
        <f>SUM(M214:N214)</f>
        <v>536645</v>
      </c>
      <c r="P214" s="62"/>
      <c r="Q214" s="62">
        <f>SUM(O214:P214)</f>
        <v>536645</v>
      </c>
      <c r="R214" s="62"/>
      <c r="S214" s="62">
        <f>SUM(Q214:R214)</f>
        <v>536645</v>
      </c>
      <c r="T214" s="62"/>
      <c r="U214" s="62">
        <f>SUM(S214:T214)</f>
        <v>536645</v>
      </c>
      <c r="V214" s="62">
        <f>-20600-10000</f>
        <v>-30600</v>
      </c>
      <c r="W214" s="62">
        <v>467795</v>
      </c>
      <c r="X214" s="62"/>
      <c r="Y214" s="62">
        <f>SUM(W214:X214)</f>
        <v>467795</v>
      </c>
      <c r="Z214" s="62">
        <f>-31750-13000</f>
        <v>-44750</v>
      </c>
      <c r="AA214" s="62">
        <f>SUM(Y214:Z214)</f>
        <v>423045</v>
      </c>
      <c r="AB214" s="62">
        <v>-22899</v>
      </c>
      <c r="AC214" s="62">
        <f>SUM(AA214:AB214)</f>
        <v>400146</v>
      </c>
    </row>
    <row r="215" spans="1:33" s="25" customFormat="1" ht="24">
      <c r="A215" s="49"/>
      <c r="B215" s="206"/>
      <c r="C215" s="66">
        <v>6800</v>
      </c>
      <c r="D215" s="36" t="s">
        <v>228</v>
      </c>
      <c r="E215" s="62">
        <f>150000+400000</f>
        <v>550000</v>
      </c>
      <c r="F215" s="62">
        <f>300000+20000</f>
        <v>320000</v>
      </c>
      <c r="G215" s="62">
        <f t="shared" si="106"/>
        <v>870000</v>
      </c>
      <c r="H215" s="62"/>
      <c r="I215" s="62">
        <f>SUM(G215:H215)</f>
        <v>870000</v>
      </c>
      <c r="J215" s="62">
        <v>-300000</v>
      </c>
      <c r="K215" s="62">
        <f>SUM(I215:J215)</f>
        <v>570000</v>
      </c>
      <c r="L215" s="62"/>
      <c r="M215" s="62">
        <f>SUM(K215:L215)</f>
        <v>570000</v>
      </c>
      <c r="N215" s="62"/>
      <c r="O215" s="62">
        <f>SUM(M215:N215)</f>
        <v>570000</v>
      </c>
      <c r="P215" s="62"/>
      <c r="Q215" s="62">
        <f>SUM(O215:P215)</f>
        <v>570000</v>
      </c>
      <c r="R215" s="62">
        <v>-150000</v>
      </c>
      <c r="S215" s="62">
        <f>SUM(Q215:R215)</f>
        <v>420000</v>
      </c>
      <c r="T215" s="62"/>
      <c r="U215" s="62">
        <f>SUM(S215:T215)</f>
        <v>420000</v>
      </c>
      <c r="V215" s="62">
        <v>0</v>
      </c>
      <c r="W215" s="62">
        <f>SUM(U215:V215)</f>
        <v>420000</v>
      </c>
      <c r="X215" s="62">
        <v>0</v>
      </c>
      <c r="Y215" s="62">
        <f>SUM(W215:X215)</f>
        <v>420000</v>
      </c>
      <c r="Z215" s="62">
        <v>-340000</v>
      </c>
      <c r="AA215" s="62">
        <f>SUM(Y215:Z215)</f>
        <v>80000</v>
      </c>
      <c r="AB215" s="62"/>
      <c r="AC215" s="62">
        <f>SUM(AA215:AB215)</f>
        <v>80000</v>
      </c>
      <c r="AF215" s="79"/>
      <c r="AG215" s="79"/>
    </row>
    <row r="216" spans="1:29" s="7" customFormat="1" ht="20.25" customHeight="1">
      <c r="A216" s="32" t="s">
        <v>94</v>
      </c>
      <c r="B216" s="33"/>
      <c r="C216" s="34"/>
      <c r="D216" s="35" t="s">
        <v>95</v>
      </c>
      <c r="E216" s="200">
        <f aca="true" t="shared" si="188" ref="E216:W216">SUM(E217,E247,E262,E266,E293,E300,E305,E316)</f>
        <v>27468430</v>
      </c>
      <c r="F216" s="200">
        <f t="shared" si="188"/>
        <v>-1600000</v>
      </c>
      <c r="G216" s="200">
        <f t="shared" si="188"/>
        <v>25868430</v>
      </c>
      <c r="H216" s="200">
        <f t="shared" si="188"/>
        <v>0</v>
      </c>
      <c r="I216" s="200">
        <f t="shared" si="188"/>
        <v>25868430</v>
      </c>
      <c r="J216" s="200">
        <f t="shared" si="188"/>
        <v>125888</v>
      </c>
      <c r="K216" s="200">
        <f t="shared" si="188"/>
        <v>25994318</v>
      </c>
      <c r="L216" s="200">
        <f t="shared" si="188"/>
        <v>0</v>
      </c>
      <c r="M216" s="200">
        <f t="shared" si="188"/>
        <v>25994318</v>
      </c>
      <c r="N216" s="200">
        <f t="shared" si="188"/>
        <v>0</v>
      </c>
      <c r="O216" s="200">
        <f t="shared" si="188"/>
        <v>25994318</v>
      </c>
      <c r="P216" s="200">
        <f t="shared" si="188"/>
        <v>0</v>
      </c>
      <c r="Q216" s="200">
        <f t="shared" si="188"/>
        <v>25994318</v>
      </c>
      <c r="R216" s="200">
        <f t="shared" si="188"/>
        <v>7600</v>
      </c>
      <c r="S216" s="200">
        <f t="shared" si="188"/>
        <v>26001918</v>
      </c>
      <c r="T216" s="200">
        <f t="shared" si="188"/>
        <v>0</v>
      </c>
      <c r="U216" s="200">
        <f t="shared" si="188"/>
        <v>26001918</v>
      </c>
      <c r="V216" s="200">
        <f t="shared" si="188"/>
        <v>1251</v>
      </c>
      <c r="W216" s="200">
        <f t="shared" si="188"/>
        <v>26003169</v>
      </c>
      <c r="X216" s="200">
        <f aca="true" t="shared" si="189" ref="X216:AC216">SUM(X217,X247,X262,X266,X293,X300,X305,X316)</f>
        <v>44050</v>
      </c>
      <c r="Y216" s="200">
        <f t="shared" si="189"/>
        <v>26047219</v>
      </c>
      <c r="Z216" s="200">
        <f t="shared" si="189"/>
        <v>-980079</v>
      </c>
      <c r="AA216" s="200">
        <f t="shared" si="189"/>
        <v>25067140</v>
      </c>
      <c r="AB216" s="200">
        <f t="shared" si="189"/>
        <v>-52341</v>
      </c>
      <c r="AC216" s="200">
        <f t="shared" si="189"/>
        <v>25014799</v>
      </c>
    </row>
    <row r="217" spans="1:29" s="25" customFormat="1" ht="22.5" customHeight="1">
      <c r="A217" s="49"/>
      <c r="B217" s="63" t="s">
        <v>96</v>
      </c>
      <c r="C217" s="66"/>
      <c r="D217" s="36" t="s">
        <v>51</v>
      </c>
      <c r="E217" s="62">
        <f aca="true" t="shared" si="190" ref="E217:W217">SUM(E218:E246)</f>
        <v>13620346</v>
      </c>
      <c r="F217" s="62">
        <f t="shared" si="190"/>
        <v>-1200000</v>
      </c>
      <c r="G217" s="62">
        <f t="shared" si="190"/>
        <v>12420346</v>
      </c>
      <c r="H217" s="62">
        <f t="shared" si="190"/>
        <v>0</v>
      </c>
      <c r="I217" s="62">
        <f t="shared" si="190"/>
        <v>12420346</v>
      </c>
      <c r="J217" s="62">
        <f t="shared" si="190"/>
        <v>82287</v>
      </c>
      <c r="K217" s="62">
        <f t="shared" si="190"/>
        <v>12502633</v>
      </c>
      <c r="L217" s="62">
        <f t="shared" si="190"/>
        <v>0</v>
      </c>
      <c r="M217" s="62">
        <f t="shared" si="190"/>
        <v>12502633</v>
      </c>
      <c r="N217" s="62">
        <f t="shared" si="190"/>
        <v>0</v>
      </c>
      <c r="O217" s="62">
        <f t="shared" si="190"/>
        <v>12502633</v>
      </c>
      <c r="P217" s="62">
        <f t="shared" si="190"/>
        <v>0</v>
      </c>
      <c r="Q217" s="62">
        <f t="shared" si="190"/>
        <v>12502633</v>
      </c>
      <c r="R217" s="62">
        <f t="shared" si="190"/>
        <v>6100</v>
      </c>
      <c r="S217" s="62">
        <f t="shared" si="190"/>
        <v>12508733</v>
      </c>
      <c r="T217" s="62">
        <f t="shared" si="190"/>
        <v>0</v>
      </c>
      <c r="U217" s="62">
        <f t="shared" si="190"/>
        <v>12508733</v>
      </c>
      <c r="V217" s="62">
        <f t="shared" si="190"/>
        <v>931</v>
      </c>
      <c r="W217" s="62">
        <f t="shared" si="190"/>
        <v>12509664</v>
      </c>
      <c r="X217" s="62">
        <f aca="true" t="shared" si="191" ref="X217:AC217">SUM(X218:X246)</f>
        <v>44050</v>
      </c>
      <c r="Y217" s="62">
        <f t="shared" si="191"/>
        <v>12553714</v>
      </c>
      <c r="Z217" s="62">
        <f t="shared" si="191"/>
        <v>113719</v>
      </c>
      <c r="AA217" s="62">
        <f t="shared" si="191"/>
        <v>12667433</v>
      </c>
      <c r="AB217" s="62">
        <f t="shared" si="191"/>
        <v>-17796</v>
      </c>
      <c r="AC217" s="62">
        <f t="shared" si="191"/>
        <v>12649637</v>
      </c>
    </row>
    <row r="218" spans="1:35" s="25" customFormat="1" ht="25.5" customHeight="1">
      <c r="A218" s="49"/>
      <c r="B218" s="63"/>
      <c r="C218" s="66">
        <v>2540</v>
      </c>
      <c r="D218" s="36" t="s">
        <v>429</v>
      </c>
      <c r="E218" s="62">
        <v>447149</v>
      </c>
      <c r="F218" s="62"/>
      <c r="G218" s="62">
        <f aca="true" t="shared" si="192" ref="G218:G289">SUM(E218:F218)</f>
        <v>447149</v>
      </c>
      <c r="H218" s="62"/>
      <c r="I218" s="62">
        <f aca="true" t="shared" si="193" ref="I218:I246">SUM(G218:H218)</f>
        <v>447149</v>
      </c>
      <c r="J218" s="62"/>
      <c r="K218" s="62">
        <f aca="true" t="shared" si="194" ref="K218:K246">SUM(I218:J218)</f>
        <v>447149</v>
      </c>
      <c r="L218" s="62"/>
      <c r="M218" s="62">
        <f aca="true" t="shared" si="195" ref="M218:M246">SUM(K218:L218)</f>
        <v>447149</v>
      </c>
      <c r="N218" s="62"/>
      <c r="O218" s="62">
        <f aca="true" t="shared" si="196" ref="O218:O246">SUM(M218:N218)</f>
        <v>447149</v>
      </c>
      <c r="P218" s="62"/>
      <c r="Q218" s="62">
        <f aca="true" t="shared" si="197" ref="Q218:Q246">SUM(O218:P218)</f>
        <v>447149</v>
      </c>
      <c r="R218" s="62"/>
      <c r="S218" s="62">
        <f aca="true" t="shared" si="198" ref="S218:S246">SUM(Q218:R218)</f>
        <v>447149</v>
      </c>
      <c r="T218" s="62"/>
      <c r="U218" s="62">
        <f aca="true" t="shared" si="199" ref="U218:U246">SUM(S218:T218)</f>
        <v>447149</v>
      </c>
      <c r="V218" s="62"/>
      <c r="W218" s="62">
        <f aca="true" t="shared" si="200" ref="W218:W246">SUM(U218:V218)</f>
        <v>447149</v>
      </c>
      <c r="X218" s="62"/>
      <c r="Y218" s="62">
        <f aca="true" t="shared" si="201" ref="Y218:Y246">SUM(W218:X218)</f>
        <v>447149</v>
      </c>
      <c r="Z218" s="207">
        <v>-149040</v>
      </c>
      <c r="AA218" s="62">
        <f aca="true" t="shared" si="202" ref="AA218:AA246">SUM(Y218:Z218)</f>
        <v>298109</v>
      </c>
      <c r="AB218" s="207"/>
      <c r="AC218" s="62">
        <f aca="true" t="shared" si="203" ref="AC218:AC246">SUM(AA218:AB218)</f>
        <v>298109</v>
      </c>
      <c r="AH218" s="79"/>
      <c r="AI218" s="79"/>
    </row>
    <row r="219" spans="1:35" s="25" customFormat="1" ht="60">
      <c r="A219" s="49"/>
      <c r="B219" s="63"/>
      <c r="C219" s="66">
        <v>2590</v>
      </c>
      <c r="D219" s="36" t="s">
        <v>439</v>
      </c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>
        <v>0</v>
      </c>
      <c r="Z219" s="207">
        <v>239259</v>
      </c>
      <c r="AA219" s="62">
        <f t="shared" si="202"/>
        <v>239259</v>
      </c>
      <c r="AB219" s="207"/>
      <c r="AC219" s="62">
        <f t="shared" si="203"/>
        <v>239259</v>
      </c>
      <c r="AH219" s="79"/>
      <c r="AI219" s="79"/>
    </row>
    <row r="220" spans="1:29" s="25" customFormat="1" ht="21" customHeight="1">
      <c r="A220" s="49"/>
      <c r="B220" s="63"/>
      <c r="C220" s="49">
        <v>3020</v>
      </c>
      <c r="D220" s="36" t="s">
        <v>430</v>
      </c>
      <c r="E220" s="62">
        <v>195991</v>
      </c>
      <c r="F220" s="62"/>
      <c r="G220" s="62">
        <f t="shared" si="192"/>
        <v>195991</v>
      </c>
      <c r="H220" s="62"/>
      <c r="I220" s="62">
        <f t="shared" si="193"/>
        <v>195991</v>
      </c>
      <c r="J220" s="62"/>
      <c r="K220" s="62">
        <f t="shared" si="194"/>
        <v>195991</v>
      </c>
      <c r="L220" s="62"/>
      <c r="M220" s="62">
        <f t="shared" si="195"/>
        <v>195991</v>
      </c>
      <c r="N220" s="62"/>
      <c r="O220" s="62">
        <f t="shared" si="196"/>
        <v>195991</v>
      </c>
      <c r="P220" s="62"/>
      <c r="Q220" s="62">
        <f t="shared" si="197"/>
        <v>195991</v>
      </c>
      <c r="R220" s="62"/>
      <c r="S220" s="62">
        <f t="shared" si="198"/>
        <v>195991</v>
      </c>
      <c r="T220" s="62"/>
      <c r="U220" s="62">
        <f t="shared" si="199"/>
        <v>195991</v>
      </c>
      <c r="V220" s="62"/>
      <c r="W220" s="62">
        <f t="shared" si="200"/>
        <v>195991</v>
      </c>
      <c r="X220" s="62"/>
      <c r="Y220" s="62">
        <f t="shared" si="201"/>
        <v>195991</v>
      </c>
      <c r="Z220" s="62"/>
      <c r="AA220" s="62">
        <f t="shared" si="202"/>
        <v>195991</v>
      </c>
      <c r="AB220" s="62">
        <v>-1150</v>
      </c>
      <c r="AC220" s="62">
        <f t="shared" si="203"/>
        <v>194841</v>
      </c>
    </row>
    <row r="221" spans="1:31" s="25" customFormat="1" ht="21" customHeight="1">
      <c r="A221" s="49"/>
      <c r="B221" s="63"/>
      <c r="C221" s="49">
        <v>4010</v>
      </c>
      <c r="D221" s="36" t="s">
        <v>79</v>
      </c>
      <c r="E221" s="62">
        <v>7107101</v>
      </c>
      <c r="F221" s="62"/>
      <c r="G221" s="62">
        <f t="shared" si="192"/>
        <v>7107101</v>
      </c>
      <c r="H221" s="62"/>
      <c r="I221" s="62">
        <f t="shared" si="193"/>
        <v>7107101</v>
      </c>
      <c r="J221" s="62">
        <v>13926</v>
      </c>
      <c r="K221" s="62">
        <f t="shared" si="194"/>
        <v>7121027</v>
      </c>
      <c r="L221" s="62"/>
      <c r="M221" s="62">
        <f t="shared" si="195"/>
        <v>7121027</v>
      </c>
      <c r="N221" s="62"/>
      <c r="O221" s="62">
        <f t="shared" si="196"/>
        <v>7121027</v>
      </c>
      <c r="P221" s="62"/>
      <c r="Q221" s="62">
        <f t="shared" si="197"/>
        <v>7121027</v>
      </c>
      <c r="R221" s="62"/>
      <c r="S221" s="62">
        <f t="shared" si="198"/>
        <v>7121027</v>
      </c>
      <c r="T221" s="62"/>
      <c r="U221" s="62">
        <f t="shared" si="199"/>
        <v>7121027</v>
      </c>
      <c r="V221" s="62"/>
      <c r="W221" s="62">
        <f t="shared" si="200"/>
        <v>7121027</v>
      </c>
      <c r="X221" s="62"/>
      <c r="Y221" s="62">
        <f t="shared" si="201"/>
        <v>7121027</v>
      </c>
      <c r="Z221" s="62"/>
      <c r="AA221" s="62">
        <f t="shared" si="202"/>
        <v>7121027</v>
      </c>
      <c r="AB221" s="62">
        <v>-13975</v>
      </c>
      <c r="AC221" s="62">
        <f t="shared" si="203"/>
        <v>7107052</v>
      </c>
      <c r="AD221" s="79"/>
      <c r="AE221" s="79"/>
    </row>
    <row r="222" spans="1:31" s="25" customFormat="1" ht="21" customHeight="1">
      <c r="A222" s="49"/>
      <c r="B222" s="63"/>
      <c r="C222" s="49">
        <v>4040</v>
      </c>
      <c r="D222" s="36" t="s">
        <v>80</v>
      </c>
      <c r="E222" s="62">
        <v>551652</v>
      </c>
      <c r="F222" s="62"/>
      <c r="G222" s="62">
        <f t="shared" si="192"/>
        <v>551652</v>
      </c>
      <c r="H222" s="62"/>
      <c r="I222" s="62">
        <f t="shared" si="193"/>
        <v>551652</v>
      </c>
      <c r="J222" s="62">
        <v>-18389</v>
      </c>
      <c r="K222" s="62">
        <f t="shared" si="194"/>
        <v>533263</v>
      </c>
      <c r="L222" s="62"/>
      <c r="M222" s="62">
        <f t="shared" si="195"/>
        <v>533263</v>
      </c>
      <c r="N222" s="62"/>
      <c r="O222" s="62">
        <f t="shared" si="196"/>
        <v>533263</v>
      </c>
      <c r="P222" s="62"/>
      <c r="Q222" s="62">
        <f t="shared" si="197"/>
        <v>533263</v>
      </c>
      <c r="R222" s="62"/>
      <c r="S222" s="62">
        <f t="shared" si="198"/>
        <v>533263</v>
      </c>
      <c r="T222" s="62"/>
      <c r="U222" s="62">
        <f t="shared" si="199"/>
        <v>533263</v>
      </c>
      <c r="V222" s="62"/>
      <c r="W222" s="62">
        <f t="shared" si="200"/>
        <v>533263</v>
      </c>
      <c r="X222" s="62"/>
      <c r="Y222" s="62">
        <f t="shared" si="201"/>
        <v>533263</v>
      </c>
      <c r="Z222" s="62"/>
      <c r="AA222" s="62">
        <f t="shared" si="202"/>
        <v>533263</v>
      </c>
      <c r="AB222" s="62"/>
      <c r="AC222" s="62">
        <f t="shared" si="203"/>
        <v>533263</v>
      </c>
      <c r="AD222" s="79"/>
      <c r="AE222" s="79"/>
    </row>
    <row r="223" spans="1:31" s="25" customFormat="1" ht="21" customHeight="1">
      <c r="A223" s="49"/>
      <c r="B223" s="63"/>
      <c r="C223" s="49">
        <v>4110</v>
      </c>
      <c r="D223" s="36" t="s">
        <v>81</v>
      </c>
      <c r="E223" s="62">
        <v>1159019</v>
      </c>
      <c r="F223" s="62"/>
      <c r="G223" s="62">
        <f t="shared" si="192"/>
        <v>1159019</v>
      </c>
      <c r="H223" s="62"/>
      <c r="I223" s="62">
        <f t="shared" si="193"/>
        <v>1159019</v>
      </c>
      <c r="J223" s="62"/>
      <c r="K223" s="62">
        <f t="shared" si="194"/>
        <v>1159019</v>
      </c>
      <c r="L223" s="62"/>
      <c r="M223" s="62">
        <f t="shared" si="195"/>
        <v>1159019</v>
      </c>
      <c r="N223" s="62"/>
      <c r="O223" s="62">
        <f t="shared" si="196"/>
        <v>1159019</v>
      </c>
      <c r="P223" s="62"/>
      <c r="Q223" s="62">
        <f t="shared" si="197"/>
        <v>1159019</v>
      </c>
      <c r="R223" s="62"/>
      <c r="S223" s="62">
        <f t="shared" si="198"/>
        <v>1159019</v>
      </c>
      <c r="T223" s="62"/>
      <c r="U223" s="62">
        <f t="shared" si="199"/>
        <v>1159019</v>
      </c>
      <c r="V223" s="62"/>
      <c r="W223" s="62">
        <f t="shared" si="200"/>
        <v>1159019</v>
      </c>
      <c r="X223" s="62"/>
      <c r="Y223" s="62">
        <f t="shared" si="201"/>
        <v>1159019</v>
      </c>
      <c r="Z223" s="62"/>
      <c r="AA223" s="62">
        <f t="shared" si="202"/>
        <v>1159019</v>
      </c>
      <c r="AB223" s="62">
        <v>-2298</v>
      </c>
      <c r="AC223" s="62">
        <f t="shared" si="203"/>
        <v>1156721</v>
      </c>
      <c r="AD223" s="79"/>
      <c r="AE223" s="79"/>
    </row>
    <row r="224" spans="1:31" s="25" customFormat="1" ht="21" customHeight="1">
      <c r="A224" s="49"/>
      <c r="B224" s="63"/>
      <c r="C224" s="49">
        <v>4120</v>
      </c>
      <c r="D224" s="36" t="s">
        <v>82</v>
      </c>
      <c r="E224" s="62">
        <v>186008</v>
      </c>
      <c r="F224" s="62"/>
      <c r="G224" s="62">
        <f t="shared" si="192"/>
        <v>186008</v>
      </c>
      <c r="H224" s="62"/>
      <c r="I224" s="62">
        <f t="shared" si="193"/>
        <v>186008</v>
      </c>
      <c r="J224" s="62"/>
      <c r="K224" s="62">
        <f t="shared" si="194"/>
        <v>186008</v>
      </c>
      <c r="L224" s="62"/>
      <c r="M224" s="62">
        <f t="shared" si="195"/>
        <v>186008</v>
      </c>
      <c r="N224" s="62"/>
      <c r="O224" s="62">
        <f t="shared" si="196"/>
        <v>186008</v>
      </c>
      <c r="P224" s="62"/>
      <c r="Q224" s="62">
        <f t="shared" si="197"/>
        <v>186008</v>
      </c>
      <c r="R224" s="62"/>
      <c r="S224" s="62">
        <f t="shared" si="198"/>
        <v>186008</v>
      </c>
      <c r="T224" s="62"/>
      <c r="U224" s="62">
        <f t="shared" si="199"/>
        <v>186008</v>
      </c>
      <c r="V224" s="62"/>
      <c r="W224" s="62">
        <f t="shared" si="200"/>
        <v>186008</v>
      </c>
      <c r="X224" s="62"/>
      <c r="Y224" s="62">
        <f t="shared" si="201"/>
        <v>186008</v>
      </c>
      <c r="Z224" s="62"/>
      <c r="AA224" s="62">
        <f t="shared" si="202"/>
        <v>186008</v>
      </c>
      <c r="AB224" s="62">
        <v>-373</v>
      </c>
      <c r="AC224" s="62">
        <f t="shared" si="203"/>
        <v>185635</v>
      </c>
      <c r="AD224" s="79"/>
      <c r="AE224" s="79"/>
    </row>
    <row r="225" spans="1:31" s="25" customFormat="1" ht="21" customHeight="1">
      <c r="A225" s="49"/>
      <c r="B225" s="63"/>
      <c r="C225" s="49">
        <v>4170</v>
      </c>
      <c r="D225" s="36" t="s">
        <v>161</v>
      </c>
      <c r="E225" s="62">
        <v>13100</v>
      </c>
      <c r="F225" s="62"/>
      <c r="G225" s="62">
        <f t="shared" si="192"/>
        <v>13100</v>
      </c>
      <c r="H225" s="62"/>
      <c r="I225" s="62">
        <f t="shared" si="193"/>
        <v>13100</v>
      </c>
      <c r="J225" s="62"/>
      <c r="K225" s="62">
        <f t="shared" si="194"/>
        <v>13100</v>
      </c>
      <c r="L225" s="62">
        <v>1000</v>
      </c>
      <c r="M225" s="62">
        <f t="shared" si="195"/>
        <v>14100</v>
      </c>
      <c r="N225" s="62"/>
      <c r="O225" s="62">
        <f t="shared" si="196"/>
        <v>14100</v>
      </c>
      <c r="P225" s="62"/>
      <c r="Q225" s="62">
        <f t="shared" si="197"/>
        <v>14100</v>
      </c>
      <c r="R225" s="62"/>
      <c r="S225" s="62">
        <f t="shared" si="198"/>
        <v>14100</v>
      </c>
      <c r="T225" s="62"/>
      <c r="U225" s="62">
        <f t="shared" si="199"/>
        <v>14100</v>
      </c>
      <c r="V225" s="62"/>
      <c r="W225" s="62">
        <f t="shared" si="200"/>
        <v>14100</v>
      </c>
      <c r="X225" s="62"/>
      <c r="Y225" s="62">
        <f t="shared" si="201"/>
        <v>14100</v>
      </c>
      <c r="Z225" s="62"/>
      <c r="AA225" s="62">
        <f t="shared" si="202"/>
        <v>14100</v>
      </c>
      <c r="AB225" s="62"/>
      <c r="AC225" s="62">
        <f t="shared" si="203"/>
        <v>14100</v>
      </c>
      <c r="AD225" s="79"/>
      <c r="AE225" s="79"/>
    </row>
    <row r="226" spans="1:29" s="25" customFormat="1" ht="21" customHeight="1">
      <c r="A226" s="49"/>
      <c r="B226" s="63"/>
      <c r="C226" s="49">
        <v>4210</v>
      </c>
      <c r="D226" s="36" t="s">
        <v>86</v>
      </c>
      <c r="E226" s="62">
        <f>6800+450205</f>
        <v>457005</v>
      </c>
      <c r="F226" s="62"/>
      <c r="G226" s="62">
        <f t="shared" si="192"/>
        <v>457005</v>
      </c>
      <c r="H226" s="62"/>
      <c r="I226" s="62">
        <f t="shared" si="193"/>
        <v>457005</v>
      </c>
      <c r="J226" s="62">
        <f>1750-2700</f>
        <v>-950</v>
      </c>
      <c r="K226" s="62">
        <f t="shared" si="194"/>
        <v>456055</v>
      </c>
      <c r="L226" s="62"/>
      <c r="M226" s="62">
        <f t="shared" si="195"/>
        <v>456055</v>
      </c>
      <c r="N226" s="62">
        <v>-8704</v>
      </c>
      <c r="O226" s="62">
        <f t="shared" si="196"/>
        <v>447351</v>
      </c>
      <c r="P226" s="62"/>
      <c r="Q226" s="62">
        <f t="shared" si="197"/>
        <v>447351</v>
      </c>
      <c r="R226" s="62">
        <v>-20</v>
      </c>
      <c r="S226" s="62">
        <f t="shared" si="198"/>
        <v>447331</v>
      </c>
      <c r="T226" s="62"/>
      <c r="U226" s="62">
        <f t="shared" si="199"/>
        <v>447331</v>
      </c>
      <c r="V226" s="62"/>
      <c r="W226" s="62">
        <f t="shared" si="200"/>
        <v>447331</v>
      </c>
      <c r="X226" s="62"/>
      <c r="Y226" s="62">
        <f t="shared" si="201"/>
        <v>447331</v>
      </c>
      <c r="Z226" s="62">
        <v>-860</v>
      </c>
      <c r="AA226" s="62">
        <f t="shared" si="202"/>
        <v>446471</v>
      </c>
      <c r="AB226" s="62"/>
      <c r="AC226" s="62">
        <f t="shared" si="203"/>
        <v>446471</v>
      </c>
    </row>
    <row r="227" spans="1:29" s="25" customFormat="1" ht="24">
      <c r="A227" s="49"/>
      <c r="B227" s="63"/>
      <c r="C227" s="66">
        <v>4230</v>
      </c>
      <c r="D227" s="36" t="s">
        <v>431</v>
      </c>
      <c r="E227" s="62">
        <v>2000</v>
      </c>
      <c r="F227" s="62"/>
      <c r="G227" s="62">
        <f t="shared" si="192"/>
        <v>2000</v>
      </c>
      <c r="H227" s="62"/>
      <c r="I227" s="62">
        <f t="shared" si="193"/>
        <v>2000</v>
      </c>
      <c r="J227" s="62"/>
      <c r="K227" s="62">
        <f t="shared" si="194"/>
        <v>2000</v>
      </c>
      <c r="L227" s="62"/>
      <c r="M227" s="62">
        <f t="shared" si="195"/>
        <v>2000</v>
      </c>
      <c r="N227" s="62"/>
      <c r="O227" s="62">
        <f t="shared" si="196"/>
        <v>2000</v>
      </c>
      <c r="P227" s="62"/>
      <c r="Q227" s="62">
        <f t="shared" si="197"/>
        <v>2000</v>
      </c>
      <c r="R227" s="62"/>
      <c r="S227" s="62">
        <f t="shared" si="198"/>
        <v>2000</v>
      </c>
      <c r="T227" s="62"/>
      <c r="U227" s="62">
        <f t="shared" si="199"/>
        <v>2000</v>
      </c>
      <c r="V227" s="62"/>
      <c r="W227" s="62">
        <f t="shared" si="200"/>
        <v>2000</v>
      </c>
      <c r="X227" s="62"/>
      <c r="Y227" s="62">
        <f t="shared" si="201"/>
        <v>2000</v>
      </c>
      <c r="Z227" s="62"/>
      <c r="AA227" s="62">
        <f t="shared" si="202"/>
        <v>2000</v>
      </c>
      <c r="AB227" s="62"/>
      <c r="AC227" s="62">
        <f t="shared" si="203"/>
        <v>2000</v>
      </c>
    </row>
    <row r="228" spans="1:29" s="25" customFormat="1" ht="24">
      <c r="A228" s="49"/>
      <c r="B228" s="63"/>
      <c r="C228" s="66">
        <v>4240</v>
      </c>
      <c r="D228" s="36" t="s">
        <v>101</v>
      </c>
      <c r="E228" s="62">
        <f>500+84060</f>
        <v>84560</v>
      </c>
      <c r="F228" s="62"/>
      <c r="G228" s="62">
        <f t="shared" si="192"/>
        <v>84560</v>
      </c>
      <c r="H228" s="62"/>
      <c r="I228" s="62">
        <f t="shared" si="193"/>
        <v>84560</v>
      </c>
      <c r="J228" s="62">
        <v>1700</v>
      </c>
      <c r="K228" s="62">
        <f t="shared" si="194"/>
        <v>86260</v>
      </c>
      <c r="L228" s="62"/>
      <c r="M228" s="62">
        <f t="shared" si="195"/>
        <v>86260</v>
      </c>
      <c r="N228" s="62">
        <v>7685</v>
      </c>
      <c r="O228" s="62">
        <f t="shared" si="196"/>
        <v>93945</v>
      </c>
      <c r="P228" s="62"/>
      <c r="Q228" s="62">
        <f t="shared" si="197"/>
        <v>93945</v>
      </c>
      <c r="R228" s="62"/>
      <c r="S228" s="62">
        <f t="shared" si="198"/>
        <v>93945</v>
      </c>
      <c r="T228" s="62"/>
      <c r="U228" s="62">
        <f t="shared" si="199"/>
        <v>93945</v>
      </c>
      <c r="V228" s="62">
        <v>331</v>
      </c>
      <c r="W228" s="62">
        <f t="shared" si="200"/>
        <v>94276</v>
      </c>
      <c r="X228" s="62"/>
      <c r="Y228" s="62">
        <f t="shared" si="201"/>
        <v>94276</v>
      </c>
      <c r="Z228" s="62"/>
      <c r="AA228" s="62">
        <f t="shared" si="202"/>
        <v>94276</v>
      </c>
      <c r="AB228" s="62"/>
      <c r="AC228" s="62">
        <f t="shared" si="203"/>
        <v>94276</v>
      </c>
    </row>
    <row r="229" spans="1:29" s="25" customFormat="1" ht="21" customHeight="1">
      <c r="A229" s="49"/>
      <c r="B229" s="63"/>
      <c r="C229" s="49">
        <v>4260</v>
      </c>
      <c r="D229" s="36" t="s">
        <v>88</v>
      </c>
      <c r="E229" s="62">
        <v>505430</v>
      </c>
      <c r="F229" s="62"/>
      <c r="G229" s="62">
        <f t="shared" si="192"/>
        <v>505430</v>
      </c>
      <c r="H229" s="62"/>
      <c r="I229" s="62">
        <f t="shared" si="193"/>
        <v>505430</v>
      </c>
      <c r="J229" s="62"/>
      <c r="K229" s="62">
        <f t="shared" si="194"/>
        <v>505430</v>
      </c>
      <c r="L229" s="62"/>
      <c r="M229" s="62">
        <f t="shared" si="195"/>
        <v>505430</v>
      </c>
      <c r="N229" s="62"/>
      <c r="O229" s="62">
        <f t="shared" si="196"/>
        <v>505430</v>
      </c>
      <c r="P229" s="62"/>
      <c r="Q229" s="62">
        <f t="shared" si="197"/>
        <v>505430</v>
      </c>
      <c r="R229" s="62">
        <v>6100</v>
      </c>
      <c r="S229" s="62">
        <f t="shared" si="198"/>
        <v>511530</v>
      </c>
      <c r="T229" s="62"/>
      <c r="U229" s="62">
        <f t="shared" si="199"/>
        <v>511530</v>
      </c>
      <c r="V229" s="62">
        <v>600</v>
      </c>
      <c r="W229" s="62">
        <f t="shared" si="200"/>
        <v>512130</v>
      </c>
      <c r="X229" s="62"/>
      <c r="Y229" s="62">
        <f t="shared" si="201"/>
        <v>512130</v>
      </c>
      <c r="Z229" s="62">
        <v>6500</v>
      </c>
      <c r="AA229" s="62">
        <f t="shared" si="202"/>
        <v>518630</v>
      </c>
      <c r="AB229" s="62"/>
      <c r="AC229" s="62">
        <f t="shared" si="203"/>
        <v>518630</v>
      </c>
    </row>
    <row r="230" spans="1:29" s="25" customFormat="1" ht="21" customHeight="1">
      <c r="A230" s="49"/>
      <c r="B230" s="63"/>
      <c r="C230" s="49">
        <v>4270</v>
      </c>
      <c r="D230" s="36" t="s">
        <v>74</v>
      </c>
      <c r="E230" s="62">
        <v>153158</v>
      </c>
      <c r="F230" s="62"/>
      <c r="G230" s="62">
        <f t="shared" si="192"/>
        <v>153158</v>
      </c>
      <c r="H230" s="62"/>
      <c r="I230" s="62">
        <f t="shared" si="193"/>
        <v>153158</v>
      </c>
      <c r="J230" s="62">
        <v>85000</v>
      </c>
      <c r="K230" s="62">
        <f t="shared" si="194"/>
        <v>238158</v>
      </c>
      <c r="L230" s="62">
        <v>-1000</v>
      </c>
      <c r="M230" s="62">
        <f t="shared" si="195"/>
        <v>237158</v>
      </c>
      <c r="N230" s="62"/>
      <c r="O230" s="62">
        <f t="shared" si="196"/>
        <v>237158</v>
      </c>
      <c r="P230" s="62"/>
      <c r="Q230" s="62">
        <f t="shared" si="197"/>
        <v>237158</v>
      </c>
      <c r="R230" s="62"/>
      <c r="S230" s="62">
        <f t="shared" si="198"/>
        <v>237158</v>
      </c>
      <c r="T230" s="62"/>
      <c r="U230" s="62">
        <f t="shared" si="199"/>
        <v>237158</v>
      </c>
      <c r="V230" s="62"/>
      <c r="W230" s="62">
        <f t="shared" si="200"/>
        <v>237158</v>
      </c>
      <c r="X230" s="62"/>
      <c r="Y230" s="62">
        <f t="shared" si="201"/>
        <v>237158</v>
      </c>
      <c r="Z230" s="62">
        <f>17000+860</f>
        <v>17860</v>
      </c>
      <c r="AA230" s="62">
        <f t="shared" si="202"/>
        <v>255018</v>
      </c>
      <c r="AB230" s="62"/>
      <c r="AC230" s="62">
        <f t="shared" si="203"/>
        <v>255018</v>
      </c>
    </row>
    <row r="231" spans="1:29" s="25" customFormat="1" ht="21" customHeight="1">
      <c r="A231" s="49"/>
      <c r="B231" s="63"/>
      <c r="C231" s="49">
        <v>4280</v>
      </c>
      <c r="D231" s="36" t="s">
        <v>432</v>
      </c>
      <c r="E231" s="62">
        <v>18900</v>
      </c>
      <c r="F231" s="62"/>
      <c r="G231" s="62">
        <f t="shared" si="192"/>
        <v>18900</v>
      </c>
      <c r="H231" s="62"/>
      <c r="I231" s="62">
        <f t="shared" si="193"/>
        <v>18900</v>
      </c>
      <c r="J231" s="62"/>
      <c r="K231" s="62">
        <f t="shared" si="194"/>
        <v>18900</v>
      </c>
      <c r="L231" s="62"/>
      <c r="M231" s="62">
        <f t="shared" si="195"/>
        <v>18900</v>
      </c>
      <c r="N231" s="62"/>
      <c r="O231" s="62">
        <f t="shared" si="196"/>
        <v>18900</v>
      </c>
      <c r="P231" s="62"/>
      <c r="Q231" s="62">
        <f t="shared" si="197"/>
        <v>18900</v>
      </c>
      <c r="R231" s="62"/>
      <c r="S231" s="62">
        <f t="shared" si="198"/>
        <v>18900</v>
      </c>
      <c r="T231" s="62"/>
      <c r="U231" s="62">
        <f t="shared" si="199"/>
        <v>18900</v>
      </c>
      <c r="V231" s="62"/>
      <c r="W231" s="62">
        <f t="shared" si="200"/>
        <v>18900</v>
      </c>
      <c r="X231" s="62"/>
      <c r="Y231" s="62">
        <f t="shared" si="201"/>
        <v>18900</v>
      </c>
      <c r="Z231" s="62">
        <v>-261</v>
      </c>
      <c r="AA231" s="62">
        <f t="shared" si="202"/>
        <v>18639</v>
      </c>
      <c r="AB231" s="62"/>
      <c r="AC231" s="62">
        <f t="shared" si="203"/>
        <v>18639</v>
      </c>
    </row>
    <row r="232" spans="1:29" s="25" customFormat="1" ht="21" customHeight="1">
      <c r="A232" s="49"/>
      <c r="B232" s="63"/>
      <c r="C232" s="49">
        <v>4300</v>
      </c>
      <c r="D232" s="36" t="s">
        <v>75</v>
      </c>
      <c r="E232" s="62">
        <v>110748</v>
      </c>
      <c r="F232" s="62"/>
      <c r="G232" s="62">
        <f t="shared" si="192"/>
        <v>110748</v>
      </c>
      <c r="H232" s="62"/>
      <c r="I232" s="62">
        <f t="shared" si="193"/>
        <v>110748</v>
      </c>
      <c r="J232" s="62">
        <v>1000</v>
      </c>
      <c r="K232" s="62">
        <f t="shared" si="194"/>
        <v>111748</v>
      </c>
      <c r="L232" s="62"/>
      <c r="M232" s="62">
        <f t="shared" si="195"/>
        <v>111748</v>
      </c>
      <c r="N232" s="62">
        <v>-1000</v>
      </c>
      <c r="O232" s="62">
        <f t="shared" si="196"/>
        <v>110748</v>
      </c>
      <c r="P232" s="62"/>
      <c r="Q232" s="62">
        <f t="shared" si="197"/>
        <v>110748</v>
      </c>
      <c r="R232" s="62"/>
      <c r="S232" s="62">
        <f t="shared" si="198"/>
        <v>110748</v>
      </c>
      <c r="T232" s="62"/>
      <c r="U232" s="62">
        <f t="shared" si="199"/>
        <v>110748</v>
      </c>
      <c r="V232" s="62"/>
      <c r="W232" s="62">
        <f t="shared" si="200"/>
        <v>110748</v>
      </c>
      <c r="X232" s="62">
        <v>44050</v>
      </c>
      <c r="Y232" s="62">
        <f t="shared" si="201"/>
        <v>154798</v>
      </c>
      <c r="Z232" s="62"/>
      <c r="AA232" s="62">
        <f t="shared" si="202"/>
        <v>154798</v>
      </c>
      <c r="AB232" s="62"/>
      <c r="AC232" s="62">
        <f t="shared" si="203"/>
        <v>154798</v>
      </c>
    </row>
    <row r="233" spans="1:29" s="25" customFormat="1" ht="21" customHeight="1">
      <c r="A233" s="49"/>
      <c r="B233" s="63"/>
      <c r="C233" s="49">
        <v>4350</v>
      </c>
      <c r="D233" s="36" t="s">
        <v>169</v>
      </c>
      <c r="E233" s="62">
        <v>4050</v>
      </c>
      <c r="F233" s="62"/>
      <c r="G233" s="62">
        <f t="shared" si="192"/>
        <v>4050</v>
      </c>
      <c r="H233" s="62"/>
      <c r="I233" s="62">
        <f t="shared" si="193"/>
        <v>4050</v>
      </c>
      <c r="J233" s="62"/>
      <c r="K233" s="62">
        <f t="shared" si="194"/>
        <v>4050</v>
      </c>
      <c r="L233" s="62"/>
      <c r="M233" s="62">
        <f t="shared" si="195"/>
        <v>4050</v>
      </c>
      <c r="N233" s="62">
        <v>200</v>
      </c>
      <c r="O233" s="62">
        <f t="shared" si="196"/>
        <v>4250</v>
      </c>
      <c r="P233" s="62"/>
      <c r="Q233" s="62">
        <f t="shared" si="197"/>
        <v>4250</v>
      </c>
      <c r="R233" s="62"/>
      <c r="S233" s="62">
        <f t="shared" si="198"/>
        <v>4250</v>
      </c>
      <c r="T233" s="62"/>
      <c r="U233" s="62">
        <f t="shared" si="199"/>
        <v>4250</v>
      </c>
      <c r="V233" s="62"/>
      <c r="W233" s="62">
        <f t="shared" si="200"/>
        <v>4250</v>
      </c>
      <c r="X233" s="62"/>
      <c r="Y233" s="62">
        <f t="shared" si="201"/>
        <v>4250</v>
      </c>
      <c r="Z233" s="62">
        <v>261</v>
      </c>
      <c r="AA233" s="62">
        <f t="shared" si="202"/>
        <v>4511</v>
      </c>
      <c r="AB233" s="62"/>
      <c r="AC233" s="62">
        <f t="shared" si="203"/>
        <v>4511</v>
      </c>
    </row>
    <row r="234" spans="1:29" s="25" customFormat="1" ht="27" customHeight="1">
      <c r="A234" s="49"/>
      <c r="B234" s="63"/>
      <c r="C234" s="49">
        <v>4360</v>
      </c>
      <c r="D234" s="36" t="s">
        <v>413</v>
      </c>
      <c r="E234" s="62"/>
      <c r="F234" s="62"/>
      <c r="G234" s="62"/>
      <c r="H234" s="62"/>
      <c r="I234" s="62">
        <v>0</v>
      </c>
      <c r="J234" s="62">
        <v>370</v>
      </c>
      <c r="K234" s="62">
        <f t="shared" si="194"/>
        <v>370</v>
      </c>
      <c r="L234" s="62"/>
      <c r="M234" s="62">
        <f t="shared" si="195"/>
        <v>370</v>
      </c>
      <c r="N234" s="62"/>
      <c r="O234" s="62">
        <f t="shared" si="196"/>
        <v>370</v>
      </c>
      <c r="P234" s="62"/>
      <c r="Q234" s="62">
        <f t="shared" si="197"/>
        <v>370</v>
      </c>
      <c r="R234" s="62"/>
      <c r="S234" s="62">
        <f t="shared" si="198"/>
        <v>370</v>
      </c>
      <c r="T234" s="62"/>
      <c r="U234" s="62">
        <f t="shared" si="199"/>
        <v>370</v>
      </c>
      <c r="V234" s="62"/>
      <c r="W234" s="62">
        <f t="shared" si="200"/>
        <v>370</v>
      </c>
      <c r="X234" s="62"/>
      <c r="Y234" s="62">
        <f t="shared" si="201"/>
        <v>370</v>
      </c>
      <c r="Z234" s="62"/>
      <c r="AA234" s="62">
        <f t="shared" si="202"/>
        <v>370</v>
      </c>
      <c r="AB234" s="62"/>
      <c r="AC234" s="62">
        <f t="shared" si="203"/>
        <v>370</v>
      </c>
    </row>
    <row r="235" spans="1:29" s="25" customFormat="1" ht="24">
      <c r="A235" s="49"/>
      <c r="B235" s="63"/>
      <c r="C235" s="49">
        <v>4370</v>
      </c>
      <c r="D235" s="14" t="s">
        <v>182</v>
      </c>
      <c r="E235" s="62">
        <v>20770</v>
      </c>
      <c r="F235" s="62"/>
      <c r="G235" s="62">
        <f t="shared" si="192"/>
        <v>20770</v>
      </c>
      <c r="H235" s="62"/>
      <c r="I235" s="62">
        <f t="shared" si="193"/>
        <v>20770</v>
      </c>
      <c r="J235" s="62">
        <v>-370</v>
      </c>
      <c r="K235" s="62">
        <f t="shared" si="194"/>
        <v>20400</v>
      </c>
      <c r="L235" s="62"/>
      <c r="M235" s="62">
        <f t="shared" si="195"/>
        <v>20400</v>
      </c>
      <c r="N235" s="62">
        <v>1000</v>
      </c>
      <c r="O235" s="62">
        <f t="shared" si="196"/>
        <v>21400</v>
      </c>
      <c r="P235" s="62"/>
      <c r="Q235" s="62">
        <f t="shared" si="197"/>
        <v>21400</v>
      </c>
      <c r="R235" s="62"/>
      <c r="S235" s="62">
        <f t="shared" si="198"/>
        <v>21400</v>
      </c>
      <c r="T235" s="62"/>
      <c r="U235" s="62">
        <f t="shared" si="199"/>
        <v>21400</v>
      </c>
      <c r="V235" s="62"/>
      <c r="W235" s="62">
        <f t="shared" si="200"/>
        <v>21400</v>
      </c>
      <c r="X235" s="62"/>
      <c r="Y235" s="62">
        <f t="shared" si="201"/>
        <v>21400</v>
      </c>
      <c r="Z235" s="62"/>
      <c r="AA235" s="62">
        <f t="shared" si="202"/>
        <v>21400</v>
      </c>
      <c r="AB235" s="62"/>
      <c r="AC235" s="62">
        <f t="shared" si="203"/>
        <v>21400</v>
      </c>
    </row>
    <row r="236" spans="1:29" s="25" customFormat="1" ht="24">
      <c r="A236" s="49"/>
      <c r="B236" s="63"/>
      <c r="C236" s="49">
        <v>4390</v>
      </c>
      <c r="D236" s="36" t="s">
        <v>433</v>
      </c>
      <c r="E236" s="62">
        <v>5400</v>
      </c>
      <c r="F236" s="62"/>
      <c r="G236" s="62">
        <f t="shared" si="192"/>
        <v>5400</v>
      </c>
      <c r="H236" s="62"/>
      <c r="I236" s="62">
        <f t="shared" si="193"/>
        <v>5400</v>
      </c>
      <c r="J236" s="62"/>
      <c r="K236" s="62">
        <f t="shared" si="194"/>
        <v>5400</v>
      </c>
      <c r="L236" s="62"/>
      <c r="M236" s="62">
        <f t="shared" si="195"/>
        <v>5400</v>
      </c>
      <c r="N236" s="62"/>
      <c r="O236" s="62">
        <f t="shared" si="196"/>
        <v>5400</v>
      </c>
      <c r="P236" s="62"/>
      <c r="Q236" s="62">
        <f t="shared" si="197"/>
        <v>5400</v>
      </c>
      <c r="R236" s="62"/>
      <c r="S236" s="62">
        <f t="shared" si="198"/>
        <v>5400</v>
      </c>
      <c r="T236" s="62"/>
      <c r="U236" s="62">
        <f t="shared" si="199"/>
        <v>5400</v>
      </c>
      <c r="V236" s="62"/>
      <c r="W236" s="62">
        <f t="shared" si="200"/>
        <v>5400</v>
      </c>
      <c r="X236" s="62"/>
      <c r="Y236" s="62">
        <f t="shared" si="201"/>
        <v>5400</v>
      </c>
      <c r="Z236" s="62"/>
      <c r="AA236" s="62">
        <f t="shared" si="202"/>
        <v>5400</v>
      </c>
      <c r="AB236" s="62"/>
      <c r="AC236" s="62">
        <f t="shared" si="203"/>
        <v>5400</v>
      </c>
    </row>
    <row r="237" spans="1:29" s="25" customFormat="1" ht="21" customHeight="1">
      <c r="A237" s="49"/>
      <c r="B237" s="63"/>
      <c r="C237" s="49">
        <v>4410</v>
      </c>
      <c r="D237" s="36" t="s">
        <v>85</v>
      </c>
      <c r="E237" s="62">
        <v>18780</v>
      </c>
      <c r="F237" s="62"/>
      <c r="G237" s="62">
        <f t="shared" si="192"/>
        <v>18780</v>
      </c>
      <c r="H237" s="62"/>
      <c r="I237" s="62">
        <f t="shared" si="193"/>
        <v>18780</v>
      </c>
      <c r="J237" s="62"/>
      <c r="K237" s="62">
        <f t="shared" si="194"/>
        <v>18780</v>
      </c>
      <c r="L237" s="62"/>
      <c r="M237" s="62">
        <f t="shared" si="195"/>
        <v>18780</v>
      </c>
      <c r="N237" s="62"/>
      <c r="O237" s="62">
        <f t="shared" si="196"/>
        <v>18780</v>
      </c>
      <c r="P237" s="62"/>
      <c r="Q237" s="62">
        <f t="shared" si="197"/>
        <v>18780</v>
      </c>
      <c r="R237" s="62"/>
      <c r="S237" s="62">
        <f t="shared" si="198"/>
        <v>18780</v>
      </c>
      <c r="T237" s="62"/>
      <c r="U237" s="62">
        <f t="shared" si="199"/>
        <v>18780</v>
      </c>
      <c r="V237" s="62">
        <v>-283</v>
      </c>
      <c r="W237" s="62">
        <f t="shared" si="200"/>
        <v>18497</v>
      </c>
      <c r="X237" s="62"/>
      <c r="Y237" s="62">
        <f t="shared" si="201"/>
        <v>18497</v>
      </c>
      <c r="Z237" s="62"/>
      <c r="AA237" s="62">
        <f t="shared" si="202"/>
        <v>18497</v>
      </c>
      <c r="AB237" s="62"/>
      <c r="AC237" s="62">
        <f t="shared" si="203"/>
        <v>18497</v>
      </c>
    </row>
    <row r="238" spans="1:29" s="25" customFormat="1" ht="21" customHeight="1">
      <c r="A238" s="49"/>
      <c r="B238" s="63"/>
      <c r="C238" s="49">
        <v>4420</v>
      </c>
      <c r="D238" s="36" t="s">
        <v>410</v>
      </c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>
        <v>0</v>
      </c>
      <c r="V238" s="62">
        <v>283</v>
      </c>
      <c r="W238" s="62">
        <f t="shared" si="200"/>
        <v>283</v>
      </c>
      <c r="X238" s="62"/>
      <c r="Y238" s="62">
        <f t="shared" si="201"/>
        <v>283</v>
      </c>
      <c r="Z238" s="62"/>
      <c r="AA238" s="62">
        <f t="shared" si="202"/>
        <v>283</v>
      </c>
      <c r="AB238" s="62"/>
      <c r="AC238" s="62">
        <f t="shared" si="203"/>
        <v>283</v>
      </c>
    </row>
    <row r="239" spans="1:29" s="25" customFormat="1" ht="21" customHeight="1">
      <c r="A239" s="49"/>
      <c r="B239" s="63"/>
      <c r="C239" s="201">
        <v>4430</v>
      </c>
      <c r="D239" s="36" t="s">
        <v>87</v>
      </c>
      <c r="E239" s="62">
        <v>8100</v>
      </c>
      <c r="F239" s="62"/>
      <c r="G239" s="62">
        <f t="shared" si="192"/>
        <v>8100</v>
      </c>
      <c r="H239" s="62"/>
      <c r="I239" s="62">
        <f t="shared" si="193"/>
        <v>8100</v>
      </c>
      <c r="J239" s="62"/>
      <c r="K239" s="62">
        <f t="shared" si="194"/>
        <v>8100</v>
      </c>
      <c r="L239" s="62">
        <f>1270+1500+580</f>
        <v>3350</v>
      </c>
      <c r="M239" s="62">
        <f t="shared" si="195"/>
        <v>11450</v>
      </c>
      <c r="N239" s="62">
        <v>800</v>
      </c>
      <c r="O239" s="62">
        <f t="shared" si="196"/>
        <v>12250</v>
      </c>
      <c r="P239" s="62"/>
      <c r="Q239" s="62">
        <f t="shared" si="197"/>
        <v>12250</v>
      </c>
      <c r="R239" s="62"/>
      <c r="S239" s="62">
        <f t="shared" si="198"/>
        <v>12250</v>
      </c>
      <c r="T239" s="62"/>
      <c r="U239" s="62">
        <f t="shared" si="199"/>
        <v>12250</v>
      </c>
      <c r="V239" s="62"/>
      <c r="W239" s="62">
        <f t="shared" si="200"/>
        <v>12250</v>
      </c>
      <c r="X239" s="62"/>
      <c r="Y239" s="62">
        <f t="shared" si="201"/>
        <v>12250</v>
      </c>
      <c r="Z239" s="62"/>
      <c r="AA239" s="62">
        <f t="shared" si="202"/>
        <v>12250</v>
      </c>
      <c r="AB239" s="62"/>
      <c r="AC239" s="62">
        <f t="shared" si="203"/>
        <v>12250</v>
      </c>
    </row>
    <row r="240" spans="1:29" s="25" customFormat="1" ht="24">
      <c r="A240" s="49"/>
      <c r="B240" s="63"/>
      <c r="C240" s="201">
        <v>4440</v>
      </c>
      <c r="D240" s="36" t="s">
        <v>83</v>
      </c>
      <c r="E240" s="62">
        <v>414975</v>
      </c>
      <c r="F240" s="62"/>
      <c r="G240" s="62">
        <f t="shared" si="192"/>
        <v>414975</v>
      </c>
      <c r="H240" s="62"/>
      <c r="I240" s="62">
        <f t="shared" si="193"/>
        <v>414975</v>
      </c>
      <c r="J240" s="62"/>
      <c r="K240" s="62">
        <f t="shared" si="194"/>
        <v>414975</v>
      </c>
      <c r="L240" s="62"/>
      <c r="M240" s="62">
        <f t="shared" si="195"/>
        <v>414975</v>
      </c>
      <c r="N240" s="62"/>
      <c r="O240" s="62">
        <f t="shared" si="196"/>
        <v>414975</v>
      </c>
      <c r="P240" s="62"/>
      <c r="Q240" s="62">
        <f t="shared" si="197"/>
        <v>414975</v>
      </c>
      <c r="R240" s="62"/>
      <c r="S240" s="62">
        <f t="shared" si="198"/>
        <v>414975</v>
      </c>
      <c r="T240" s="62"/>
      <c r="U240" s="62">
        <f t="shared" si="199"/>
        <v>414975</v>
      </c>
      <c r="V240" s="62"/>
      <c r="W240" s="62">
        <f t="shared" si="200"/>
        <v>414975</v>
      </c>
      <c r="X240" s="62"/>
      <c r="Y240" s="62">
        <f t="shared" si="201"/>
        <v>414975</v>
      </c>
      <c r="Z240" s="62"/>
      <c r="AA240" s="62">
        <f t="shared" si="202"/>
        <v>414975</v>
      </c>
      <c r="AB240" s="62"/>
      <c r="AC240" s="62">
        <f t="shared" si="203"/>
        <v>414975</v>
      </c>
    </row>
    <row r="241" spans="1:29" s="25" customFormat="1" ht="22.5" customHeight="1">
      <c r="A241" s="49"/>
      <c r="B241" s="63"/>
      <c r="C241" s="201">
        <v>4570</v>
      </c>
      <c r="D241" s="36" t="s">
        <v>434</v>
      </c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>
        <v>0</v>
      </c>
      <c r="R241" s="62">
        <f>19+20</f>
        <v>39</v>
      </c>
      <c r="S241" s="62">
        <f t="shared" si="198"/>
        <v>39</v>
      </c>
      <c r="T241" s="62"/>
      <c r="U241" s="62">
        <f t="shared" si="199"/>
        <v>39</v>
      </c>
      <c r="V241" s="62"/>
      <c r="W241" s="62">
        <f t="shared" si="200"/>
        <v>39</v>
      </c>
      <c r="X241" s="62"/>
      <c r="Y241" s="62">
        <f t="shared" si="201"/>
        <v>39</v>
      </c>
      <c r="Z241" s="62"/>
      <c r="AA241" s="62">
        <f t="shared" si="202"/>
        <v>39</v>
      </c>
      <c r="AB241" s="62"/>
      <c r="AC241" s="62">
        <f t="shared" si="203"/>
        <v>39</v>
      </c>
    </row>
    <row r="242" spans="1:29" s="25" customFormat="1" ht="21" customHeight="1">
      <c r="A242" s="49"/>
      <c r="B242" s="63"/>
      <c r="C242" s="201">
        <v>4580</v>
      </c>
      <c r="D242" s="36" t="s">
        <v>11</v>
      </c>
      <c r="E242" s="62"/>
      <c r="F242" s="62"/>
      <c r="G242" s="62"/>
      <c r="H242" s="62"/>
      <c r="I242" s="62"/>
      <c r="J242" s="62"/>
      <c r="K242" s="62"/>
      <c r="L242" s="62"/>
      <c r="M242" s="62">
        <v>0</v>
      </c>
      <c r="N242" s="62">
        <v>19</v>
      </c>
      <c r="O242" s="62">
        <f t="shared" si="196"/>
        <v>19</v>
      </c>
      <c r="P242" s="62"/>
      <c r="Q242" s="62">
        <f t="shared" si="197"/>
        <v>19</v>
      </c>
      <c r="R242" s="62">
        <v>-19</v>
      </c>
      <c r="S242" s="62">
        <f t="shared" si="198"/>
        <v>0</v>
      </c>
      <c r="T242" s="62"/>
      <c r="U242" s="62">
        <f t="shared" si="199"/>
        <v>0</v>
      </c>
      <c r="V242" s="62"/>
      <c r="W242" s="62">
        <f t="shared" si="200"/>
        <v>0</v>
      </c>
      <c r="X242" s="62"/>
      <c r="Y242" s="62">
        <f t="shared" si="201"/>
        <v>0</v>
      </c>
      <c r="Z242" s="62"/>
      <c r="AA242" s="62">
        <f t="shared" si="202"/>
        <v>0</v>
      </c>
      <c r="AB242" s="62"/>
      <c r="AC242" s="62">
        <f t="shared" si="203"/>
        <v>0</v>
      </c>
    </row>
    <row r="243" spans="1:29" s="25" customFormat="1" ht="24">
      <c r="A243" s="49"/>
      <c r="B243" s="63"/>
      <c r="C243" s="201">
        <v>4700</v>
      </c>
      <c r="D243" s="36" t="s">
        <v>225</v>
      </c>
      <c r="E243" s="62">
        <v>8860</v>
      </c>
      <c r="F243" s="62"/>
      <c r="G243" s="62">
        <f t="shared" si="192"/>
        <v>8860</v>
      </c>
      <c r="H243" s="62"/>
      <c r="I243" s="62">
        <f t="shared" si="193"/>
        <v>8860</v>
      </c>
      <c r="J243" s="62"/>
      <c r="K243" s="62">
        <f t="shared" si="194"/>
        <v>8860</v>
      </c>
      <c r="L243" s="62"/>
      <c r="M243" s="62">
        <f t="shared" si="195"/>
        <v>8860</v>
      </c>
      <c r="N243" s="62"/>
      <c r="O243" s="62">
        <f t="shared" si="196"/>
        <v>8860</v>
      </c>
      <c r="P243" s="62"/>
      <c r="Q243" s="62">
        <f t="shared" si="197"/>
        <v>8860</v>
      </c>
      <c r="R243" s="62"/>
      <c r="S243" s="62">
        <f t="shared" si="198"/>
        <v>8860</v>
      </c>
      <c r="T243" s="62"/>
      <c r="U243" s="62">
        <f t="shared" si="199"/>
        <v>8860</v>
      </c>
      <c r="V243" s="62"/>
      <c r="W243" s="62">
        <f t="shared" si="200"/>
        <v>8860</v>
      </c>
      <c r="X243" s="62"/>
      <c r="Y243" s="62">
        <f t="shared" si="201"/>
        <v>8860</v>
      </c>
      <c r="Z243" s="62"/>
      <c r="AA243" s="62">
        <f t="shared" si="202"/>
        <v>8860</v>
      </c>
      <c r="AB243" s="62"/>
      <c r="AC243" s="62">
        <f t="shared" si="203"/>
        <v>8860</v>
      </c>
    </row>
    <row r="244" spans="1:29" s="25" customFormat="1" ht="26.25" customHeight="1">
      <c r="A244" s="49"/>
      <c r="B244" s="63"/>
      <c r="C244" s="201">
        <v>4740</v>
      </c>
      <c r="D244" s="14" t="s">
        <v>183</v>
      </c>
      <c r="E244" s="62">
        <v>5900</v>
      </c>
      <c r="F244" s="62"/>
      <c r="G244" s="62">
        <f t="shared" si="192"/>
        <v>5900</v>
      </c>
      <c r="H244" s="62"/>
      <c r="I244" s="62">
        <f t="shared" si="193"/>
        <v>5900</v>
      </c>
      <c r="J244" s="62"/>
      <c r="K244" s="62">
        <f t="shared" si="194"/>
        <v>5900</v>
      </c>
      <c r="L244" s="62"/>
      <c r="M244" s="62">
        <f t="shared" si="195"/>
        <v>5900</v>
      </c>
      <c r="N244" s="62"/>
      <c r="O244" s="62">
        <f t="shared" si="196"/>
        <v>5900</v>
      </c>
      <c r="P244" s="62"/>
      <c r="Q244" s="62">
        <f t="shared" si="197"/>
        <v>5900</v>
      </c>
      <c r="R244" s="62"/>
      <c r="S244" s="62">
        <f t="shared" si="198"/>
        <v>5900</v>
      </c>
      <c r="T244" s="62"/>
      <c r="U244" s="62">
        <f t="shared" si="199"/>
        <v>5900</v>
      </c>
      <c r="V244" s="62"/>
      <c r="W244" s="62">
        <f t="shared" si="200"/>
        <v>5900</v>
      </c>
      <c r="X244" s="62"/>
      <c r="Y244" s="62">
        <f t="shared" si="201"/>
        <v>5900</v>
      </c>
      <c r="Z244" s="62"/>
      <c r="AA244" s="62">
        <f t="shared" si="202"/>
        <v>5900</v>
      </c>
      <c r="AB244" s="62"/>
      <c r="AC244" s="62">
        <f t="shared" si="203"/>
        <v>5900</v>
      </c>
    </row>
    <row r="245" spans="1:29" s="25" customFormat="1" ht="24">
      <c r="A245" s="49"/>
      <c r="B245" s="63"/>
      <c r="C245" s="201">
        <v>4750</v>
      </c>
      <c r="D245" s="14" t="s">
        <v>401</v>
      </c>
      <c r="E245" s="62">
        <v>41690</v>
      </c>
      <c r="F245" s="62"/>
      <c r="G245" s="62">
        <f t="shared" si="192"/>
        <v>41690</v>
      </c>
      <c r="H245" s="62"/>
      <c r="I245" s="62">
        <f t="shared" si="193"/>
        <v>41690</v>
      </c>
      <c r="J245" s="62"/>
      <c r="K245" s="62">
        <f t="shared" si="194"/>
        <v>41690</v>
      </c>
      <c r="L245" s="62">
        <f>-1270-1500-580</f>
        <v>-3350</v>
      </c>
      <c r="M245" s="62">
        <f t="shared" si="195"/>
        <v>38340</v>
      </c>
      <c r="N245" s="62"/>
      <c r="O245" s="62">
        <f t="shared" si="196"/>
        <v>38340</v>
      </c>
      <c r="P245" s="62"/>
      <c r="Q245" s="62">
        <f t="shared" si="197"/>
        <v>38340</v>
      </c>
      <c r="R245" s="62"/>
      <c r="S245" s="62">
        <f t="shared" si="198"/>
        <v>38340</v>
      </c>
      <c r="T245" s="62"/>
      <c r="U245" s="62">
        <f t="shared" si="199"/>
        <v>38340</v>
      </c>
      <c r="V245" s="62"/>
      <c r="W245" s="62">
        <f t="shared" si="200"/>
        <v>38340</v>
      </c>
      <c r="X245" s="62"/>
      <c r="Y245" s="62">
        <f t="shared" si="201"/>
        <v>38340</v>
      </c>
      <c r="Z245" s="62"/>
      <c r="AA245" s="62">
        <f t="shared" si="202"/>
        <v>38340</v>
      </c>
      <c r="AB245" s="62"/>
      <c r="AC245" s="62">
        <f t="shared" si="203"/>
        <v>38340</v>
      </c>
    </row>
    <row r="246" spans="1:33" s="25" customFormat="1" ht="24">
      <c r="A246" s="49"/>
      <c r="B246" s="63"/>
      <c r="C246" s="201">
        <v>6050</v>
      </c>
      <c r="D246" s="14" t="s">
        <v>69</v>
      </c>
      <c r="E246" s="62">
        <v>2100000</v>
      </c>
      <c r="F246" s="62">
        <v>-1200000</v>
      </c>
      <c r="G246" s="62">
        <f t="shared" si="192"/>
        <v>900000</v>
      </c>
      <c r="H246" s="62"/>
      <c r="I246" s="62">
        <f t="shared" si="193"/>
        <v>900000</v>
      </c>
      <c r="J246" s="62"/>
      <c r="K246" s="62">
        <f t="shared" si="194"/>
        <v>900000</v>
      </c>
      <c r="L246" s="62"/>
      <c r="M246" s="62">
        <f t="shared" si="195"/>
        <v>900000</v>
      </c>
      <c r="N246" s="62"/>
      <c r="O246" s="62">
        <f t="shared" si="196"/>
        <v>900000</v>
      </c>
      <c r="P246" s="62"/>
      <c r="Q246" s="62">
        <f t="shared" si="197"/>
        <v>900000</v>
      </c>
      <c r="R246" s="62"/>
      <c r="S246" s="62">
        <f t="shared" si="198"/>
        <v>900000</v>
      </c>
      <c r="T246" s="62"/>
      <c r="U246" s="62">
        <f t="shared" si="199"/>
        <v>900000</v>
      </c>
      <c r="V246" s="62"/>
      <c r="W246" s="62">
        <f t="shared" si="200"/>
        <v>900000</v>
      </c>
      <c r="X246" s="62"/>
      <c r="Y246" s="62">
        <f t="shared" si="201"/>
        <v>900000</v>
      </c>
      <c r="Z246" s="62"/>
      <c r="AA246" s="62">
        <f t="shared" si="202"/>
        <v>900000</v>
      </c>
      <c r="AB246" s="62"/>
      <c r="AC246" s="62">
        <f t="shared" si="203"/>
        <v>900000</v>
      </c>
      <c r="AF246" s="79"/>
      <c r="AG246" s="79"/>
    </row>
    <row r="247" spans="1:29" s="25" customFormat="1" ht="24">
      <c r="A247" s="49"/>
      <c r="B247" s="63">
        <v>80103</v>
      </c>
      <c r="C247" s="201"/>
      <c r="D247" s="36" t="s">
        <v>167</v>
      </c>
      <c r="E247" s="62">
        <f aca="true" t="shared" si="204" ref="E247:W247">SUM(E248:E261)</f>
        <v>449927</v>
      </c>
      <c r="F247" s="62">
        <f t="shared" si="204"/>
        <v>0</v>
      </c>
      <c r="G247" s="62">
        <f t="shared" si="204"/>
        <v>449927</v>
      </c>
      <c r="H247" s="62">
        <f t="shared" si="204"/>
        <v>0</v>
      </c>
      <c r="I247" s="62">
        <f t="shared" si="204"/>
        <v>449927</v>
      </c>
      <c r="J247" s="62">
        <f t="shared" si="204"/>
        <v>0</v>
      </c>
      <c r="K247" s="62">
        <f t="shared" si="204"/>
        <v>449927</v>
      </c>
      <c r="L247" s="62">
        <f t="shared" si="204"/>
        <v>0</v>
      </c>
      <c r="M247" s="62">
        <f t="shared" si="204"/>
        <v>449927</v>
      </c>
      <c r="N247" s="62">
        <f t="shared" si="204"/>
        <v>0</v>
      </c>
      <c r="O247" s="62">
        <f t="shared" si="204"/>
        <v>449927</v>
      </c>
      <c r="P247" s="62">
        <f t="shared" si="204"/>
        <v>0</v>
      </c>
      <c r="Q247" s="62">
        <f t="shared" si="204"/>
        <v>449927</v>
      </c>
      <c r="R247" s="62">
        <f t="shared" si="204"/>
        <v>0</v>
      </c>
      <c r="S247" s="62">
        <f t="shared" si="204"/>
        <v>449927</v>
      </c>
      <c r="T247" s="62">
        <f t="shared" si="204"/>
        <v>0</v>
      </c>
      <c r="U247" s="62">
        <f t="shared" si="204"/>
        <v>449927</v>
      </c>
      <c r="V247" s="62">
        <f t="shared" si="204"/>
        <v>0</v>
      </c>
      <c r="W247" s="62">
        <f t="shared" si="204"/>
        <v>449927</v>
      </c>
      <c r="X247" s="62">
        <f aca="true" t="shared" si="205" ref="X247:AC247">SUM(X248:X261)</f>
        <v>0</v>
      </c>
      <c r="Y247" s="62">
        <f t="shared" si="205"/>
        <v>449927</v>
      </c>
      <c r="Z247" s="62">
        <f t="shared" si="205"/>
        <v>15386</v>
      </c>
      <c r="AA247" s="62">
        <f t="shared" si="205"/>
        <v>465313</v>
      </c>
      <c r="AB247" s="62">
        <f t="shared" si="205"/>
        <v>16441</v>
      </c>
      <c r="AC247" s="62">
        <f t="shared" si="205"/>
        <v>481754</v>
      </c>
    </row>
    <row r="248" spans="1:35" s="25" customFormat="1" ht="24">
      <c r="A248" s="49"/>
      <c r="B248" s="63"/>
      <c r="C248" s="66">
        <v>2540</v>
      </c>
      <c r="D248" s="36" t="s">
        <v>429</v>
      </c>
      <c r="E248" s="62">
        <v>61433</v>
      </c>
      <c r="F248" s="62"/>
      <c r="G248" s="62">
        <f t="shared" si="192"/>
        <v>61433</v>
      </c>
      <c r="H248" s="62"/>
      <c r="I248" s="62">
        <f aca="true" t="shared" si="206" ref="I248:I261">SUM(G248:H248)</f>
        <v>61433</v>
      </c>
      <c r="J248" s="62"/>
      <c r="K248" s="62">
        <f aca="true" t="shared" si="207" ref="K248:K261">SUM(I248:J248)</f>
        <v>61433</v>
      </c>
      <c r="L248" s="62"/>
      <c r="M248" s="62">
        <f aca="true" t="shared" si="208" ref="M248:M261">SUM(K248:L248)</f>
        <v>61433</v>
      </c>
      <c r="N248" s="62"/>
      <c r="O248" s="62">
        <f aca="true" t="shared" si="209" ref="O248:O261">SUM(M248:N248)</f>
        <v>61433</v>
      </c>
      <c r="P248" s="62"/>
      <c r="Q248" s="62">
        <f aca="true" t="shared" si="210" ref="Q248:Q261">SUM(O248:P248)</f>
        <v>61433</v>
      </c>
      <c r="R248" s="62"/>
      <c r="S248" s="62">
        <f aca="true" t="shared" si="211" ref="S248:S261">SUM(Q248:R248)</f>
        <v>61433</v>
      </c>
      <c r="T248" s="62"/>
      <c r="U248" s="62">
        <f aca="true" t="shared" si="212" ref="U248:U261">SUM(S248:T248)</f>
        <v>61433</v>
      </c>
      <c r="V248" s="62"/>
      <c r="W248" s="62">
        <f aca="true" t="shared" si="213" ref="W248:W261">SUM(U248:V248)</f>
        <v>61433</v>
      </c>
      <c r="X248" s="62"/>
      <c r="Y248" s="62">
        <f aca="true" t="shared" si="214" ref="Y248:Y261">SUM(W248:X248)</f>
        <v>61433</v>
      </c>
      <c r="Z248" s="62">
        <v>-20400</v>
      </c>
      <c r="AA248" s="62">
        <f aca="true" t="shared" si="215" ref="AA248:AA261">SUM(Y248:Z248)</f>
        <v>41033</v>
      </c>
      <c r="AB248" s="62"/>
      <c r="AC248" s="62">
        <f aca="true" t="shared" si="216" ref="AC248:AC261">SUM(AA248:AB248)</f>
        <v>41033</v>
      </c>
      <c r="AH248" s="79"/>
      <c r="AI248" s="79"/>
    </row>
    <row r="249" spans="1:35" s="25" customFormat="1" ht="60">
      <c r="A249" s="49"/>
      <c r="B249" s="63"/>
      <c r="C249" s="66">
        <v>2590</v>
      </c>
      <c r="D249" s="36" t="s">
        <v>439</v>
      </c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>
        <v>0</v>
      </c>
      <c r="Z249" s="62">
        <v>9321</v>
      </c>
      <c r="AA249" s="62">
        <f t="shared" si="215"/>
        <v>9321</v>
      </c>
      <c r="AB249" s="62"/>
      <c r="AC249" s="62">
        <f t="shared" si="216"/>
        <v>9321</v>
      </c>
      <c r="AH249" s="79"/>
      <c r="AI249" s="79"/>
    </row>
    <row r="250" spans="1:29" s="25" customFormat="1" ht="24">
      <c r="A250" s="49"/>
      <c r="B250" s="63"/>
      <c r="C250" s="66">
        <v>3020</v>
      </c>
      <c r="D250" s="36" t="s">
        <v>159</v>
      </c>
      <c r="E250" s="62">
        <v>19723</v>
      </c>
      <c r="F250" s="62"/>
      <c r="G250" s="62">
        <f t="shared" si="192"/>
        <v>19723</v>
      </c>
      <c r="H250" s="62"/>
      <c r="I250" s="62">
        <f t="shared" si="206"/>
        <v>19723</v>
      </c>
      <c r="J250" s="62"/>
      <c r="K250" s="62">
        <f t="shared" si="207"/>
        <v>19723</v>
      </c>
      <c r="L250" s="62"/>
      <c r="M250" s="62">
        <f t="shared" si="208"/>
        <v>19723</v>
      </c>
      <c r="N250" s="62"/>
      <c r="O250" s="62">
        <f t="shared" si="209"/>
        <v>19723</v>
      </c>
      <c r="P250" s="62"/>
      <c r="Q250" s="62">
        <f t="shared" si="210"/>
        <v>19723</v>
      </c>
      <c r="R250" s="62"/>
      <c r="S250" s="62">
        <f t="shared" si="211"/>
        <v>19723</v>
      </c>
      <c r="T250" s="62"/>
      <c r="U250" s="62">
        <f t="shared" si="212"/>
        <v>19723</v>
      </c>
      <c r="V250" s="62"/>
      <c r="W250" s="62">
        <f t="shared" si="213"/>
        <v>19723</v>
      </c>
      <c r="X250" s="62"/>
      <c r="Y250" s="62">
        <f t="shared" si="214"/>
        <v>19723</v>
      </c>
      <c r="Z250" s="62"/>
      <c r="AA250" s="62">
        <f t="shared" si="215"/>
        <v>19723</v>
      </c>
      <c r="AB250" s="62">
        <v>1150</v>
      </c>
      <c r="AC250" s="62">
        <f t="shared" si="216"/>
        <v>20873</v>
      </c>
    </row>
    <row r="251" spans="1:31" s="25" customFormat="1" ht="21" customHeight="1">
      <c r="A251" s="49"/>
      <c r="B251" s="63"/>
      <c r="C251" s="66">
        <v>4010</v>
      </c>
      <c r="D251" s="36" t="s">
        <v>79</v>
      </c>
      <c r="E251" s="62">
        <v>258770</v>
      </c>
      <c r="F251" s="62"/>
      <c r="G251" s="62">
        <f t="shared" si="192"/>
        <v>258770</v>
      </c>
      <c r="H251" s="62"/>
      <c r="I251" s="62">
        <f t="shared" si="206"/>
        <v>258770</v>
      </c>
      <c r="J251" s="62">
        <v>940</v>
      </c>
      <c r="K251" s="62">
        <f t="shared" si="207"/>
        <v>259710</v>
      </c>
      <c r="L251" s="62"/>
      <c r="M251" s="62">
        <f t="shared" si="208"/>
        <v>259710</v>
      </c>
      <c r="N251" s="62"/>
      <c r="O251" s="62">
        <f t="shared" si="209"/>
        <v>259710</v>
      </c>
      <c r="P251" s="62"/>
      <c r="Q251" s="62">
        <f t="shared" si="210"/>
        <v>259710</v>
      </c>
      <c r="R251" s="62"/>
      <c r="S251" s="62">
        <f t="shared" si="211"/>
        <v>259710</v>
      </c>
      <c r="T251" s="62"/>
      <c r="U251" s="62">
        <f t="shared" si="212"/>
        <v>259710</v>
      </c>
      <c r="V251" s="62"/>
      <c r="W251" s="62">
        <f t="shared" si="213"/>
        <v>259710</v>
      </c>
      <c r="X251" s="62"/>
      <c r="Y251" s="62">
        <f t="shared" si="214"/>
        <v>259710</v>
      </c>
      <c r="Z251" s="62">
        <v>12149</v>
      </c>
      <c r="AA251" s="62">
        <f t="shared" si="215"/>
        <v>271859</v>
      </c>
      <c r="AB251" s="62">
        <v>12825</v>
      </c>
      <c r="AC251" s="62">
        <f t="shared" si="216"/>
        <v>284684</v>
      </c>
      <c r="AD251" s="79"/>
      <c r="AE251" s="79"/>
    </row>
    <row r="252" spans="1:31" s="25" customFormat="1" ht="21" customHeight="1">
      <c r="A252" s="49"/>
      <c r="B252" s="63"/>
      <c r="C252" s="66">
        <v>4040</v>
      </c>
      <c r="D252" s="36" t="s">
        <v>80</v>
      </c>
      <c r="E252" s="62">
        <v>19531</v>
      </c>
      <c r="F252" s="62"/>
      <c r="G252" s="62">
        <f t="shared" si="192"/>
        <v>19531</v>
      </c>
      <c r="H252" s="62"/>
      <c r="I252" s="62">
        <f t="shared" si="206"/>
        <v>19531</v>
      </c>
      <c r="J252" s="62">
        <v>-940</v>
      </c>
      <c r="K252" s="62">
        <f t="shared" si="207"/>
        <v>18591</v>
      </c>
      <c r="L252" s="62"/>
      <c r="M252" s="62">
        <f t="shared" si="208"/>
        <v>18591</v>
      </c>
      <c r="N252" s="62"/>
      <c r="O252" s="62">
        <f t="shared" si="209"/>
        <v>18591</v>
      </c>
      <c r="P252" s="62"/>
      <c r="Q252" s="62">
        <f t="shared" si="210"/>
        <v>18591</v>
      </c>
      <c r="R252" s="62"/>
      <c r="S252" s="62">
        <f t="shared" si="211"/>
        <v>18591</v>
      </c>
      <c r="T252" s="62"/>
      <c r="U252" s="62">
        <f t="shared" si="212"/>
        <v>18591</v>
      </c>
      <c r="V252" s="62"/>
      <c r="W252" s="62">
        <f t="shared" si="213"/>
        <v>18591</v>
      </c>
      <c r="X252" s="62"/>
      <c r="Y252" s="62">
        <f t="shared" si="214"/>
        <v>18591</v>
      </c>
      <c r="Z252" s="62"/>
      <c r="AA252" s="62">
        <f t="shared" si="215"/>
        <v>18591</v>
      </c>
      <c r="AB252" s="62"/>
      <c r="AC252" s="62">
        <f t="shared" si="216"/>
        <v>18591</v>
      </c>
      <c r="AD252" s="79"/>
      <c r="AE252" s="79"/>
    </row>
    <row r="253" spans="1:31" s="25" customFormat="1" ht="21" customHeight="1">
      <c r="A253" s="49"/>
      <c r="B253" s="63"/>
      <c r="C253" s="66">
        <v>4110</v>
      </c>
      <c r="D253" s="36" t="s">
        <v>81</v>
      </c>
      <c r="E253" s="62">
        <v>43218</v>
      </c>
      <c r="F253" s="62"/>
      <c r="G253" s="62">
        <f t="shared" si="192"/>
        <v>43218</v>
      </c>
      <c r="H253" s="62"/>
      <c r="I253" s="62">
        <f t="shared" si="206"/>
        <v>43218</v>
      </c>
      <c r="J253" s="62"/>
      <c r="K253" s="62">
        <f t="shared" si="207"/>
        <v>43218</v>
      </c>
      <c r="L253" s="62"/>
      <c r="M253" s="62">
        <f t="shared" si="208"/>
        <v>43218</v>
      </c>
      <c r="N253" s="62"/>
      <c r="O253" s="62">
        <f t="shared" si="209"/>
        <v>43218</v>
      </c>
      <c r="P253" s="62"/>
      <c r="Q253" s="62">
        <f t="shared" si="210"/>
        <v>43218</v>
      </c>
      <c r="R253" s="62"/>
      <c r="S253" s="62">
        <f t="shared" si="211"/>
        <v>43218</v>
      </c>
      <c r="T253" s="62"/>
      <c r="U253" s="62">
        <f t="shared" si="212"/>
        <v>43218</v>
      </c>
      <c r="V253" s="62"/>
      <c r="W253" s="62">
        <f t="shared" si="213"/>
        <v>43218</v>
      </c>
      <c r="X253" s="62"/>
      <c r="Y253" s="62">
        <f t="shared" si="214"/>
        <v>43218</v>
      </c>
      <c r="Z253" s="62">
        <v>1846</v>
      </c>
      <c r="AA253" s="62">
        <f t="shared" si="215"/>
        <v>45064</v>
      </c>
      <c r="AB253" s="62">
        <v>2123</v>
      </c>
      <c r="AC253" s="62">
        <f t="shared" si="216"/>
        <v>47187</v>
      </c>
      <c r="AD253" s="79"/>
      <c r="AE253" s="79"/>
    </row>
    <row r="254" spans="1:31" s="25" customFormat="1" ht="21" customHeight="1">
      <c r="A254" s="49"/>
      <c r="B254" s="63"/>
      <c r="C254" s="66">
        <v>4120</v>
      </c>
      <c r="D254" s="36" t="s">
        <v>82</v>
      </c>
      <c r="E254" s="62">
        <v>7444</v>
      </c>
      <c r="F254" s="62"/>
      <c r="G254" s="62">
        <f t="shared" si="192"/>
        <v>7444</v>
      </c>
      <c r="H254" s="62"/>
      <c r="I254" s="62">
        <f t="shared" si="206"/>
        <v>7444</v>
      </c>
      <c r="J254" s="62"/>
      <c r="K254" s="62">
        <f t="shared" si="207"/>
        <v>7444</v>
      </c>
      <c r="L254" s="62"/>
      <c r="M254" s="62">
        <f t="shared" si="208"/>
        <v>7444</v>
      </c>
      <c r="N254" s="62"/>
      <c r="O254" s="62">
        <f t="shared" si="209"/>
        <v>7444</v>
      </c>
      <c r="P254" s="62"/>
      <c r="Q254" s="62">
        <f t="shared" si="210"/>
        <v>7444</v>
      </c>
      <c r="R254" s="62"/>
      <c r="S254" s="62">
        <f t="shared" si="211"/>
        <v>7444</v>
      </c>
      <c r="T254" s="62"/>
      <c r="U254" s="62">
        <f t="shared" si="212"/>
        <v>7444</v>
      </c>
      <c r="V254" s="62"/>
      <c r="W254" s="62">
        <f t="shared" si="213"/>
        <v>7444</v>
      </c>
      <c r="X254" s="62"/>
      <c r="Y254" s="62">
        <f t="shared" si="214"/>
        <v>7444</v>
      </c>
      <c r="Z254" s="62">
        <v>298</v>
      </c>
      <c r="AA254" s="62">
        <f t="shared" si="215"/>
        <v>7742</v>
      </c>
      <c r="AB254" s="62">
        <v>343</v>
      </c>
      <c r="AC254" s="62">
        <f t="shared" si="216"/>
        <v>8085</v>
      </c>
      <c r="AD254" s="79"/>
      <c r="AE254" s="79"/>
    </row>
    <row r="255" spans="1:29" s="25" customFormat="1" ht="21" customHeight="1">
      <c r="A255" s="49"/>
      <c r="B255" s="63"/>
      <c r="C255" s="66">
        <v>4210</v>
      </c>
      <c r="D255" s="36" t="s">
        <v>68</v>
      </c>
      <c r="E255" s="62">
        <f>1700+8950</f>
        <v>10650</v>
      </c>
      <c r="F255" s="62"/>
      <c r="G255" s="62">
        <f t="shared" si="192"/>
        <v>10650</v>
      </c>
      <c r="H255" s="62"/>
      <c r="I255" s="62">
        <f t="shared" si="206"/>
        <v>10650</v>
      </c>
      <c r="J255" s="62">
        <v>-1400</v>
      </c>
      <c r="K255" s="62">
        <f t="shared" si="207"/>
        <v>9250</v>
      </c>
      <c r="L255" s="62"/>
      <c r="M255" s="62">
        <f t="shared" si="208"/>
        <v>9250</v>
      </c>
      <c r="N255" s="62"/>
      <c r="O255" s="62">
        <f t="shared" si="209"/>
        <v>9250</v>
      </c>
      <c r="P255" s="62"/>
      <c r="Q255" s="62">
        <f t="shared" si="210"/>
        <v>9250</v>
      </c>
      <c r="R255" s="62"/>
      <c r="S255" s="62">
        <f t="shared" si="211"/>
        <v>9250</v>
      </c>
      <c r="T255" s="62"/>
      <c r="U255" s="62">
        <f t="shared" si="212"/>
        <v>9250</v>
      </c>
      <c r="V255" s="62"/>
      <c r="W255" s="62">
        <f t="shared" si="213"/>
        <v>9250</v>
      </c>
      <c r="X255" s="62"/>
      <c r="Y255" s="62">
        <f t="shared" si="214"/>
        <v>9250</v>
      </c>
      <c r="Z255" s="62">
        <v>9300</v>
      </c>
      <c r="AA255" s="62">
        <f t="shared" si="215"/>
        <v>18550</v>
      </c>
      <c r="AB255" s="62"/>
      <c r="AC255" s="62">
        <f t="shared" si="216"/>
        <v>18550</v>
      </c>
    </row>
    <row r="256" spans="1:29" s="25" customFormat="1" ht="24">
      <c r="A256" s="49"/>
      <c r="B256" s="63"/>
      <c r="C256" s="66">
        <v>4240</v>
      </c>
      <c r="D256" s="36" t="s">
        <v>101</v>
      </c>
      <c r="E256" s="62">
        <v>3200</v>
      </c>
      <c r="F256" s="62"/>
      <c r="G256" s="62">
        <f t="shared" si="192"/>
        <v>3200</v>
      </c>
      <c r="H256" s="62"/>
      <c r="I256" s="62">
        <f t="shared" si="206"/>
        <v>3200</v>
      </c>
      <c r="J256" s="62">
        <v>1400</v>
      </c>
      <c r="K256" s="62">
        <f t="shared" si="207"/>
        <v>4600</v>
      </c>
      <c r="L256" s="62"/>
      <c r="M256" s="62">
        <f t="shared" si="208"/>
        <v>4600</v>
      </c>
      <c r="N256" s="62"/>
      <c r="O256" s="62">
        <f t="shared" si="209"/>
        <v>4600</v>
      </c>
      <c r="P256" s="62"/>
      <c r="Q256" s="62">
        <f t="shared" si="210"/>
        <v>4600</v>
      </c>
      <c r="R256" s="62"/>
      <c r="S256" s="62">
        <f t="shared" si="211"/>
        <v>4600</v>
      </c>
      <c r="T256" s="62"/>
      <c r="U256" s="62">
        <f t="shared" si="212"/>
        <v>4600</v>
      </c>
      <c r="V256" s="62"/>
      <c r="W256" s="62">
        <f t="shared" si="213"/>
        <v>4600</v>
      </c>
      <c r="X256" s="62"/>
      <c r="Y256" s="62">
        <f t="shared" si="214"/>
        <v>4600</v>
      </c>
      <c r="Z256" s="62">
        <v>1700</v>
      </c>
      <c r="AA256" s="62">
        <f t="shared" si="215"/>
        <v>6300</v>
      </c>
      <c r="AB256" s="62"/>
      <c r="AC256" s="62">
        <f t="shared" si="216"/>
        <v>6300</v>
      </c>
    </row>
    <row r="257" spans="1:29" s="25" customFormat="1" ht="21" customHeight="1">
      <c r="A257" s="49"/>
      <c r="B257" s="63"/>
      <c r="C257" s="66">
        <v>4260</v>
      </c>
      <c r="D257" s="36" t="s">
        <v>88</v>
      </c>
      <c r="E257" s="62">
        <v>600</v>
      </c>
      <c r="F257" s="62"/>
      <c r="G257" s="62">
        <f t="shared" si="192"/>
        <v>600</v>
      </c>
      <c r="H257" s="62"/>
      <c r="I257" s="62">
        <f t="shared" si="206"/>
        <v>600</v>
      </c>
      <c r="J257" s="62"/>
      <c r="K257" s="62">
        <f t="shared" si="207"/>
        <v>600</v>
      </c>
      <c r="L257" s="62"/>
      <c r="M257" s="62">
        <f t="shared" si="208"/>
        <v>600</v>
      </c>
      <c r="N257" s="62"/>
      <c r="O257" s="62">
        <f t="shared" si="209"/>
        <v>600</v>
      </c>
      <c r="P257" s="62"/>
      <c r="Q257" s="62">
        <f t="shared" si="210"/>
        <v>600</v>
      </c>
      <c r="R257" s="62"/>
      <c r="S257" s="62">
        <f t="shared" si="211"/>
        <v>600</v>
      </c>
      <c r="T257" s="62"/>
      <c r="U257" s="62">
        <f t="shared" si="212"/>
        <v>600</v>
      </c>
      <c r="V257" s="62"/>
      <c r="W257" s="62">
        <f t="shared" si="213"/>
        <v>600</v>
      </c>
      <c r="X257" s="62"/>
      <c r="Y257" s="62">
        <f t="shared" si="214"/>
        <v>600</v>
      </c>
      <c r="Z257" s="62"/>
      <c r="AA257" s="62">
        <f t="shared" si="215"/>
        <v>600</v>
      </c>
      <c r="AB257" s="62"/>
      <c r="AC257" s="62">
        <f t="shared" si="216"/>
        <v>600</v>
      </c>
    </row>
    <row r="258" spans="1:29" s="25" customFormat="1" ht="21" customHeight="1">
      <c r="A258" s="49"/>
      <c r="B258" s="63"/>
      <c r="C258" s="66">
        <v>4270</v>
      </c>
      <c r="D258" s="36" t="s">
        <v>74</v>
      </c>
      <c r="E258" s="62">
        <v>6000</v>
      </c>
      <c r="F258" s="62"/>
      <c r="G258" s="62">
        <f t="shared" si="192"/>
        <v>6000</v>
      </c>
      <c r="H258" s="62"/>
      <c r="I258" s="62">
        <f t="shared" si="206"/>
        <v>6000</v>
      </c>
      <c r="J258" s="62"/>
      <c r="K258" s="62">
        <f t="shared" si="207"/>
        <v>6000</v>
      </c>
      <c r="L258" s="62"/>
      <c r="M258" s="62">
        <f t="shared" si="208"/>
        <v>6000</v>
      </c>
      <c r="N258" s="62"/>
      <c r="O258" s="62">
        <f t="shared" si="209"/>
        <v>6000</v>
      </c>
      <c r="P258" s="62"/>
      <c r="Q258" s="62">
        <f t="shared" si="210"/>
        <v>6000</v>
      </c>
      <c r="R258" s="62"/>
      <c r="S258" s="62">
        <f t="shared" si="211"/>
        <v>6000</v>
      </c>
      <c r="T258" s="62"/>
      <c r="U258" s="62">
        <f t="shared" si="212"/>
        <v>6000</v>
      </c>
      <c r="V258" s="62"/>
      <c r="W258" s="62">
        <f t="shared" si="213"/>
        <v>6000</v>
      </c>
      <c r="X258" s="62"/>
      <c r="Y258" s="62">
        <f t="shared" si="214"/>
        <v>6000</v>
      </c>
      <c r="Z258" s="62"/>
      <c r="AA258" s="62">
        <f t="shared" si="215"/>
        <v>6000</v>
      </c>
      <c r="AB258" s="62"/>
      <c r="AC258" s="62">
        <f t="shared" si="216"/>
        <v>6000</v>
      </c>
    </row>
    <row r="259" spans="1:29" s="25" customFormat="1" ht="21" customHeight="1">
      <c r="A259" s="49"/>
      <c r="B259" s="63"/>
      <c r="C259" s="66">
        <v>4280</v>
      </c>
      <c r="D259" s="36" t="s">
        <v>432</v>
      </c>
      <c r="E259" s="62">
        <v>600</v>
      </c>
      <c r="F259" s="62"/>
      <c r="G259" s="62">
        <f t="shared" si="192"/>
        <v>600</v>
      </c>
      <c r="H259" s="62"/>
      <c r="I259" s="62">
        <f t="shared" si="206"/>
        <v>600</v>
      </c>
      <c r="J259" s="62"/>
      <c r="K259" s="62">
        <f t="shared" si="207"/>
        <v>600</v>
      </c>
      <c r="L259" s="62"/>
      <c r="M259" s="62">
        <f t="shared" si="208"/>
        <v>600</v>
      </c>
      <c r="N259" s="62"/>
      <c r="O259" s="62">
        <f t="shared" si="209"/>
        <v>600</v>
      </c>
      <c r="P259" s="62"/>
      <c r="Q259" s="62">
        <f t="shared" si="210"/>
        <v>600</v>
      </c>
      <c r="R259" s="62"/>
      <c r="S259" s="62">
        <f t="shared" si="211"/>
        <v>600</v>
      </c>
      <c r="T259" s="62"/>
      <c r="U259" s="62">
        <f t="shared" si="212"/>
        <v>600</v>
      </c>
      <c r="V259" s="62"/>
      <c r="W259" s="62">
        <f t="shared" si="213"/>
        <v>600</v>
      </c>
      <c r="X259" s="62"/>
      <c r="Y259" s="62">
        <f t="shared" si="214"/>
        <v>600</v>
      </c>
      <c r="Z259" s="62"/>
      <c r="AA259" s="62">
        <f t="shared" si="215"/>
        <v>600</v>
      </c>
      <c r="AB259" s="62"/>
      <c r="AC259" s="62">
        <f t="shared" si="216"/>
        <v>600</v>
      </c>
    </row>
    <row r="260" spans="1:29" s="25" customFormat="1" ht="24">
      <c r="A260" s="49"/>
      <c r="B260" s="63"/>
      <c r="C260" s="66">
        <v>4440</v>
      </c>
      <c r="D260" s="36" t="s">
        <v>435</v>
      </c>
      <c r="E260" s="62">
        <v>18558</v>
      </c>
      <c r="F260" s="62"/>
      <c r="G260" s="62">
        <f t="shared" si="192"/>
        <v>18558</v>
      </c>
      <c r="H260" s="62"/>
      <c r="I260" s="62">
        <f t="shared" si="206"/>
        <v>18558</v>
      </c>
      <c r="J260" s="62"/>
      <c r="K260" s="62">
        <f t="shared" si="207"/>
        <v>18558</v>
      </c>
      <c r="L260" s="62"/>
      <c r="M260" s="62">
        <f t="shared" si="208"/>
        <v>18558</v>
      </c>
      <c r="N260" s="62"/>
      <c r="O260" s="62">
        <f t="shared" si="209"/>
        <v>18558</v>
      </c>
      <c r="P260" s="62"/>
      <c r="Q260" s="62">
        <f t="shared" si="210"/>
        <v>18558</v>
      </c>
      <c r="R260" s="62"/>
      <c r="S260" s="62">
        <f t="shared" si="211"/>
        <v>18558</v>
      </c>
      <c r="T260" s="62"/>
      <c r="U260" s="62">
        <f t="shared" si="212"/>
        <v>18558</v>
      </c>
      <c r="V260" s="62"/>
      <c r="W260" s="62">
        <f t="shared" si="213"/>
        <v>18558</v>
      </c>
      <c r="X260" s="62"/>
      <c r="Y260" s="62">
        <f t="shared" si="214"/>
        <v>18558</v>
      </c>
      <c r="Z260" s="62">
        <v>1172</v>
      </c>
      <c r="AA260" s="62">
        <f t="shared" si="215"/>
        <v>19730</v>
      </c>
      <c r="AB260" s="62"/>
      <c r="AC260" s="62">
        <f t="shared" si="216"/>
        <v>19730</v>
      </c>
    </row>
    <row r="261" spans="1:29" s="25" customFormat="1" ht="36">
      <c r="A261" s="49"/>
      <c r="B261" s="63"/>
      <c r="C261" s="66">
        <v>4740</v>
      </c>
      <c r="D261" s="14" t="s">
        <v>183</v>
      </c>
      <c r="E261" s="62">
        <v>200</v>
      </c>
      <c r="F261" s="62"/>
      <c r="G261" s="62">
        <f t="shared" si="192"/>
        <v>200</v>
      </c>
      <c r="H261" s="62"/>
      <c r="I261" s="62">
        <f t="shared" si="206"/>
        <v>200</v>
      </c>
      <c r="J261" s="62"/>
      <c r="K261" s="62">
        <f t="shared" si="207"/>
        <v>200</v>
      </c>
      <c r="L261" s="62"/>
      <c r="M261" s="62">
        <f t="shared" si="208"/>
        <v>200</v>
      </c>
      <c r="N261" s="62"/>
      <c r="O261" s="62">
        <f t="shared" si="209"/>
        <v>200</v>
      </c>
      <c r="P261" s="62"/>
      <c r="Q261" s="62">
        <f t="shared" si="210"/>
        <v>200</v>
      </c>
      <c r="R261" s="62"/>
      <c r="S261" s="62">
        <f t="shared" si="211"/>
        <v>200</v>
      </c>
      <c r="T261" s="62"/>
      <c r="U261" s="62">
        <f t="shared" si="212"/>
        <v>200</v>
      </c>
      <c r="V261" s="62"/>
      <c r="W261" s="62">
        <f t="shared" si="213"/>
        <v>200</v>
      </c>
      <c r="X261" s="62"/>
      <c r="Y261" s="62">
        <f t="shared" si="214"/>
        <v>200</v>
      </c>
      <c r="Z261" s="62"/>
      <c r="AA261" s="62">
        <f t="shared" si="215"/>
        <v>200</v>
      </c>
      <c r="AB261" s="62"/>
      <c r="AC261" s="62">
        <f t="shared" si="216"/>
        <v>200</v>
      </c>
    </row>
    <row r="262" spans="1:29" s="25" customFormat="1" ht="21" customHeight="1">
      <c r="A262" s="189"/>
      <c r="B262" s="63" t="s">
        <v>436</v>
      </c>
      <c r="C262" s="66"/>
      <c r="D262" s="36" t="s">
        <v>102</v>
      </c>
      <c r="E262" s="62">
        <f>SUM(E263:E264)</f>
        <v>3355548</v>
      </c>
      <c r="F262" s="62">
        <f>SUM(F263:F264)</f>
        <v>0</v>
      </c>
      <c r="G262" s="62">
        <f>SUM(G263:G264)</f>
        <v>3355548</v>
      </c>
      <c r="H262" s="62">
        <f>SUM(H263:H264)</f>
        <v>0</v>
      </c>
      <c r="I262" s="62">
        <f aca="true" t="shared" si="217" ref="I262:U262">SUM(I263:I265)</f>
        <v>3355548</v>
      </c>
      <c r="J262" s="62">
        <f t="shared" si="217"/>
        <v>43000</v>
      </c>
      <c r="K262" s="62">
        <f t="shared" si="217"/>
        <v>3398548</v>
      </c>
      <c r="L262" s="62">
        <f t="shared" si="217"/>
        <v>0</v>
      </c>
      <c r="M262" s="62">
        <f t="shared" si="217"/>
        <v>3398548</v>
      </c>
      <c r="N262" s="62">
        <f t="shared" si="217"/>
        <v>0</v>
      </c>
      <c r="O262" s="62">
        <f t="shared" si="217"/>
        <v>3398548</v>
      </c>
      <c r="P262" s="62">
        <f t="shared" si="217"/>
        <v>0</v>
      </c>
      <c r="Q262" s="62">
        <f t="shared" si="217"/>
        <v>3398548</v>
      </c>
      <c r="R262" s="62">
        <f t="shared" si="217"/>
        <v>0</v>
      </c>
      <c r="S262" s="62">
        <f t="shared" si="217"/>
        <v>3398548</v>
      </c>
      <c r="T262" s="62">
        <f t="shared" si="217"/>
        <v>0</v>
      </c>
      <c r="U262" s="62">
        <f t="shared" si="217"/>
        <v>3398548</v>
      </c>
      <c r="V262" s="62">
        <f aca="true" t="shared" si="218" ref="V262:AA262">SUM(V263:V265)</f>
        <v>0</v>
      </c>
      <c r="W262" s="62">
        <f t="shared" si="218"/>
        <v>3398548</v>
      </c>
      <c r="X262" s="62">
        <f t="shared" si="218"/>
        <v>0</v>
      </c>
      <c r="Y262" s="62">
        <f t="shared" si="218"/>
        <v>3398548</v>
      </c>
      <c r="Z262" s="62">
        <f t="shared" si="218"/>
        <v>12877</v>
      </c>
      <c r="AA262" s="62">
        <f t="shared" si="218"/>
        <v>3411425</v>
      </c>
      <c r="AB262" s="62">
        <f>SUM(AB263:AB265)</f>
        <v>0</v>
      </c>
      <c r="AC262" s="62">
        <f>SUM(AC263:AC265)</f>
        <v>3411425</v>
      </c>
    </row>
    <row r="263" spans="1:35" s="25" customFormat="1" ht="24">
      <c r="A263" s="189"/>
      <c r="B263" s="63"/>
      <c r="C263" s="66">
        <v>2510</v>
      </c>
      <c r="D263" s="36" t="s">
        <v>437</v>
      </c>
      <c r="E263" s="62">
        <v>3355048</v>
      </c>
      <c r="F263" s="62"/>
      <c r="G263" s="62">
        <f t="shared" si="192"/>
        <v>3355048</v>
      </c>
      <c r="H263" s="62"/>
      <c r="I263" s="62">
        <f>SUM(G263:H263)</f>
        <v>3355048</v>
      </c>
      <c r="J263" s="62">
        <v>500</v>
      </c>
      <c r="K263" s="62">
        <f>SUM(I263:J263)</f>
        <v>3355548</v>
      </c>
      <c r="L263" s="62"/>
      <c r="M263" s="62">
        <f>SUM(K263:L263)</f>
        <v>3355548</v>
      </c>
      <c r="N263" s="62"/>
      <c r="O263" s="62">
        <f>SUM(M263:N263)</f>
        <v>3355548</v>
      </c>
      <c r="P263" s="62"/>
      <c r="Q263" s="62">
        <f>SUM(O263:P263)</f>
        <v>3355548</v>
      </c>
      <c r="R263" s="62"/>
      <c r="S263" s="62">
        <f>SUM(Q263:R263)</f>
        <v>3355548</v>
      </c>
      <c r="T263" s="62"/>
      <c r="U263" s="62">
        <f>SUM(S263:T263)</f>
        <v>3355548</v>
      </c>
      <c r="V263" s="62"/>
      <c r="W263" s="62">
        <f>SUM(U263:V263)</f>
        <v>3355548</v>
      </c>
      <c r="X263" s="62"/>
      <c r="Y263" s="62">
        <f>SUM(W263:X263)</f>
        <v>3355548</v>
      </c>
      <c r="Z263" s="62">
        <v>29877</v>
      </c>
      <c r="AA263" s="62">
        <f>SUM(Y263:Z263)</f>
        <v>3385425</v>
      </c>
      <c r="AB263" s="62"/>
      <c r="AC263" s="62">
        <f>SUM(AA263:AB263)</f>
        <v>3385425</v>
      </c>
      <c r="AH263" s="79"/>
      <c r="AI263" s="79"/>
    </row>
    <row r="264" spans="1:29" s="25" customFormat="1" ht="21" customHeight="1">
      <c r="A264" s="189"/>
      <c r="B264" s="63"/>
      <c r="C264" s="66">
        <v>4210</v>
      </c>
      <c r="D264" s="36" t="s">
        <v>68</v>
      </c>
      <c r="E264" s="62">
        <v>500</v>
      </c>
      <c r="F264" s="62"/>
      <c r="G264" s="62">
        <f t="shared" si="192"/>
        <v>500</v>
      </c>
      <c r="H264" s="62"/>
      <c r="I264" s="62">
        <f>SUM(G264:H264)</f>
        <v>500</v>
      </c>
      <c r="J264" s="62">
        <v>-500</v>
      </c>
      <c r="K264" s="62">
        <f>SUM(I264:J264)</f>
        <v>0</v>
      </c>
      <c r="L264" s="62"/>
      <c r="M264" s="62">
        <f>SUM(K264:L264)</f>
        <v>0</v>
      </c>
      <c r="N264" s="62"/>
      <c r="O264" s="62">
        <f>SUM(M264:N264)</f>
        <v>0</v>
      </c>
      <c r="P264" s="62"/>
      <c r="Q264" s="62">
        <f>SUM(O264:P264)</f>
        <v>0</v>
      </c>
      <c r="R264" s="62"/>
      <c r="S264" s="62">
        <f>SUM(Q264:R264)</f>
        <v>0</v>
      </c>
      <c r="T264" s="62"/>
      <c r="U264" s="62">
        <f>SUM(S264:T264)</f>
        <v>0</v>
      </c>
      <c r="V264" s="62"/>
      <c r="W264" s="62">
        <f>SUM(U264:V264)</f>
        <v>0</v>
      </c>
      <c r="X264" s="62"/>
      <c r="Y264" s="62">
        <f>SUM(W264:X264)</f>
        <v>0</v>
      </c>
      <c r="Z264" s="62"/>
      <c r="AA264" s="62">
        <f>SUM(Y264:Z264)</f>
        <v>0</v>
      </c>
      <c r="AB264" s="62"/>
      <c r="AC264" s="62">
        <f>SUM(AA264:AB264)</f>
        <v>0</v>
      </c>
    </row>
    <row r="265" spans="1:29" s="25" customFormat="1" ht="21" customHeight="1">
      <c r="A265" s="189"/>
      <c r="B265" s="63"/>
      <c r="C265" s="66">
        <v>4270</v>
      </c>
      <c r="D265" s="36" t="s">
        <v>74</v>
      </c>
      <c r="E265" s="62"/>
      <c r="F265" s="62"/>
      <c r="G265" s="62"/>
      <c r="H265" s="62"/>
      <c r="I265" s="62">
        <v>0</v>
      </c>
      <c r="J265" s="62">
        <v>43000</v>
      </c>
      <c r="K265" s="62">
        <f>SUM(I265:J265)</f>
        <v>43000</v>
      </c>
      <c r="L265" s="62"/>
      <c r="M265" s="62">
        <f>SUM(K265:L265)</f>
        <v>43000</v>
      </c>
      <c r="N265" s="62"/>
      <c r="O265" s="62">
        <f>SUM(M265:N265)</f>
        <v>43000</v>
      </c>
      <c r="P265" s="62"/>
      <c r="Q265" s="62">
        <f>SUM(O265:P265)</f>
        <v>43000</v>
      </c>
      <c r="R265" s="62"/>
      <c r="S265" s="62">
        <f>SUM(Q265:R265)</f>
        <v>43000</v>
      </c>
      <c r="T265" s="62"/>
      <c r="U265" s="62">
        <f>SUM(S265:T265)</f>
        <v>43000</v>
      </c>
      <c r="V265" s="62"/>
      <c r="W265" s="62">
        <f>SUM(U265:V265)</f>
        <v>43000</v>
      </c>
      <c r="X265" s="62"/>
      <c r="Y265" s="62">
        <f>SUM(W265:X265)</f>
        <v>43000</v>
      </c>
      <c r="Z265" s="62">
        <v>-17000</v>
      </c>
      <c r="AA265" s="62">
        <f>SUM(Y265:Z265)</f>
        <v>26000</v>
      </c>
      <c r="AB265" s="62"/>
      <c r="AC265" s="62">
        <f>SUM(AA265:AB265)</f>
        <v>26000</v>
      </c>
    </row>
    <row r="266" spans="1:29" s="25" customFormat="1" ht="21" customHeight="1">
      <c r="A266" s="189"/>
      <c r="B266" s="63" t="s">
        <v>438</v>
      </c>
      <c r="C266" s="66"/>
      <c r="D266" s="36" t="s">
        <v>52</v>
      </c>
      <c r="E266" s="62">
        <f aca="true" t="shared" si="219" ref="E266:W266">SUM(E267:E292)</f>
        <v>9135030</v>
      </c>
      <c r="F266" s="62">
        <f t="shared" si="219"/>
        <v>-400000</v>
      </c>
      <c r="G266" s="62">
        <f t="shared" si="219"/>
        <v>8735030</v>
      </c>
      <c r="H266" s="62">
        <f t="shared" si="219"/>
        <v>0</v>
      </c>
      <c r="I266" s="62">
        <f t="shared" si="219"/>
        <v>8735030</v>
      </c>
      <c r="J266" s="62">
        <f t="shared" si="219"/>
        <v>-2400</v>
      </c>
      <c r="K266" s="62">
        <f t="shared" si="219"/>
        <v>8732630</v>
      </c>
      <c r="L266" s="62">
        <f t="shared" si="219"/>
        <v>0</v>
      </c>
      <c r="M266" s="62">
        <f t="shared" si="219"/>
        <v>8732630</v>
      </c>
      <c r="N266" s="62">
        <f t="shared" si="219"/>
        <v>0</v>
      </c>
      <c r="O266" s="62">
        <f t="shared" si="219"/>
        <v>8732630</v>
      </c>
      <c r="P266" s="62">
        <f t="shared" si="219"/>
        <v>0</v>
      </c>
      <c r="Q266" s="62">
        <f t="shared" si="219"/>
        <v>8732630</v>
      </c>
      <c r="R266" s="62">
        <f t="shared" si="219"/>
        <v>0</v>
      </c>
      <c r="S266" s="62">
        <f t="shared" si="219"/>
        <v>8732630</v>
      </c>
      <c r="T266" s="62">
        <f t="shared" si="219"/>
        <v>0</v>
      </c>
      <c r="U266" s="62">
        <f t="shared" si="219"/>
        <v>8732630</v>
      </c>
      <c r="V266" s="62">
        <f t="shared" si="219"/>
        <v>320</v>
      </c>
      <c r="W266" s="62">
        <f t="shared" si="219"/>
        <v>8732950</v>
      </c>
      <c r="X266" s="62">
        <f aca="true" t="shared" si="220" ref="X266:AC266">SUM(X267:X292)</f>
        <v>0</v>
      </c>
      <c r="Y266" s="62">
        <f t="shared" si="220"/>
        <v>8732950</v>
      </c>
      <c r="Z266" s="62">
        <f t="shared" si="220"/>
        <v>-1122061</v>
      </c>
      <c r="AA266" s="62">
        <f t="shared" si="220"/>
        <v>7610889</v>
      </c>
      <c r="AB266" s="62">
        <f t="shared" si="220"/>
        <v>0</v>
      </c>
      <c r="AC266" s="62">
        <f t="shared" si="220"/>
        <v>7610889</v>
      </c>
    </row>
    <row r="267" spans="1:35" s="25" customFormat="1" ht="60">
      <c r="A267" s="189"/>
      <c r="B267" s="63"/>
      <c r="C267" s="66">
        <v>2590</v>
      </c>
      <c r="D267" s="36" t="s">
        <v>439</v>
      </c>
      <c r="E267" s="62">
        <v>101210</v>
      </c>
      <c r="F267" s="62"/>
      <c r="G267" s="62">
        <f t="shared" si="192"/>
        <v>101210</v>
      </c>
      <c r="H267" s="62"/>
      <c r="I267" s="62">
        <f aca="true" t="shared" si="221" ref="I267:I292">SUM(G267:H267)</f>
        <v>101210</v>
      </c>
      <c r="J267" s="62"/>
      <c r="K267" s="62">
        <f aca="true" t="shared" si="222" ref="K267:K292">SUM(I267:J267)</f>
        <v>101210</v>
      </c>
      <c r="L267" s="62"/>
      <c r="M267" s="62">
        <f aca="true" t="shared" si="223" ref="M267:M292">SUM(K267:L267)</f>
        <v>101210</v>
      </c>
      <c r="N267" s="62"/>
      <c r="O267" s="62">
        <f aca="true" t="shared" si="224" ref="O267:O292">SUM(M267:N267)</f>
        <v>101210</v>
      </c>
      <c r="P267" s="62"/>
      <c r="Q267" s="62">
        <f aca="true" t="shared" si="225" ref="Q267:Q292">SUM(O267:P267)</f>
        <v>101210</v>
      </c>
      <c r="R267" s="62"/>
      <c r="S267" s="62">
        <f aca="true" t="shared" si="226" ref="S267:S292">SUM(Q267:R267)</f>
        <v>101210</v>
      </c>
      <c r="T267" s="62"/>
      <c r="U267" s="62">
        <f aca="true" t="shared" si="227" ref="U267:U292">SUM(S267:T267)</f>
        <v>101210</v>
      </c>
      <c r="V267" s="62"/>
      <c r="W267" s="62">
        <f aca="true" t="shared" si="228" ref="W267:W292">SUM(U267:V267)</f>
        <v>101210</v>
      </c>
      <c r="X267" s="62"/>
      <c r="Y267" s="62">
        <f aca="true" t="shared" si="229" ref="Y267:Y292">SUM(W267:X267)</f>
        <v>101210</v>
      </c>
      <c r="Z267" s="62">
        <v>8725</v>
      </c>
      <c r="AA267" s="62">
        <f aca="true" t="shared" si="230" ref="AA267:AA292">SUM(Y267:Z267)</f>
        <v>109935</v>
      </c>
      <c r="AB267" s="62"/>
      <c r="AC267" s="62">
        <f aca="true" t="shared" si="231" ref="AC267:AC292">SUM(AA267:AB267)</f>
        <v>109935</v>
      </c>
      <c r="AH267" s="79"/>
      <c r="AI267" s="79"/>
    </row>
    <row r="268" spans="1:29" s="25" customFormat="1" ht="21" customHeight="1">
      <c r="A268" s="49"/>
      <c r="B268" s="63"/>
      <c r="C268" s="66">
        <v>3020</v>
      </c>
      <c r="D268" s="36" t="s">
        <v>159</v>
      </c>
      <c r="E268" s="62">
        <v>42171</v>
      </c>
      <c r="F268" s="62"/>
      <c r="G268" s="62">
        <f t="shared" si="192"/>
        <v>42171</v>
      </c>
      <c r="H268" s="62"/>
      <c r="I268" s="62">
        <f t="shared" si="221"/>
        <v>42171</v>
      </c>
      <c r="J268" s="62"/>
      <c r="K268" s="62">
        <f t="shared" si="222"/>
        <v>42171</v>
      </c>
      <c r="L268" s="62"/>
      <c r="M268" s="62">
        <f t="shared" si="223"/>
        <v>42171</v>
      </c>
      <c r="N268" s="62"/>
      <c r="O268" s="62">
        <f t="shared" si="224"/>
        <v>42171</v>
      </c>
      <c r="P268" s="62"/>
      <c r="Q268" s="62">
        <f t="shared" si="225"/>
        <v>42171</v>
      </c>
      <c r="R268" s="62"/>
      <c r="S268" s="62">
        <f t="shared" si="226"/>
        <v>42171</v>
      </c>
      <c r="T268" s="62"/>
      <c r="U268" s="62">
        <f t="shared" si="227"/>
        <v>42171</v>
      </c>
      <c r="V268" s="62"/>
      <c r="W268" s="62">
        <f t="shared" si="228"/>
        <v>42171</v>
      </c>
      <c r="X268" s="62"/>
      <c r="Y268" s="62">
        <f t="shared" si="229"/>
        <v>42171</v>
      </c>
      <c r="Z268" s="62"/>
      <c r="AA268" s="62">
        <f t="shared" si="230"/>
        <v>42171</v>
      </c>
      <c r="AB268" s="62"/>
      <c r="AC268" s="62">
        <f t="shared" si="231"/>
        <v>42171</v>
      </c>
    </row>
    <row r="269" spans="1:31" s="25" customFormat="1" ht="21" customHeight="1">
      <c r="A269" s="49"/>
      <c r="B269" s="63"/>
      <c r="C269" s="66">
        <v>4010</v>
      </c>
      <c r="D269" s="36" t="s">
        <v>79</v>
      </c>
      <c r="E269" s="62">
        <v>3501950</v>
      </c>
      <c r="F269" s="62"/>
      <c r="G269" s="62">
        <f t="shared" si="192"/>
        <v>3501950</v>
      </c>
      <c r="H269" s="62"/>
      <c r="I269" s="62">
        <f t="shared" si="221"/>
        <v>3501950</v>
      </c>
      <c r="J269" s="62">
        <v>9023</v>
      </c>
      <c r="K269" s="62">
        <f t="shared" si="222"/>
        <v>3510973</v>
      </c>
      <c r="L269" s="62"/>
      <c r="M269" s="62">
        <f t="shared" si="223"/>
        <v>3510973</v>
      </c>
      <c r="N269" s="62"/>
      <c r="O269" s="62">
        <f t="shared" si="224"/>
        <v>3510973</v>
      </c>
      <c r="P269" s="62"/>
      <c r="Q269" s="62">
        <f t="shared" si="225"/>
        <v>3510973</v>
      </c>
      <c r="R269" s="62"/>
      <c r="S269" s="62">
        <f t="shared" si="226"/>
        <v>3510973</v>
      </c>
      <c r="T269" s="62"/>
      <c r="U269" s="62">
        <f t="shared" si="227"/>
        <v>3510973</v>
      </c>
      <c r="V269" s="62"/>
      <c r="W269" s="62">
        <f t="shared" si="228"/>
        <v>3510973</v>
      </c>
      <c r="X269" s="62"/>
      <c r="Y269" s="62">
        <f t="shared" si="229"/>
        <v>3510973</v>
      </c>
      <c r="Z269" s="62"/>
      <c r="AA269" s="62">
        <f t="shared" si="230"/>
        <v>3510973</v>
      </c>
      <c r="AB269" s="62"/>
      <c r="AC269" s="62">
        <f t="shared" si="231"/>
        <v>3510973</v>
      </c>
      <c r="AD269" s="79"/>
      <c r="AE269" s="79"/>
    </row>
    <row r="270" spans="1:31" s="25" customFormat="1" ht="21" customHeight="1">
      <c r="A270" s="49"/>
      <c r="B270" s="63"/>
      <c r="C270" s="66">
        <v>4040</v>
      </c>
      <c r="D270" s="36" t="s">
        <v>80</v>
      </c>
      <c r="E270" s="62">
        <v>264234</v>
      </c>
      <c r="F270" s="62"/>
      <c r="G270" s="62">
        <f t="shared" si="192"/>
        <v>264234</v>
      </c>
      <c r="H270" s="62"/>
      <c r="I270" s="62">
        <f t="shared" si="221"/>
        <v>264234</v>
      </c>
      <c r="J270" s="62">
        <v>-9023</v>
      </c>
      <c r="K270" s="62">
        <f t="shared" si="222"/>
        <v>255211</v>
      </c>
      <c r="L270" s="62"/>
      <c r="M270" s="62">
        <f t="shared" si="223"/>
        <v>255211</v>
      </c>
      <c r="N270" s="62"/>
      <c r="O270" s="62">
        <f t="shared" si="224"/>
        <v>255211</v>
      </c>
      <c r="P270" s="62"/>
      <c r="Q270" s="62">
        <f t="shared" si="225"/>
        <v>255211</v>
      </c>
      <c r="R270" s="62"/>
      <c r="S270" s="62">
        <f t="shared" si="226"/>
        <v>255211</v>
      </c>
      <c r="T270" s="62"/>
      <c r="U270" s="62">
        <f t="shared" si="227"/>
        <v>255211</v>
      </c>
      <c r="V270" s="62"/>
      <c r="W270" s="62">
        <f t="shared" si="228"/>
        <v>255211</v>
      </c>
      <c r="X270" s="62"/>
      <c r="Y270" s="62">
        <f t="shared" si="229"/>
        <v>255211</v>
      </c>
      <c r="Z270" s="62"/>
      <c r="AA270" s="62">
        <f t="shared" si="230"/>
        <v>255211</v>
      </c>
      <c r="AB270" s="62"/>
      <c r="AC270" s="62">
        <f t="shared" si="231"/>
        <v>255211</v>
      </c>
      <c r="AD270" s="79"/>
      <c r="AE270" s="79"/>
    </row>
    <row r="271" spans="1:31" s="25" customFormat="1" ht="21" customHeight="1">
      <c r="A271" s="49"/>
      <c r="B271" s="63"/>
      <c r="C271" s="66">
        <v>4110</v>
      </c>
      <c r="D271" s="36" t="s">
        <v>81</v>
      </c>
      <c r="E271" s="62">
        <v>570864</v>
      </c>
      <c r="F271" s="62"/>
      <c r="G271" s="62">
        <f t="shared" si="192"/>
        <v>570864</v>
      </c>
      <c r="H271" s="62"/>
      <c r="I271" s="62">
        <f t="shared" si="221"/>
        <v>570864</v>
      </c>
      <c r="J271" s="62"/>
      <c r="K271" s="62">
        <f t="shared" si="222"/>
        <v>570864</v>
      </c>
      <c r="L271" s="62"/>
      <c r="M271" s="62">
        <f t="shared" si="223"/>
        <v>570864</v>
      </c>
      <c r="N271" s="62"/>
      <c r="O271" s="62">
        <f t="shared" si="224"/>
        <v>570864</v>
      </c>
      <c r="P271" s="62"/>
      <c r="Q271" s="62">
        <f t="shared" si="225"/>
        <v>570864</v>
      </c>
      <c r="R271" s="62"/>
      <c r="S271" s="62">
        <f t="shared" si="226"/>
        <v>570864</v>
      </c>
      <c r="T271" s="62"/>
      <c r="U271" s="62">
        <f t="shared" si="227"/>
        <v>570864</v>
      </c>
      <c r="V271" s="62"/>
      <c r="W271" s="62">
        <f t="shared" si="228"/>
        <v>570864</v>
      </c>
      <c r="X271" s="62"/>
      <c r="Y271" s="62">
        <f t="shared" si="229"/>
        <v>570864</v>
      </c>
      <c r="Z271" s="62"/>
      <c r="AA271" s="62">
        <f t="shared" si="230"/>
        <v>570864</v>
      </c>
      <c r="AB271" s="62"/>
      <c r="AC271" s="62">
        <f t="shared" si="231"/>
        <v>570864</v>
      </c>
      <c r="AD271" s="79"/>
      <c r="AE271" s="79"/>
    </row>
    <row r="272" spans="1:31" s="25" customFormat="1" ht="21" customHeight="1">
      <c r="A272" s="49"/>
      <c r="B272" s="63"/>
      <c r="C272" s="66">
        <v>4120</v>
      </c>
      <c r="D272" s="36" t="s">
        <v>82</v>
      </c>
      <c r="E272" s="62">
        <v>94292</v>
      </c>
      <c r="F272" s="62"/>
      <c r="G272" s="62">
        <f t="shared" si="192"/>
        <v>94292</v>
      </c>
      <c r="H272" s="62"/>
      <c r="I272" s="62">
        <f t="shared" si="221"/>
        <v>94292</v>
      </c>
      <c r="J272" s="62"/>
      <c r="K272" s="62">
        <f t="shared" si="222"/>
        <v>94292</v>
      </c>
      <c r="L272" s="62"/>
      <c r="M272" s="62">
        <f t="shared" si="223"/>
        <v>94292</v>
      </c>
      <c r="N272" s="62"/>
      <c r="O272" s="62">
        <f t="shared" si="224"/>
        <v>94292</v>
      </c>
      <c r="P272" s="62"/>
      <c r="Q272" s="62">
        <f t="shared" si="225"/>
        <v>94292</v>
      </c>
      <c r="R272" s="62"/>
      <c r="S272" s="62">
        <f t="shared" si="226"/>
        <v>94292</v>
      </c>
      <c r="T272" s="62"/>
      <c r="U272" s="62">
        <f t="shared" si="227"/>
        <v>94292</v>
      </c>
      <c r="V272" s="62"/>
      <c r="W272" s="62">
        <f t="shared" si="228"/>
        <v>94292</v>
      </c>
      <c r="X272" s="62"/>
      <c r="Y272" s="62">
        <f t="shared" si="229"/>
        <v>94292</v>
      </c>
      <c r="Z272" s="62"/>
      <c r="AA272" s="62">
        <f t="shared" si="230"/>
        <v>94292</v>
      </c>
      <c r="AB272" s="62"/>
      <c r="AC272" s="62">
        <f t="shared" si="231"/>
        <v>94292</v>
      </c>
      <c r="AD272" s="79"/>
      <c r="AE272" s="79"/>
    </row>
    <row r="273" spans="1:31" s="25" customFormat="1" ht="21" customHeight="1">
      <c r="A273" s="49"/>
      <c r="B273" s="63"/>
      <c r="C273" s="66">
        <v>4170</v>
      </c>
      <c r="D273" s="36" t="s">
        <v>161</v>
      </c>
      <c r="E273" s="62">
        <v>12700</v>
      </c>
      <c r="F273" s="62"/>
      <c r="G273" s="62">
        <f t="shared" si="192"/>
        <v>12700</v>
      </c>
      <c r="H273" s="62"/>
      <c r="I273" s="62">
        <f t="shared" si="221"/>
        <v>12700</v>
      </c>
      <c r="J273" s="62"/>
      <c r="K273" s="62">
        <f t="shared" si="222"/>
        <v>12700</v>
      </c>
      <c r="L273" s="62"/>
      <c r="M273" s="62">
        <f t="shared" si="223"/>
        <v>12700</v>
      </c>
      <c r="N273" s="62"/>
      <c r="O273" s="62">
        <f t="shared" si="224"/>
        <v>12700</v>
      </c>
      <c r="P273" s="62"/>
      <c r="Q273" s="62">
        <f t="shared" si="225"/>
        <v>12700</v>
      </c>
      <c r="R273" s="62"/>
      <c r="S273" s="62">
        <f t="shared" si="226"/>
        <v>12700</v>
      </c>
      <c r="T273" s="62"/>
      <c r="U273" s="62">
        <f t="shared" si="227"/>
        <v>12700</v>
      </c>
      <c r="V273" s="62"/>
      <c r="W273" s="62">
        <f t="shared" si="228"/>
        <v>12700</v>
      </c>
      <c r="X273" s="62"/>
      <c r="Y273" s="62">
        <f t="shared" si="229"/>
        <v>12700</v>
      </c>
      <c r="Z273" s="62"/>
      <c r="AA273" s="62">
        <f t="shared" si="230"/>
        <v>12700</v>
      </c>
      <c r="AB273" s="62"/>
      <c r="AC273" s="62">
        <f t="shared" si="231"/>
        <v>12700</v>
      </c>
      <c r="AD273" s="79"/>
      <c r="AE273" s="79"/>
    </row>
    <row r="274" spans="1:29" s="25" customFormat="1" ht="21" customHeight="1">
      <c r="A274" s="49"/>
      <c r="B274" s="63"/>
      <c r="C274" s="66">
        <v>4210</v>
      </c>
      <c r="D274" s="36" t="s">
        <v>86</v>
      </c>
      <c r="E274" s="62">
        <f>1000+170700</f>
        <v>171700</v>
      </c>
      <c r="F274" s="62"/>
      <c r="G274" s="62">
        <f t="shared" si="192"/>
        <v>171700</v>
      </c>
      <c r="H274" s="62"/>
      <c r="I274" s="62">
        <f t="shared" si="221"/>
        <v>171700</v>
      </c>
      <c r="J274" s="62">
        <v>600</v>
      </c>
      <c r="K274" s="62">
        <f t="shared" si="222"/>
        <v>172300</v>
      </c>
      <c r="L274" s="62"/>
      <c r="M274" s="62">
        <f t="shared" si="223"/>
        <v>172300</v>
      </c>
      <c r="N274" s="62">
        <v>-510</v>
      </c>
      <c r="O274" s="62">
        <f t="shared" si="224"/>
        <v>171790</v>
      </c>
      <c r="P274" s="62"/>
      <c r="Q274" s="62">
        <f t="shared" si="225"/>
        <v>171790</v>
      </c>
      <c r="R274" s="62">
        <v>-14</v>
      </c>
      <c r="S274" s="62">
        <f t="shared" si="226"/>
        <v>171776</v>
      </c>
      <c r="T274" s="62"/>
      <c r="U274" s="62">
        <f t="shared" si="227"/>
        <v>171776</v>
      </c>
      <c r="V274" s="62"/>
      <c r="W274" s="62">
        <f t="shared" si="228"/>
        <v>171776</v>
      </c>
      <c r="X274" s="62"/>
      <c r="Y274" s="62">
        <f t="shared" si="229"/>
        <v>171776</v>
      </c>
      <c r="Z274" s="62">
        <v>5000</v>
      </c>
      <c r="AA274" s="62">
        <f t="shared" si="230"/>
        <v>176776</v>
      </c>
      <c r="AB274" s="62"/>
      <c r="AC274" s="62">
        <f t="shared" si="231"/>
        <v>176776</v>
      </c>
    </row>
    <row r="275" spans="1:29" s="25" customFormat="1" ht="21" customHeight="1">
      <c r="A275" s="49"/>
      <c r="B275" s="63"/>
      <c r="C275" s="66">
        <v>4230</v>
      </c>
      <c r="D275" s="36" t="s">
        <v>431</v>
      </c>
      <c r="E275" s="62">
        <v>1500</v>
      </c>
      <c r="F275" s="62"/>
      <c r="G275" s="62">
        <f t="shared" si="192"/>
        <v>1500</v>
      </c>
      <c r="H275" s="62"/>
      <c r="I275" s="62">
        <f t="shared" si="221"/>
        <v>1500</v>
      </c>
      <c r="J275" s="62"/>
      <c r="K275" s="62">
        <f t="shared" si="222"/>
        <v>1500</v>
      </c>
      <c r="L275" s="62"/>
      <c r="M275" s="62">
        <f t="shared" si="223"/>
        <v>1500</v>
      </c>
      <c r="N275" s="62"/>
      <c r="O275" s="62">
        <f t="shared" si="224"/>
        <v>1500</v>
      </c>
      <c r="P275" s="62"/>
      <c r="Q275" s="62">
        <f t="shared" si="225"/>
        <v>1500</v>
      </c>
      <c r="R275" s="62"/>
      <c r="S275" s="62">
        <f t="shared" si="226"/>
        <v>1500</v>
      </c>
      <c r="T275" s="62"/>
      <c r="U275" s="62">
        <f t="shared" si="227"/>
        <v>1500</v>
      </c>
      <c r="V275" s="62"/>
      <c r="W275" s="62">
        <f t="shared" si="228"/>
        <v>1500</v>
      </c>
      <c r="X275" s="62"/>
      <c r="Y275" s="62">
        <f t="shared" si="229"/>
        <v>1500</v>
      </c>
      <c r="Z275" s="62"/>
      <c r="AA275" s="62">
        <f t="shared" si="230"/>
        <v>1500</v>
      </c>
      <c r="AB275" s="62"/>
      <c r="AC275" s="62">
        <f t="shared" si="231"/>
        <v>1500</v>
      </c>
    </row>
    <row r="276" spans="1:29" s="25" customFormat="1" ht="21" customHeight="1">
      <c r="A276" s="49"/>
      <c r="B276" s="63"/>
      <c r="C276" s="66">
        <v>4240</v>
      </c>
      <c r="D276" s="36" t="s">
        <v>101</v>
      </c>
      <c r="E276" s="62">
        <v>11100</v>
      </c>
      <c r="F276" s="62"/>
      <c r="G276" s="62">
        <f t="shared" si="192"/>
        <v>11100</v>
      </c>
      <c r="H276" s="62"/>
      <c r="I276" s="62">
        <f t="shared" si="221"/>
        <v>11100</v>
      </c>
      <c r="J276" s="62"/>
      <c r="K276" s="62">
        <f t="shared" si="222"/>
        <v>11100</v>
      </c>
      <c r="L276" s="62"/>
      <c r="M276" s="62">
        <f t="shared" si="223"/>
        <v>11100</v>
      </c>
      <c r="N276" s="62"/>
      <c r="O276" s="62">
        <f t="shared" si="224"/>
        <v>11100</v>
      </c>
      <c r="P276" s="62"/>
      <c r="Q276" s="62">
        <f t="shared" si="225"/>
        <v>11100</v>
      </c>
      <c r="R276" s="62"/>
      <c r="S276" s="62">
        <f t="shared" si="226"/>
        <v>11100</v>
      </c>
      <c r="T276" s="62"/>
      <c r="U276" s="62">
        <f t="shared" si="227"/>
        <v>11100</v>
      </c>
      <c r="V276" s="62"/>
      <c r="W276" s="62">
        <f t="shared" si="228"/>
        <v>11100</v>
      </c>
      <c r="X276" s="62"/>
      <c r="Y276" s="62">
        <f t="shared" si="229"/>
        <v>11100</v>
      </c>
      <c r="Z276" s="62"/>
      <c r="AA276" s="62">
        <f t="shared" si="230"/>
        <v>11100</v>
      </c>
      <c r="AB276" s="62"/>
      <c r="AC276" s="62">
        <f t="shared" si="231"/>
        <v>11100</v>
      </c>
    </row>
    <row r="277" spans="1:29" s="25" customFormat="1" ht="21" customHeight="1">
      <c r="A277" s="49"/>
      <c r="B277" s="63"/>
      <c r="C277" s="66">
        <v>4260</v>
      </c>
      <c r="D277" s="36" t="s">
        <v>88</v>
      </c>
      <c r="E277" s="62">
        <v>291500</v>
      </c>
      <c r="F277" s="62"/>
      <c r="G277" s="62">
        <f t="shared" si="192"/>
        <v>291500</v>
      </c>
      <c r="H277" s="62"/>
      <c r="I277" s="62">
        <f t="shared" si="221"/>
        <v>291500</v>
      </c>
      <c r="J277" s="62"/>
      <c r="K277" s="62">
        <f t="shared" si="222"/>
        <v>291500</v>
      </c>
      <c r="L277" s="62"/>
      <c r="M277" s="62">
        <f t="shared" si="223"/>
        <v>291500</v>
      </c>
      <c r="N277" s="62"/>
      <c r="O277" s="62">
        <f t="shared" si="224"/>
        <v>291500</v>
      </c>
      <c r="P277" s="62"/>
      <c r="Q277" s="62">
        <f t="shared" si="225"/>
        <v>291500</v>
      </c>
      <c r="R277" s="62"/>
      <c r="S277" s="62">
        <f t="shared" si="226"/>
        <v>291500</v>
      </c>
      <c r="T277" s="62"/>
      <c r="U277" s="62">
        <f t="shared" si="227"/>
        <v>291500</v>
      </c>
      <c r="V277" s="62">
        <v>320</v>
      </c>
      <c r="W277" s="62">
        <f t="shared" si="228"/>
        <v>291820</v>
      </c>
      <c r="X277" s="62"/>
      <c r="Y277" s="62">
        <f t="shared" si="229"/>
        <v>291820</v>
      </c>
      <c r="Z277" s="62"/>
      <c r="AA277" s="62">
        <f t="shared" si="230"/>
        <v>291820</v>
      </c>
      <c r="AB277" s="62"/>
      <c r="AC277" s="62">
        <f t="shared" si="231"/>
        <v>291820</v>
      </c>
    </row>
    <row r="278" spans="1:29" s="25" customFormat="1" ht="21" customHeight="1">
      <c r="A278" s="49"/>
      <c r="B278" s="63"/>
      <c r="C278" s="66">
        <v>4270</v>
      </c>
      <c r="D278" s="36" t="s">
        <v>74</v>
      </c>
      <c r="E278" s="62">
        <v>49550</v>
      </c>
      <c r="F278" s="62"/>
      <c r="G278" s="62">
        <f t="shared" si="192"/>
        <v>49550</v>
      </c>
      <c r="H278" s="62"/>
      <c r="I278" s="62">
        <f t="shared" si="221"/>
        <v>49550</v>
      </c>
      <c r="J278" s="62">
        <f>-3250</f>
        <v>-3250</v>
      </c>
      <c r="K278" s="62">
        <f t="shared" si="222"/>
        <v>46300</v>
      </c>
      <c r="L278" s="62"/>
      <c r="M278" s="62">
        <f t="shared" si="223"/>
        <v>46300</v>
      </c>
      <c r="N278" s="62"/>
      <c r="O278" s="62">
        <f t="shared" si="224"/>
        <v>46300</v>
      </c>
      <c r="P278" s="62"/>
      <c r="Q278" s="62">
        <f t="shared" si="225"/>
        <v>46300</v>
      </c>
      <c r="R278" s="62"/>
      <c r="S278" s="62">
        <f t="shared" si="226"/>
        <v>46300</v>
      </c>
      <c r="T278" s="62"/>
      <c r="U278" s="62">
        <f t="shared" si="227"/>
        <v>46300</v>
      </c>
      <c r="V278" s="62"/>
      <c r="W278" s="62">
        <f t="shared" si="228"/>
        <v>46300</v>
      </c>
      <c r="X278" s="62"/>
      <c r="Y278" s="62">
        <f t="shared" si="229"/>
        <v>46300</v>
      </c>
      <c r="Z278" s="62">
        <v>-2000</v>
      </c>
      <c r="AA278" s="62">
        <f t="shared" si="230"/>
        <v>44300</v>
      </c>
      <c r="AB278" s="62"/>
      <c r="AC278" s="62">
        <f t="shared" si="231"/>
        <v>44300</v>
      </c>
    </row>
    <row r="279" spans="1:29" s="25" customFormat="1" ht="21" customHeight="1">
      <c r="A279" s="49"/>
      <c r="B279" s="63"/>
      <c r="C279" s="66">
        <v>4280</v>
      </c>
      <c r="D279" s="36" t="s">
        <v>432</v>
      </c>
      <c r="E279" s="62">
        <v>8400</v>
      </c>
      <c r="F279" s="62"/>
      <c r="G279" s="62">
        <f t="shared" si="192"/>
        <v>8400</v>
      </c>
      <c r="H279" s="62"/>
      <c r="I279" s="62">
        <f t="shared" si="221"/>
        <v>8400</v>
      </c>
      <c r="J279" s="62"/>
      <c r="K279" s="62">
        <f t="shared" si="222"/>
        <v>8400</v>
      </c>
      <c r="L279" s="62"/>
      <c r="M279" s="62">
        <f t="shared" si="223"/>
        <v>8400</v>
      </c>
      <c r="N279" s="62"/>
      <c r="O279" s="62">
        <f t="shared" si="224"/>
        <v>8400</v>
      </c>
      <c r="P279" s="62"/>
      <c r="Q279" s="62">
        <f t="shared" si="225"/>
        <v>8400</v>
      </c>
      <c r="R279" s="62"/>
      <c r="S279" s="62">
        <f t="shared" si="226"/>
        <v>8400</v>
      </c>
      <c r="T279" s="62"/>
      <c r="U279" s="62">
        <f t="shared" si="227"/>
        <v>8400</v>
      </c>
      <c r="V279" s="62"/>
      <c r="W279" s="62">
        <f t="shared" si="228"/>
        <v>8400</v>
      </c>
      <c r="X279" s="62"/>
      <c r="Y279" s="62">
        <f t="shared" si="229"/>
        <v>8400</v>
      </c>
      <c r="Z279" s="62"/>
      <c r="AA279" s="62">
        <f t="shared" si="230"/>
        <v>8400</v>
      </c>
      <c r="AB279" s="62"/>
      <c r="AC279" s="62">
        <f t="shared" si="231"/>
        <v>8400</v>
      </c>
    </row>
    <row r="280" spans="1:29" s="25" customFormat="1" ht="21" customHeight="1">
      <c r="A280" s="49"/>
      <c r="B280" s="63"/>
      <c r="C280" s="66">
        <v>4300</v>
      </c>
      <c r="D280" s="36" t="s">
        <v>75</v>
      </c>
      <c r="E280" s="62">
        <v>44500</v>
      </c>
      <c r="F280" s="62"/>
      <c r="G280" s="62">
        <f t="shared" si="192"/>
        <v>44500</v>
      </c>
      <c r="H280" s="62"/>
      <c r="I280" s="62">
        <f t="shared" si="221"/>
        <v>44500</v>
      </c>
      <c r="J280" s="62"/>
      <c r="K280" s="62">
        <f t="shared" si="222"/>
        <v>44500</v>
      </c>
      <c r="L280" s="62"/>
      <c r="M280" s="62">
        <f t="shared" si="223"/>
        <v>44500</v>
      </c>
      <c r="N280" s="62">
        <v>-1000</v>
      </c>
      <c r="O280" s="62">
        <f t="shared" si="224"/>
        <v>43500</v>
      </c>
      <c r="P280" s="62"/>
      <c r="Q280" s="62">
        <f t="shared" si="225"/>
        <v>43500</v>
      </c>
      <c r="R280" s="62"/>
      <c r="S280" s="62">
        <f t="shared" si="226"/>
        <v>43500</v>
      </c>
      <c r="T280" s="62"/>
      <c r="U280" s="62">
        <f t="shared" si="227"/>
        <v>43500</v>
      </c>
      <c r="V280" s="62"/>
      <c r="W280" s="62">
        <f t="shared" si="228"/>
        <v>43500</v>
      </c>
      <c r="X280" s="62"/>
      <c r="Y280" s="62">
        <f t="shared" si="229"/>
        <v>43500</v>
      </c>
      <c r="Z280" s="62">
        <v>-3000</v>
      </c>
      <c r="AA280" s="62">
        <f t="shared" si="230"/>
        <v>40500</v>
      </c>
      <c r="AB280" s="62"/>
      <c r="AC280" s="62">
        <f t="shared" si="231"/>
        <v>40500</v>
      </c>
    </row>
    <row r="281" spans="1:29" s="25" customFormat="1" ht="21" customHeight="1">
      <c r="A281" s="49"/>
      <c r="B281" s="63"/>
      <c r="C281" s="66">
        <v>4350</v>
      </c>
      <c r="D281" s="36" t="s">
        <v>169</v>
      </c>
      <c r="E281" s="62">
        <v>2400</v>
      </c>
      <c r="F281" s="62"/>
      <c r="G281" s="62">
        <f t="shared" si="192"/>
        <v>2400</v>
      </c>
      <c r="H281" s="62"/>
      <c r="I281" s="62">
        <f t="shared" si="221"/>
        <v>2400</v>
      </c>
      <c r="J281" s="62"/>
      <c r="K281" s="62">
        <f t="shared" si="222"/>
        <v>2400</v>
      </c>
      <c r="L281" s="62"/>
      <c r="M281" s="62">
        <f t="shared" si="223"/>
        <v>2400</v>
      </c>
      <c r="N281" s="62">
        <v>1500</v>
      </c>
      <c r="O281" s="62">
        <f t="shared" si="224"/>
        <v>3900</v>
      </c>
      <c r="P281" s="62"/>
      <c r="Q281" s="62">
        <f t="shared" si="225"/>
        <v>3900</v>
      </c>
      <c r="R281" s="62"/>
      <c r="S281" s="62">
        <f t="shared" si="226"/>
        <v>3900</v>
      </c>
      <c r="T281" s="62"/>
      <c r="U281" s="62">
        <f t="shared" si="227"/>
        <v>3900</v>
      </c>
      <c r="V281" s="62"/>
      <c r="W281" s="62">
        <f t="shared" si="228"/>
        <v>3900</v>
      </c>
      <c r="X281" s="62"/>
      <c r="Y281" s="62">
        <f t="shared" si="229"/>
        <v>3900</v>
      </c>
      <c r="Z281" s="62"/>
      <c r="AA281" s="62">
        <f t="shared" si="230"/>
        <v>3900</v>
      </c>
      <c r="AB281" s="62"/>
      <c r="AC281" s="62">
        <f t="shared" si="231"/>
        <v>3900</v>
      </c>
    </row>
    <row r="282" spans="1:29" s="25" customFormat="1" ht="28.5" customHeight="1">
      <c r="A282" s="49"/>
      <c r="B282" s="63"/>
      <c r="C282" s="66">
        <v>4370</v>
      </c>
      <c r="D282" s="14" t="s">
        <v>182</v>
      </c>
      <c r="E282" s="62">
        <v>9000</v>
      </c>
      <c r="F282" s="62"/>
      <c r="G282" s="62">
        <f t="shared" si="192"/>
        <v>9000</v>
      </c>
      <c r="H282" s="62"/>
      <c r="I282" s="62">
        <f t="shared" si="221"/>
        <v>9000</v>
      </c>
      <c r="J282" s="62"/>
      <c r="K282" s="62">
        <f t="shared" si="222"/>
        <v>9000</v>
      </c>
      <c r="L282" s="62"/>
      <c r="M282" s="62">
        <f t="shared" si="223"/>
        <v>9000</v>
      </c>
      <c r="N282" s="62">
        <v>-500</v>
      </c>
      <c r="O282" s="62">
        <f t="shared" si="224"/>
        <v>8500</v>
      </c>
      <c r="P282" s="62"/>
      <c r="Q282" s="62">
        <f t="shared" si="225"/>
        <v>8500</v>
      </c>
      <c r="R282" s="62"/>
      <c r="S282" s="62">
        <f t="shared" si="226"/>
        <v>8500</v>
      </c>
      <c r="T282" s="62"/>
      <c r="U282" s="62">
        <f t="shared" si="227"/>
        <v>8500</v>
      </c>
      <c r="V282" s="62"/>
      <c r="W282" s="62">
        <f t="shared" si="228"/>
        <v>8500</v>
      </c>
      <c r="X282" s="62"/>
      <c r="Y282" s="62">
        <f t="shared" si="229"/>
        <v>8500</v>
      </c>
      <c r="Z282" s="62"/>
      <c r="AA282" s="62">
        <f t="shared" si="230"/>
        <v>8500</v>
      </c>
      <c r="AB282" s="62"/>
      <c r="AC282" s="62">
        <f t="shared" si="231"/>
        <v>8500</v>
      </c>
    </row>
    <row r="283" spans="1:29" s="25" customFormat="1" ht="26.25" customHeight="1">
      <c r="A283" s="49"/>
      <c r="B283" s="63"/>
      <c r="C283" s="66">
        <v>4390</v>
      </c>
      <c r="D283" s="36" t="s">
        <v>433</v>
      </c>
      <c r="E283" s="62">
        <v>800</v>
      </c>
      <c r="F283" s="62"/>
      <c r="G283" s="62">
        <f t="shared" si="192"/>
        <v>800</v>
      </c>
      <c r="H283" s="62"/>
      <c r="I283" s="62">
        <f t="shared" si="221"/>
        <v>800</v>
      </c>
      <c r="J283" s="62"/>
      <c r="K283" s="62">
        <f t="shared" si="222"/>
        <v>800</v>
      </c>
      <c r="L283" s="62"/>
      <c r="M283" s="62">
        <f t="shared" si="223"/>
        <v>800</v>
      </c>
      <c r="N283" s="62"/>
      <c r="O283" s="62">
        <f t="shared" si="224"/>
        <v>800</v>
      </c>
      <c r="P283" s="62"/>
      <c r="Q283" s="62">
        <f t="shared" si="225"/>
        <v>800</v>
      </c>
      <c r="R283" s="62"/>
      <c r="S283" s="62">
        <f t="shared" si="226"/>
        <v>800</v>
      </c>
      <c r="T283" s="62"/>
      <c r="U283" s="62">
        <f t="shared" si="227"/>
        <v>800</v>
      </c>
      <c r="V283" s="62"/>
      <c r="W283" s="62">
        <f t="shared" si="228"/>
        <v>800</v>
      </c>
      <c r="X283" s="62"/>
      <c r="Y283" s="62">
        <f t="shared" si="229"/>
        <v>800</v>
      </c>
      <c r="Z283" s="62"/>
      <c r="AA283" s="62">
        <f t="shared" si="230"/>
        <v>800</v>
      </c>
      <c r="AB283" s="62"/>
      <c r="AC283" s="62">
        <f t="shared" si="231"/>
        <v>800</v>
      </c>
    </row>
    <row r="284" spans="1:29" s="25" customFormat="1" ht="21" customHeight="1">
      <c r="A284" s="49"/>
      <c r="B284" s="63"/>
      <c r="C284" s="66">
        <v>4410</v>
      </c>
      <c r="D284" s="36" t="s">
        <v>85</v>
      </c>
      <c r="E284" s="62">
        <v>6000</v>
      </c>
      <c r="F284" s="62"/>
      <c r="G284" s="62">
        <f t="shared" si="192"/>
        <v>6000</v>
      </c>
      <c r="H284" s="62"/>
      <c r="I284" s="62">
        <f t="shared" si="221"/>
        <v>6000</v>
      </c>
      <c r="J284" s="62"/>
      <c r="K284" s="62">
        <f t="shared" si="222"/>
        <v>6000</v>
      </c>
      <c r="L284" s="62"/>
      <c r="M284" s="62">
        <f t="shared" si="223"/>
        <v>6000</v>
      </c>
      <c r="N284" s="62">
        <v>500</v>
      </c>
      <c r="O284" s="62">
        <f t="shared" si="224"/>
        <v>6500</v>
      </c>
      <c r="P284" s="62"/>
      <c r="Q284" s="62">
        <f t="shared" si="225"/>
        <v>6500</v>
      </c>
      <c r="R284" s="62"/>
      <c r="S284" s="62">
        <f t="shared" si="226"/>
        <v>6500</v>
      </c>
      <c r="T284" s="62"/>
      <c r="U284" s="62">
        <f t="shared" si="227"/>
        <v>6500</v>
      </c>
      <c r="V284" s="62"/>
      <c r="W284" s="62">
        <f t="shared" si="228"/>
        <v>6500</v>
      </c>
      <c r="X284" s="62"/>
      <c r="Y284" s="62">
        <f t="shared" si="229"/>
        <v>6500</v>
      </c>
      <c r="Z284" s="62"/>
      <c r="AA284" s="62">
        <f t="shared" si="230"/>
        <v>6500</v>
      </c>
      <c r="AB284" s="62"/>
      <c r="AC284" s="62">
        <f t="shared" si="231"/>
        <v>6500</v>
      </c>
    </row>
    <row r="285" spans="1:29" s="25" customFormat="1" ht="21" customHeight="1">
      <c r="A285" s="49"/>
      <c r="B285" s="63"/>
      <c r="C285" s="66">
        <v>4430</v>
      </c>
      <c r="D285" s="36" t="s">
        <v>87</v>
      </c>
      <c r="E285" s="62">
        <v>4000</v>
      </c>
      <c r="F285" s="62"/>
      <c r="G285" s="62">
        <f t="shared" si="192"/>
        <v>4000</v>
      </c>
      <c r="H285" s="62"/>
      <c r="I285" s="62">
        <f t="shared" si="221"/>
        <v>4000</v>
      </c>
      <c r="J285" s="62">
        <v>250</v>
      </c>
      <c r="K285" s="62">
        <f t="shared" si="222"/>
        <v>4250</v>
      </c>
      <c r="L285" s="62"/>
      <c r="M285" s="62">
        <f t="shared" si="223"/>
        <v>4250</v>
      </c>
      <c r="N285" s="62"/>
      <c r="O285" s="62">
        <f t="shared" si="224"/>
        <v>4250</v>
      </c>
      <c r="P285" s="62"/>
      <c r="Q285" s="62">
        <f t="shared" si="225"/>
        <v>4250</v>
      </c>
      <c r="R285" s="62"/>
      <c r="S285" s="62">
        <f t="shared" si="226"/>
        <v>4250</v>
      </c>
      <c r="T285" s="62"/>
      <c r="U285" s="62">
        <f t="shared" si="227"/>
        <v>4250</v>
      </c>
      <c r="V285" s="62"/>
      <c r="W285" s="62">
        <f t="shared" si="228"/>
        <v>4250</v>
      </c>
      <c r="X285" s="62"/>
      <c r="Y285" s="62">
        <f t="shared" si="229"/>
        <v>4250</v>
      </c>
      <c r="Z285" s="62"/>
      <c r="AA285" s="62">
        <f t="shared" si="230"/>
        <v>4250</v>
      </c>
      <c r="AB285" s="62"/>
      <c r="AC285" s="62">
        <f t="shared" si="231"/>
        <v>4250</v>
      </c>
    </row>
    <row r="286" spans="1:29" s="25" customFormat="1" ht="26.25" customHeight="1">
      <c r="A286" s="49"/>
      <c r="B286" s="63"/>
      <c r="C286" s="66">
        <v>4440</v>
      </c>
      <c r="D286" s="36" t="s">
        <v>83</v>
      </c>
      <c r="E286" s="62">
        <v>205309</v>
      </c>
      <c r="F286" s="62"/>
      <c r="G286" s="62">
        <f t="shared" si="192"/>
        <v>205309</v>
      </c>
      <c r="H286" s="62"/>
      <c r="I286" s="62">
        <f t="shared" si="221"/>
        <v>205309</v>
      </c>
      <c r="J286" s="62"/>
      <c r="K286" s="62">
        <f t="shared" si="222"/>
        <v>205309</v>
      </c>
      <c r="L286" s="62"/>
      <c r="M286" s="62">
        <f t="shared" si="223"/>
        <v>205309</v>
      </c>
      <c r="N286" s="62"/>
      <c r="O286" s="62">
        <f t="shared" si="224"/>
        <v>205309</v>
      </c>
      <c r="P286" s="62"/>
      <c r="Q286" s="62">
        <f t="shared" si="225"/>
        <v>205309</v>
      </c>
      <c r="R286" s="62"/>
      <c r="S286" s="62">
        <f t="shared" si="226"/>
        <v>205309</v>
      </c>
      <c r="T286" s="62"/>
      <c r="U286" s="62">
        <f t="shared" si="227"/>
        <v>205309</v>
      </c>
      <c r="V286" s="62"/>
      <c r="W286" s="62">
        <f t="shared" si="228"/>
        <v>205309</v>
      </c>
      <c r="X286" s="62"/>
      <c r="Y286" s="62">
        <f t="shared" si="229"/>
        <v>205309</v>
      </c>
      <c r="Z286" s="62"/>
      <c r="AA286" s="62">
        <f t="shared" si="230"/>
        <v>205309</v>
      </c>
      <c r="AB286" s="62"/>
      <c r="AC286" s="62">
        <f t="shared" si="231"/>
        <v>205309</v>
      </c>
    </row>
    <row r="287" spans="1:29" s="25" customFormat="1" ht="26.25" customHeight="1">
      <c r="A287" s="49"/>
      <c r="B287" s="63"/>
      <c r="C287" s="66">
        <v>4570</v>
      </c>
      <c r="D287" s="36" t="s">
        <v>434</v>
      </c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>
        <v>0</v>
      </c>
      <c r="R287" s="62">
        <f>10+14</f>
        <v>24</v>
      </c>
      <c r="S287" s="62">
        <f t="shared" si="226"/>
        <v>24</v>
      </c>
      <c r="T287" s="62"/>
      <c r="U287" s="62">
        <f t="shared" si="227"/>
        <v>24</v>
      </c>
      <c r="V287" s="62"/>
      <c r="W287" s="62">
        <f t="shared" si="228"/>
        <v>24</v>
      </c>
      <c r="X287" s="62"/>
      <c r="Y287" s="62">
        <f t="shared" si="229"/>
        <v>24</v>
      </c>
      <c r="Z287" s="62"/>
      <c r="AA287" s="62">
        <f t="shared" si="230"/>
        <v>24</v>
      </c>
      <c r="AB287" s="62"/>
      <c r="AC287" s="62">
        <f t="shared" si="231"/>
        <v>24</v>
      </c>
    </row>
    <row r="288" spans="1:29" s="25" customFormat="1" ht="26.25" customHeight="1">
      <c r="A288" s="49"/>
      <c r="B288" s="63"/>
      <c r="C288" s="66">
        <v>4580</v>
      </c>
      <c r="D288" s="36" t="s">
        <v>11</v>
      </c>
      <c r="E288" s="62"/>
      <c r="F288" s="62"/>
      <c r="G288" s="62"/>
      <c r="H288" s="62"/>
      <c r="I288" s="62"/>
      <c r="J288" s="62"/>
      <c r="K288" s="62"/>
      <c r="L288" s="62"/>
      <c r="M288" s="62">
        <v>0</v>
      </c>
      <c r="N288" s="62">
        <v>10</v>
      </c>
      <c r="O288" s="62">
        <f t="shared" si="224"/>
        <v>10</v>
      </c>
      <c r="P288" s="62"/>
      <c r="Q288" s="62">
        <f t="shared" si="225"/>
        <v>10</v>
      </c>
      <c r="R288" s="62">
        <v>-10</v>
      </c>
      <c r="S288" s="62">
        <f t="shared" si="226"/>
        <v>0</v>
      </c>
      <c r="T288" s="62"/>
      <c r="U288" s="62">
        <f t="shared" si="227"/>
        <v>0</v>
      </c>
      <c r="V288" s="62"/>
      <c r="W288" s="62">
        <f t="shared" si="228"/>
        <v>0</v>
      </c>
      <c r="X288" s="62"/>
      <c r="Y288" s="62">
        <f t="shared" si="229"/>
        <v>0</v>
      </c>
      <c r="Z288" s="62"/>
      <c r="AA288" s="62">
        <f t="shared" si="230"/>
        <v>0</v>
      </c>
      <c r="AB288" s="62"/>
      <c r="AC288" s="62">
        <f t="shared" si="231"/>
        <v>0</v>
      </c>
    </row>
    <row r="289" spans="1:29" s="25" customFormat="1" ht="27" customHeight="1">
      <c r="A289" s="49"/>
      <c r="B289" s="63"/>
      <c r="C289" s="66">
        <v>4700</v>
      </c>
      <c r="D289" s="36" t="s">
        <v>225</v>
      </c>
      <c r="E289" s="62">
        <v>2500</v>
      </c>
      <c r="F289" s="62"/>
      <c r="G289" s="62">
        <f t="shared" si="192"/>
        <v>2500</v>
      </c>
      <c r="H289" s="62"/>
      <c r="I289" s="62">
        <f t="shared" si="221"/>
        <v>2500</v>
      </c>
      <c r="J289" s="62"/>
      <c r="K289" s="62">
        <f t="shared" si="222"/>
        <v>2500</v>
      </c>
      <c r="L289" s="62"/>
      <c r="M289" s="62">
        <f t="shared" si="223"/>
        <v>2500</v>
      </c>
      <c r="N289" s="62"/>
      <c r="O289" s="62">
        <f t="shared" si="224"/>
        <v>2500</v>
      </c>
      <c r="P289" s="62"/>
      <c r="Q289" s="62">
        <f t="shared" si="225"/>
        <v>2500</v>
      </c>
      <c r="R289" s="62"/>
      <c r="S289" s="62">
        <f t="shared" si="226"/>
        <v>2500</v>
      </c>
      <c r="T289" s="62"/>
      <c r="U289" s="62">
        <f t="shared" si="227"/>
        <v>2500</v>
      </c>
      <c r="V289" s="62"/>
      <c r="W289" s="62">
        <f t="shared" si="228"/>
        <v>2500</v>
      </c>
      <c r="X289" s="62"/>
      <c r="Y289" s="62">
        <f t="shared" si="229"/>
        <v>2500</v>
      </c>
      <c r="Z289" s="62">
        <v>-500</v>
      </c>
      <c r="AA289" s="62">
        <f t="shared" si="230"/>
        <v>2000</v>
      </c>
      <c r="AB289" s="62"/>
      <c r="AC289" s="62">
        <f t="shared" si="231"/>
        <v>2000</v>
      </c>
    </row>
    <row r="290" spans="1:29" s="25" customFormat="1" ht="36">
      <c r="A290" s="49"/>
      <c r="B290" s="63"/>
      <c r="C290" s="66">
        <v>4740</v>
      </c>
      <c r="D290" s="14" t="s">
        <v>183</v>
      </c>
      <c r="E290" s="62">
        <v>4500</v>
      </c>
      <c r="F290" s="62"/>
      <c r="G290" s="62">
        <f aca="true" t="shared" si="232" ref="G290:G359">SUM(E290:F290)</f>
        <v>4500</v>
      </c>
      <c r="H290" s="62"/>
      <c r="I290" s="62">
        <f t="shared" si="221"/>
        <v>4500</v>
      </c>
      <c r="J290" s="62"/>
      <c r="K290" s="62">
        <f t="shared" si="222"/>
        <v>4500</v>
      </c>
      <c r="L290" s="62"/>
      <c r="M290" s="62">
        <f t="shared" si="223"/>
        <v>4500</v>
      </c>
      <c r="N290" s="62">
        <v>-1000</v>
      </c>
      <c r="O290" s="62">
        <f t="shared" si="224"/>
        <v>3500</v>
      </c>
      <c r="P290" s="62"/>
      <c r="Q290" s="62">
        <f t="shared" si="225"/>
        <v>3500</v>
      </c>
      <c r="R290" s="62"/>
      <c r="S290" s="62">
        <f t="shared" si="226"/>
        <v>3500</v>
      </c>
      <c r="T290" s="62"/>
      <c r="U290" s="62">
        <f t="shared" si="227"/>
        <v>3500</v>
      </c>
      <c r="V290" s="62"/>
      <c r="W290" s="62">
        <f t="shared" si="228"/>
        <v>3500</v>
      </c>
      <c r="X290" s="62"/>
      <c r="Y290" s="62">
        <f t="shared" si="229"/>
        <v>3500</v>
      </c>
      <c r="Z290" s="62">
        <v>-500</v>
      </c>
      <c r="AA290" s="62">
        <f t="shared" si="230"/>
        <v>3000</v>
      </c>
      <c r="AB290" s="62"/>
      <c r="AC290" s="62">
        <f t="shared" si="231"/>
        <v>3000</v>
      </c>
    </row>
    <row r="291" spans="1:29" s="25" customFormat="1" ht="24.75" customHeight="1">
      <c r="A291" s="49"/>
      <c r="B291" s="63"/>
      <c r="C291" s="66">
        <v>4750</v>
      </c>
      <c r="D291" s="14" t="s">
        <v>401</v>
      </c>
      <c r="E291" s="62">
        <v>14850</v>
      </c>
      <c r="F291" s="62"/>
      <c r="G291" s="62">
        <f t="shared" si="232"/>
        <v>14850</v>
      </c>
      <c r="H291" s="62"/>
      <c r="I291" s="62">
        <f t="shared" si="221"/>
        <v>14850</v>
      </c>
      <c r="J291" s="62"/>
      <c r="K291" s="62">
        <f t="shared" si="222"/>
        <v>14850</v>
      </c>
      <c r="L291" s="62"/>
      <c r="M291" s="62">
        <f t="shared" si="223"/>
        <v>14850</v>
      </c>
      <c r="N291" s="62">
        <v>1000</v>
      </c>
      <c r="O291" s="62">
        <f t="shared" si="224"/>
        <v>15850</v>
      </c>
      <c r="P291" s="62"/>
      <c r="Q291" s="62">
        <f t="shared" si="225"/>
        <v>15850</v>
      </c>
      <c r="R291" s="62"/>
      <c r="S291" s="62">
        <f t="shared" si="226"/>
        <v>15850</v>
      </c>
      <c r="T291" s="62"/>
      <c r="U291" s="62">
        <f t="shared" si="227"/>
        <v>15850</v>
      </c>
      <c r="V291" s="62"/>
      <c r="W291" s="62">
        <f t="shared" si="228"/>
        <v>15850</v>
      </c>
      <c r="X291" s="62"/>
      <c r="Y291" s="62">
        <f t="shared" si="229"/>
        <v>15850</v>
      </c>
      <c r="Z291" s="62">
        <v>1000</v>
      </c>
      <c r="AA291" s="62">
        <f t="shared" si="230"/>
        <v>16850</v>
      </c>
      <c r="AB291" s="62"/>
      <c r="AC291" s="62">
        <f t="shared" si="231"/>
        <v>16850</v>
      </c>
    </row>
    <row r="292" spans="1:33" s="25" customFormat="1" ht="24.75" customHeight="1">
      <c r="A292" s="49"/>
      <c r="B292" s="63"/>
      <c r="C292" s="66">
        <v>6050</v>
      </c>
      <c r="D292" s="14" t="s">
        <v>69</v>
      </c>
      <c r="E292" s="62">
        <f>4720000-1000000</f>
        <v>3720000</v>
      </c>
      <c r="F292" s="62">
        <f>-1200000+800000</f>
        <v>-400000</v>
      </c>
      <c r="G292" s="62">
        <f t="shared" si="232"/>
        <v>3320000</v>
      </c>
      <c r="H292" s="62"/>
      <c r="I292" s="62">
        <f t="shared" si="221"/>
        <v>3320000</v>
      </c>
      <c r="J292" s="62"/>
      <c r="K292" s="62">
        <f t="shared" si="222"/>
        <v>3320000</v>
      </c>
      <c r="L292" s="62"/>
      <c r="M292" s="62">
        <f t="shared" si="223"/>
        <v>3320000</v>
      </c>
      <c r="N292" s="62"/>
      <c r="O292" s="62">
        <f t="shared" si="224"/>
        <v>3320000</v>
      </c>
      <c r="P292" s="62"/>
      <c r="Q292" s="62">
        <f t="shared" si="225"/>
        <v>3320000</v>
      </c>
      <c r="R292" s="62"/>
      <c r="S292" s="62">
        <f t="shared" si="226"/>
        <v>3320000</v>
      </c>
      <c r="T292" s="62"/>
      <c r="U292" s="62">
        <f t="shared" si="227"/>
        <v>3320000</v>
      </c>
      <c r="V292" s="62"/>
      <c r="W292" s="62">
        <f t="shared" si="228"/>
        <v>3320000</v>
      </c>
      <c r="X292" s="62"/>
      <c r="Y292" s="62">
        <f t="shared" si="229"/>
        <v>3320000</v>
      </c>
      <c r="Z292" s="62">
        <f>-1810786+680000-680000+680000</f>
        <v>-1130786</v>
      </c>
      <c r="AA292" s="62">
        <f t="shared" si="230"/>
        <v>2189214</v>
      </c>
      <c r="AB292" s="62"/>
      <c r="AC292" s="62">
        <f t="shared" si="231"/>
        <v>2189214</v>
      </c>
      <c r="AF292" s="79"/>
      <c r="AG292" s="79"/>
    </row>
    <row r="293" spans="1:29" s="25" customFormat="1" ht="21" customHeight="1">
      <c r="A293" s="49"/>
      <c r="B293" s="53" t="s">
        <v>440</v>
      </c>
      <c r="C293" s="41"/>
      <c r="D293" s="14" t="s">
        <v>441</v>
      </c>
      <c r="E293" s="52">
        <f aca="true" t="shared" si="233" ref="E293:W293">SUM(E294:E299)</f>
        <v>309460</v>
      </c>
      <c r="F293" s="52">
        <f t="shared" si="233"/>
        <v>0</v>
      </c>
      <c r="G293" s="52">
        <f t="shared" si="233"/>
        <v>309460</v>
      </c>
      <c r="H293" s="52">
        <f t="shared" si="233"/>
        <v>0</v>
      </c>
      <c r="I293" s="52">
        <f t="shared" si="233"/>
        <v>309460</v>
      </c>
      <c r="J293" s="52">
        <f t="shared" si="233"/>
        <v>0</v>
      </c>
      <c r="K293" s="52">
        <f t="shared" si="233"/>
        <v>309460</v>
      </c>
      <c r="L293" s="52">
        <f t="shared" si="233"/>
        <v>0</v>
      </c>
      <c r="M293" s="52">
        <f t="shared" si="233"/>
        <v>309460</v>
      </c>
      <c r="N293" s="52">
        <f t="shared" si="233"/>
        <v>0</v>
      </c>
      <c r="O293" s="52">
        <f t="shared" si="233"/>
        <v>309460</v>
      </c>
      <c r="P293" s="52">
        <f t="shared" si="233"/>
        <v>0</v>
      </c>
      <c r="Q293" s="52">
        <f t="shared" si="233"/>
        <v>309460</v>
      </c>
      <c r="R293" s="52">
        <f t="shared" si="233"/>
        <v>0</v>
      </c>
      <c r="S293" s="52">
        <f t="shared" si="233"/>
        <v>309460</v>
      </c>
      <c r="T293" s="52">
        <f t="shared" si="233"/>
        <v>0</v>
      </c>
      <c r="U293" s="52">
        <f t="shared" si="233"/>
        <v>309460</v>
      </c>
      <c r="V293" s="52">
        <f t="shared" si="233"/>
        <v>-85</v>
      </c>
      <c r="W293" s="52">
        <f t="shared" si="233"/>
        <v>309375</v>
      </c>
      <c r="X293" s="52">
        <f aca="true" t="shared" si="234" ref="X293:AC293">SUM(X294:X299)</f>
        <v>0</v>
      </c>
      <c r="Y293" s="52">
        <f t="shared" si="234"/>
        <v>309375</v>
      </c>
      <c r="Z293" s="52">
        <f t="shared" si="234"/>
        <v>0</v>
      </c>
      <c r="AA293" s="52">
        <f t="shared" si="234"/>
        <v>309375</v>
      </c>
      <c r="AB293" s="52">
        <f t="shared" si="234"/>
        <v>0</v>
      </c>
      <c r="AC293" s="52">
        <f t="shared" si="234"/>
        <v>309375</v>
      </c>
    </row>
    <row r="294" spans="1:31" s="25" customFormat="1" ht="21" customHeight="1">
      <c r="A294" s="49"/>
      <c r="B294" s="53"/>
      <c r="C294" s="41">
        <v>4110</v>
      </c>
      <c r="D294" s="36" t="s">
        <v>81</v>
      </c>
      <c r="E294" s="52">
        <v>2592</v>
      </c>
      <c r="F294" s="52"/>
      <c r="G294" s="62">
        <f t="shared" si="232"/>
        <v>2592</v>
      </c>
      <c r="H294" s="52"/>
      <c r="I294" s="62">
        <f aca="true" t="shared" si="235" ref="I294:I299">SUM(G294:H294)</f>
        <v>2592</v>
      </c>
      <c r="J294" s="52"/>
      <c r="K294" s="62">
        <f aca="true" t="shared" si="236" ref="K294:K299">SUM(I294:J294)</f>
        <v>2592</v>
      </c>
      <c r="L294" s="52"/>
      <c r="M294" s="62">
        <f aca="true" t="shared" si="237" ref="M294:M299">SUM(K294:L294)</f>
        <v>2592</v>
      </c>
      <c r="N294" s="52"/>
      <c r="O294" s="62">
        <f aca="true" t="shared" si="238" ref="O294:O299">SUM(M294:N294)</f>
        <v>2592</v>
      </c>
      <c r="P294" s="52"/>
      <c r="Q294" s="62">
        <f aca="true" t="shared" si="239" ref="Q294:Q299">SUM(O294:P294)</f>
        <v>2592</v>
      </c>
      <c r="R294" s="52"/>
      <c r="S294" s="62">
        <f aca="true" t="shared" si="240" ref="S294:S299">SUM(Q294:R294)</f>
        <v>2592</v>
      </c>
      <c r="T294" s="52"/>
      <c r="U294" s="62">
        <f aca="true" t="shared" si="241" ref="U294:U299">SUM(S294:T294)</f>
        <v>2592</v>
      </c>
      <c r="V294" s="52"/>
      <c r="W294" s="62">
        <f aca="true" t="shared" si="242" ref="W294:W299">SUM(U294:V294)</f>
        <v>2592</v>
      </c>
      <c r="X294" s="52"/>
      <c r="Y294" s="62">
        <f aca="true" t="shared" si="243" ref="Y294:Y299">SUM(W294:X294)</f>
        <v>2592</v>
      </c>
      <c r="Z294" s="52"/>
      <c r="AA294" s="62">
        <f aca="true" t="shared" si="244" ref="AA294:AA299">SUM(Y294:Z294)</f>
        <v>2592</v>
      </c>
      <c r="AB294" s="52"/>
      <c r="AC294" s="62">
        <f aca="true" t="shared" si="245" ref="AC294:AC299">SUM(AA294:AB294)</f>
        <v>2592</v>
      </c>
      <c r="AD294" s="79"/>
      <c r="AE294" s="79"/>
    </row>
    <row r="295" spans="1:31" s="25" customFormat="1" ht="21" customHeight="1">
      <c r="A295" s="49"/>
      <c r="B295" s="53"/>
      <c r="C295" s="41">
        <v>4120</v>
      </c>
      <c r="D295" s="36" t="s">
        <v>82</v>
      </c>
      <c r="E295" s="52">
        <v>368</v>
      </c>
      <c r="F295" s="52"/>
      <c r="G295" s="62">
        <f t="shared" si="232"/>
        <v>368</v>
      </c>
      <c r="H295" s="52"/>
      <c r="I295" s="62">
        <f t="shared" si="235"/>
        <v>368</v>
      </c>
      <c r="J295" s="52"/>
      <c r="K295" s="62">
        <f t="shared" si="236"/>
        <v>368</v>
      </c>
      <c r="L295" s="52"/>
      <c r="M295" s="62">
        <f t="shared" si="237"/>
        <v>368</v>
      </c>
      <c r="N295" s="52"/>
      <c r="O295" s="62">
        <f t="shared" si="238"/>
        <v>368</v>
      </c>
      <c r="P295" s="52"/>
      <c r="Q295" s="62">
        <f t="shared" si="239"/>
        <v>368</v>
      </c>
      <c r="R295" s="52"/>
      <c r="S295" s="62">
        <f t="shared" si="240"/>
        <v>368</v>
      </c>
      <c r="T295" s="52"/>
      <c r="U295" s="62">
        <f t="shared" si="241"/>
        <v>368</v>
      </c>
      <c r="V295" s="52"/>
      <c r="W295" s="62">
        <f t="shared" si="242"/>
        <v>368</v>
      </c>
      <c r="X295" s="52"/>
      <c r="Y295" s="62">
        <f t="shared" si="243"/>
        <v>368</v>
      </c>
      <c r="Z295" s="52"/>
      <c r="AA295" s="62">
        <f t="shared" si="244"/>
        <v>368</v>
      </c>
      <c r="AB295" s="52"/>
      <c r="AC295" s="62">
        <f t="shared" si="245"/>
        <v>368</v>
      </c>
      <c r="AD295" s="79"/>
      <c r="AE295" s="79"/>
    </row>
    <row r="296" spans="1:31" s="25" customFormat="1" ht="21" customHeight="1">
      <c r="A296" s="49"/>
      <c r="B296" s="53"/>
      <c r="C296" s="41">
        <v>4170</v>
      </c>
      <c r="D296" s="36" t="s">
        <v>161</v>
      </c>
      <c r="E296" s="52">
        <v>24000</v>
      </c>
      <c r="F296" s="52"/>
      <c r="G296" s="62">
        <f t="shared" si="232"/>
        <v>24000</v>
      </c>
      <c r="H296" s="52"/>
      <c r="I296" s="62">
        <f t="shared" si="235"/>
        <v>24000</v>
      </c>
      <c r="J296" s="52"/>
      <c r="K296" s="62">
        <f t="shared" si="236"/>
        <v>24000</v>
      </c>
      <c r="L296" s="52"/>
      <c r="M296" s="62">
        <f t="shared" si="237"/>
        <v>24000</v>
      </c>
      <c r="N296" s="52"/>
      <c r="O296" s="62">
        <f t="shared" si="238"/>
        <v>24000</v>
      </c>
      <c r="P296" s="52"/>
      <c r="Q296" s="62">
        <f t="shared" si="239"/>
        <v>24000</v>
      </c>
      <c r="R296" s="52"/>
      <c r="S296" s="62">
        <f t="shared" si="240"/>
        <v>24000</v>
      </c>
      <c r="T296" s="52"/>
      <c r="U296" s="62">
        <f t="shared" si="241"/>
        <v>24000</v>
      </c>
      <c r="V296" s="52"/>
      <c r="W296" s="62">
        <f t="shared" si="242"/>
        <v>24000</v>
      </c>
      <c r="X296" s="52"/>
      <c r="Y296" s="62">
        <f t="shared" si="243"/>
        <v>24000</v>
      </c>
      <c r="Z296" s="52">
        <v>3000</v>
      </c>
      <c r="AA296" s="62">
        <f t="shared" si="244"/>
        <v>27000</v>
      </c>
      <c r="AB296" s="52"/>
      <c r="AC296" s="62">
        <f t="shared" si="245"/>
        <v>27000</v>
      </c>
      <c r="AD296" s="79"/>
      <c r="AE296" s="79"/>
    </row>
    <row r="297" spans="1:29" s="25" customFormat="1" ht="21" customHeight="1">
      <c r="A297" s="49"/>
      <c r="B297" s="53"/>
      <c r="C297" s="41">
        <v>4210</v>
      </c>
      <c r="D297" s="14" t="s">
        <v>86</v>
      </c>
      <c r="E297" s="52">
        <v>45000</v>
      </c>
      <c r="F297" s="52"/>
      <c r="G297" s="62">
        <f t="shared" si="232"/>
        <v>45000</v>
      </c>
      <c r="H297" s="52"/>
      <c r="I297" s="62">
        <f t="shared" si="235"/>
        <v>45000</v>
      </c>
      <c r="J297" s="52"/>
      <c r="K297" s="62">
        <f t="shared" si="236"/>
        <v>45000</v>
      </c>
      <c r="L297" s="52"/>
      <c r="M297" s="62">
        <f t="shared" si="237"/>
        <v>45000</v>
      </c>
      <c r="N297" s="52"/>
      <c r="O297" s="62">
        <f t="shared" si="238"/>
        <v>45000</v>
      </c>
      <c r="P297" s="52"/>
      <c r="Q297" s="62">
        <f t="shared" si="239"/>
        <v>45000</v>
      </c>
      <c r="R297" s="52"/>
      <c r="S297" s="62">
        <f t="shared" si="240"/>
        <v>45000</v>
      </c>
      <c r="T297" s="52"/>
      <c r="U297" s="62">
        <f t="shared" si="241"/>
        <v>45000</v>
      </c>
      <c r="V297" s="52">
        <v>-85</v>
      </c>
      <c r="W297" s="62">
        <f t="shared" si="242"/>
        <v>44915</v>
      </c>
      <c r="X297" s="52"/>
      <c r="Y297" s="62">
        <f t="shared" si="243"/>
        <v>44915</v>
      </c>
      <c r="Z297" s="52"/>
      <c r="AA297" s="62">
        <f t="shared" si="244"/>
        <v>44915</v>
      </c>
      <c r="AB297" s="52"/>
      <c r="AC297" s="62">
        <f t="shared" si="245"/>
        <v>44915</v>
      </c>
    </row>
    <row r="298" spans="1:29" s="25" customFormat="1" ht="21" customHeight="1">
      <c r="A298" s="49"/>
      <c r="B298" s="53"/>
      <c r="C298" s="41">
        <v>4300</v>
      </c>
      <c r="D298" s="14" t="s">
        <v>75</v>
      </c>
      <c r="E298" s="52">
        <f>215000+10000+8000</f>
        <v>233000</v>
      </c>
      <c r="F298" s="52"/>
      <c r="G298" s="62">
        <f t="shared" si="232"/>
        <v>233000</v>
      </c>
      <c r="H298" s="52"/>
      <c r="I298" s="62">
        <f t="shared" si="235"/>
        <v>233000</v>
      </c>
      <c r="J298" s="52"/>
      <c r="K298" s="62">
        <f t="shared" si="236"/>
        <v>233000</v>
      </c>
      <c r="L298" s="52"/>
      <c r="M298" s="62">
        <f t="shared" si="237"/>
        <v>233000</v>
      </c>
      <c r="N298" s="52"/>
      <c r="O298" s="62">
        <f t="shared" si="238"/>
        <v>233000</v>
      </c>
      <c r="P298" s="52"/>
      <c r="Q298" s="62">
        <f t="shared" si="239"/>
        <v>233000</v>
      </c>
      <c r="R298" s="52"/>
      <c r="S298" s="62">
        <f t="shared" si="240"/>
        <v>233000</v>
      </c>
      <c r="T298" s="52"/>
      <c r="U298" s="62">
        <f t="shared" si="241"/>
        <v>233000</v>
      </c>
      <c r="V298" s="52"/>
      <c r="W298" s="62">
        <f t="shared" si="242"/>
        <v>233000</v>
      </c>
      <c r="X298" s="52"/>
      <c r="Y298" s="62">
        <f t="shared" si="243"/>
        <v>233000</v>
      </c>
      <c r="Z298" s="52">
        <v>-3000</v>
      </c>
      <c r="AA298" s="62">
        <f t="shared" si="244"/>
        <v>230000</v>
      </c>
      <c r="AB298" s="52"/>
      <c r="AC298" s="62">
        <f t="shared" si="245"/>
        <v>230000</v>
      </c>
    </row>
    <row r="299" spans="1:29" s="25" customFormat="1" ht="21" customHeight="1">
      <c r="A299" s="49"/>
      <c r="B299" s="53"/>
      <c r="C299" s="41">
        <v>4430</v>
      </c>
      <c r="D299" s="36" t="s">
        <v>87</v>
      </c>
      <c r="E299" s="52">
        <v>4500</v>
      </c>
      <c r="F299" s="52"/>
      <c r="G299" s="62">
        <f t="shared" si="232"/>
        <v>4500</v>
      </c>
      <c r="H299" s="52"/>
      <c r="I299" s="62">
        <f t="shared" si="235"/>
        <v>4500</v>
      </c>
      <c r="J299" s="52"/>
      <c r="K299" s="62">
        <f t="shared" si="236"/>
        <v>4500</v>
      </c>
      <c r="L299" s="52"/>
      <c r="M299" s="62">
        <f t="shared" si="237"/>
        <v>4500</v>
      </c>
      <c r="N299" s="52"/>
      <c r="O299" s="62">
        <f t="shared" si="238"/>
        <v>4500</v>
      </c>
      <c r="P299" s="52"/>
      <c r="Q299" s="62">
        <f t="shared" si="239"/>
        <v>4500</v>
      </c>
      <c r="R299" s="52"/>
      <c r="S299" s="62">
        <f t="shared" si="240"/>
        <v>4500</v>
      </c>
      <c r="T299" s="52"/>
      <c r="U299" s="62">
        <f t="shared" si="241"/>
        <v>4500</v>
      </c>
      <c r="V299" s="52"/>
      <c r="W299" s="62">
        <f t="shared" si="242"/>
        <v>4500</v>
      </c>
      <c r="X299" s="52"/>
      <c r="Y299" s="62">
        <f t="shared" si="243"/>
        <v>4500</v>
      </c>
      <c r="Z299" s="52"/>
      <c r="AA299" s="62">
        <f t="shared" si="244"/>
        <v>4500</v>
      </c>
      <c r="AB299" s="52"/>
      <c r="AC299" s="62">
        <f t="shared" si="245"/>
        <v>4500</v>
      </c>
    </row>
    <row r="300" spans="1:29" s="25" customFormat="1" ht="21" customHeight="1">
      <c r="A300" s="49"/>
      <c r="B300" s="206">
        <v>80146</v>
      </c>
      <c r="C300" s="201"/>
      <c r="D300" s="36" t="s">
        <v>120</v>
      </c>
      <c r="E300" s="62">
        <f>SUM(E301:E302)</f>
        <v>109224</v>
      </c>
      <c r="F300" s="62">
        <f>SUM(F301:F302)</f>
        <v>0</v>
      </c>
      <c r="G300" s="62">
        <f>SUM(G301:G302)</f>
        <v>109224</v>
      </c>
      <c r="H300" s="62">
        <f>SUM(H301:H302)</f>
        <v>0</v>
      </c>
      <c r="I300" s="62">
        <f aca="true" t="shared" si="246" ref="I300:U300">SUM(I301:I304)</f>
        <v>109224</v>
      </c>
      <c r="J300" s="62">
        <f t="shared" si="246"/>
        <v>0</v>
      </c>
      <c r="K300" s="62">
        <f t="shared" si="246"/>
        <v>109224</v>
      </c>
      <c r="L300" s="62">
        <f t="shared" si="246"/>
        <v>0</v>
      </c>
      <c r="M300" s="62">
        <f t="shared" si="246"/>
        <v>109224</v>
      </c>
      <c r="N300" s="62">
        <f t="shared" si="246"/>
        <v>0</v>
      </c>
      <c r="O300" s="62">
        <f t="shared" si="246"/>
        <v>109224</v>
      </c>
      <c r="P300" s="62">
        <f t="shared" si="246"/>
        <v>0</v>
      </c>
      <c r="Q300" s="62">
        <f t="shared" si="246"/>
        <v>109224</v>
      </c>
      <c r="R300" s="62">
        <f t="shared" si="246"/>
        <v>0</v>
      </c>
      <c r="S300" s="62">
        <f t="shared" si="246"/>
        <v>109224</v>
      </c>
      <c r="T300" s="62">
        <f t="shared" si="246"/>
        <v>0</v>
      </c>
      <c r="U300" s="62">
        <f t="shared" si="246"/>
        <v>109224</v>
      </c>
      <c r="V300" s="62">
        <f aca="true" t="shared" si="247" ref="V300:AA300">SUM(V301:V304)</f>
        <v>0</v>
      </c>
      <c r="W300" s="62">
        <f t="shared" si="247"/>
        <v>109224</v>
      </c>
      <c r="X300" s="62">
        <f t="shared" si="247"/>
        <v>0</v>
      </c>
      <c r="Y300" s="62">
        <f t="shared" si="247"/>
        <v>109224</v>
      </c>
      <c r="Z300" s="62">
        <f t="shared" si="247"/>
        <v>0</v>
      </c>
      <c r="AA300" s="62">
        <f t="shared" si="247"/>
        <v>109224</v>
      </c>
      <c r="AB300" s="62">
        <f>SUM(AB301:AB304)</f>
        <v>0</v>
      </c>
      <c r="AC300" s="62">
        <f>SUM(AC301:AC304)</f>
        <v>109224</v>
      </c>
    </row>
    <row r="301" spans="1:35" s="25" customFormat="1" ht="24">
      <c r="A301" s="49"/>
      <c r="B301" s="206"/>
      <c r="C301" s="201">
        <v>2510</v>
      </c>
      <c r="D301" s="36" t="s">
        <v>437</v>
      </c>
      <c r="E301" s="62">
        <v>13687</v>
      </c>
      <c r="F301" s="62"/>
      <c r="G301" s="62">
        <f t="shared" si="232"/>
        <v>13687</v>
      </c>
      <c r="H301" s="62"/>
      <c r="I301" s="62">
        <f>SUM(G301:H301)</f>
        <v>13687</v>
      </c>
      <c r="J301" s="62"/>
      <c r="K301" s="62">
        <f>SUM(I301:J301)</f>
        <v>13687</v>
      </c>
      <c r="L301" s="62"/>
      <c r="M301" s="62">
        <f>SUM(K301:L301)</f>
        <v>13687</v>
      </c>
      <c r="N301" s="62"/>
      <c r="O301" s="62">
        <f>SUM(M301:N301)</f>
        <v>13687</v>
      </c>
      <c r="P301" s="62"/>
      <c r="Q301" s="62">
        <f>SUM(O301:P301)</f>
        <v>13687</v>
      </c>
      <c r="R301" s="62"/>
      <c r="S301" s="62">
        <f>SUM(Q301:R301)</f>
        <v>13687</v>
      </c>
      <c r="T301" s="62"/>
      <c r="U301" s="62">
        <f>SUM(S301:T301)</f>
        <v>13687</v>
      </c>
      <c r="V301" s="62"/>
      <c r="W301" s="62">
        <f>SUM(U301:V301)</f>
        <v>13687</v>
      </c>
      <c r="X301" s="62"/>
      <c r="Y301" s="62">
        <f>SUM(W301:X301)</f>
        <v>13687</v>
      </c>
      <c r="Z301" s="62"/>
      <c r="AA301" s="62">
        <f>SUM(Y301:Z301)</f>
        <v>13687</v>
      </c>
      <c r="AB301" s="62"/>
      <c r="AC301" s="62">
        <f>SUM(AA301:AB301)</f>
        <v>13687</v>
      </c>
      <c r="AH301" s="79"/>
      <c r="AI301" s="79"/>
    </row>
    <row r="302" spans="1:29" s="25" customFormat="1" ht="21" customHeight="1">
      <c r="A302" s="49"/>
      <c r="B302" s="206"/>
      <c r="C302" s="201">
        <v>4300</v>
      </c>
      <c r="D302" s="36" t="s">
        <v>75</v>
      </c>
      <c r="E302" s="62">
        <v>95537</v>
      </c>
      <c r="F302" s="62"/>
      <c r="G302" s="62">
        <f t="shared" si="232"/>
        <v>95537</v>
      </c>
      <c r="H302" s="62"/>
      <c r="I302" s="62">
        <f>SUM(G302:H302)</f>
        <v>95537</v>
      </c>
      <c r="J302" s="62">
        <f>-42185-28357</f>
        <v>-70542</v>
      </c>
      <c r="K302" s="62">
        <f>SUM(I302:J302)</f>
        <v>24995</v>
      </c>
      <c r="L302" s="62"/>
      <c r="M302" s="62">
        <f>SUM(K302:L302)</f>
        <v>24995</v>
      </c>
      <c r="N302" s="62"/>
      <c r="O302" s="62">
        <f>SUM(M302:N302)</f>
        <v>24995</v>
      </c>
      <c r="P302" s="62"/>
      <c r="Q302" s="62">
        <f>SUM(O302:P302)</f>
        <v>24995</v>
      </c>
      <c r="R302" s="62"/>
      <c r="S302" s="62">
        <f>SUM(Q302:R302)</f>
        <v>24995</v>
      </c>
      <c r="T302" s="62"/>
      <c r="U302" s="62">
        <f>SUM(S302:T302)</f>
        <v>24995</v>
      </c>
      <c r="V302" s="62"/>
      <c r="W302" s="62">
        <f>SUM(U302:V302)</f>
        <v>24995</v>
      </c>
      <c r="X302" s="62"/>
      <c r="Y302" s="62">
        <f>SUM(W302:X302)</f>
        <v>24995</v>
      </c>
      <c r="Z302" s="62"/>
      <c r="AA302" s="62">
        <f>SUM(Y302:Z302)</f>
        <v>24995</v>
      </c>
      <c r="AB302" s="62"/>
      <c r="AC302" s="62">
        <f>SUM(AA302:AB302)</f>
        <v>24995</v>
      </c>
    </row>
    <row r="303" spans="1:29" s="25" customFormat="1" ht="21" customHeight="1">
      <c r="A303" s="49"/>
      <c r="B303" s="206"/>
      <c r="C303" s="201">
        <v>4410</v>
      </c>
      <c r="D303" s="36" t="s">
        <v>85</v>
      </c>
      <c r="E303" s="62"/>
      <c r="F303" s="62"/>
      <c r="G303" s="62"/>
      <c r="H303" s="62"/>
      <c r="I303" s="62">
        <v>0</v>
      </c>
      <c r="J303" s="62">
        <v>28357</v>
      </c>
      <c r="K303" s="62">
        <f>SUM(I303:J303)</f>
        <v>28357</v>
      </c>
      <c r="L303" s="62"/>
      <c r="M303" s="62">
        <f>SUM(K303:L303)</f>
        <v>28357</v>
      </c>
      <c r="N303" s="62"/>
      <c r="O303" s="62">
        <f>SUM(M303:N303)</f>
        <v>28357</v>
      </c>
      <c r="P303" s="62"/>
      <c r="Q303" s="62">
        <f>SUM(O303:P303)</f>
        <v>28357</v>
      </c>
      <c r="R303" s="62"/>
      <c r="S303" s="62">
        <f>SUM(Q303:R303)</f>
        <v>28357</v>
      </c>
      <c r="T303" s="62"/>
      <c r="U303" s="62">
        <f>SUM(S303:T303)</f>
        <v>28357</v>
      </c>
      <c r="V303" s="62"/>
      <c r="W303" s="62">
        <f>SUM(U303:V303)</f>
        <v>28357</v>
      </c>
      <c r="X303" s="62"/>
      <c r="Y303" s="62">
        <f>SUM(W303:X303)</f>
        <v>28357</v>
      </c>
      <c r="Z303" s="62"/>
      <c r="AA303" s="62">
        <f>SUM(Y303:Z303)</f>
        <v>28357</v>
      </c>
      <c r="AB303" s="62"/>
      <c r="AC303" s="62">
        <f>SUM(AA303:AB303)</f>
        <v>28357</v>
      </c>
    </row>
    <row r="304" spans="1:29" s="25" customFormat="1" ht="25.5" customHeight="1">
      <c r="A304" s="49"/>
      <c r="B304" s="206"/>
      <c r="C304" s="201">
        <v>4700</v>
      </c>
      <c r="D304" s="36" t="s">
        <v>225</v>
      </c>
      <c r="E304" s="62"/>
      <c r="F304" s="62"/>
      <c r="G304" s="62"/>
      <c r="H304" s="62"/>
      <c r="I304" s="62">
        <v>0</v>
      </c>
      <c r="J304" s="62">
        <v>42185</v>
      </c>
      <c r="K304" s="62">
        <f>SUM(I304:J304)</f>
        <v>42185</v>
      </c>
      <c r="L304" s="62"/>
      <c r="M304" s="62">
        <f>SUM(K304:L304)</f>
        <v>42185</v>
      </c>
      <c r="N304" s="62"/>
      <c r="O304" s="62">
        <f>SUM(M304:N304)</f>
        <v>42185</v>
      </c>
      <c r="P304" s="62"/>
      <c r="Q304" s="62">
        <f>SUM(O304:P304)</f>
        <v>42185</v>
      </c>
      <c r="R304" s="62"/>
      <c r="S304" s="62">
        <f>SUM(Q304:R304)</f>
        <v>42185</v>
      </c>
      <c r="T304" s="62"/>
      <c r="U304" s="62">
        <f>SUM(S304:T304)</f>
        <v>42185</v>
      </c>
      <c r="V304" s="62"/>
      <c r="W304" s="62">
        <f>SUM(U304:V304)</f>
        <v>42185</v>
      </c>
      <c r="X304" s="62"/>
      <c r="Y304" s="62">
        <f>SUM(W304:X304)</f>
        <v>42185</v>
      </c>
      <c r="Z304" s="62"/>
      <c r="AA304" s="62">
        <f>SUM(Y304:Z304)</f>
        <v>42185</v>
      </c>
      <c r="AB304" s="62"/>
      <c r="AC304" s="62">
        <f>SUM(AA304:AB304)</f>
        <v>42185</v>
      </c>
    </row>
    <row r="305" spans="1:29" s="25" customFormat="1" ht="21" customHeight="1">
      <c r="A305" s="49"/>
      <c r="B305" s="206">
        <v>80148</v>
      </c>
      <c r="C305" s="201"/>
      <c r="D305" s="36" t="s">
        <v>223</v>
      </c>
      <c r="E305" s="62">
        <f aca="true" t="shared" si="248" ref="E305:W305">SUM(E306:E315)</f>
        <v>257225</v>
      </c>
      <c r="F305" s="62">
        <f t="shared" si="248"/>
        <v>0</v>
      </c>
      <c r="G305" s="62">
        <f t="shared" si="248"/>
        <v>257225</v>
      </c>
      <c r="H305" s="62">
        <f t="shared" si="248"/>
        <v>0</v>
      </c>
      <c r="I305" s="62">
        <f t="shared" si="248"/>
        <v>257225</v>
      </c>
      <c r="J305" s="62">
        <f t="shared" si="248"/>
        <v>3001</v>
      </c>
      <c r="K305" s="62">
        <f t="shared" si="248"/>
        <v>260226</v>
      </c>
      <c r="L305" s="62">
        <f t="shared" si="248"/>
        <v>0</v>
      </c>
      <c r="M305" s="62">
        <f t="shared" si="248"/>
        <v>260226</v>
      </c>
      <c r="N305" s="62">
        <f t="shared" si="248"/>
        <v>0</v>
      </c>
      <c r="O305" s="62">
        <f t="shared" si="248"/>
        <v>260226</v>
      </c>
      <c r="P305" s="62">
        <f t="shared" si="248"/>
        <v>0</v>
      </c>
      <c r="Q305" s="62">
        <f t="shared" si="248"/>
        <v>260226</v>
      </c>
      <c r="R305" s="62">
        <f t="shared" si="248"/>
        <v>0</v>
      </c>
      <c r="S305" s="62">
        <f t="shared" si="248"/>
        <v>260226</v>
      </c>
      <c r="T305" s="62">
        <f t="shared" si="248"/>
        <v>0</v>
      </c>
      <c r="U305" s="62">
        <f t="shared" si="248"/>
        <v>260226</v>
      </c>
      <c r="V305" s="62">
        <f t="shared" si="248"/>
        <v>0</v>
      </c>
      <c r="W305" s="62">
        <f t="shared" si="248"/>
        <v>260226</v>
      </c>
      <c r="X305" s="62">
        <f aca="true" t="shared" si="249" ref="X305:AC305">SUM(X306:X315)</f>
        <v>0</v>
      </c>
      <c r="Y305" s="62">
        <f t="shared" si="249"/>
        <v>260226</v>
      </c>
      <c r="Z305" s="62">
        <f t="shared" si="249"/>
        <v>0</v>
      </c>
      <c r="AA305" s="62">
        <f t="shared" si="249"/>
        <v>260226</v>
      </c>
      <c r="AB305" s="62">
        <f t="shared" si="249"/>
        <v>0</v>
      </c>
      <c r="AC305" s="62">
        <f t="shared" si="249"/>
        <v>260226</v>
      </c>
    </row>
    <row r="306" spans="1:29" s="25" customFormat="1" ht="23.25" customHeight="1">
      <c r="A306" s="49"/>
      <c r="B306" s="206"/>
      <c r="C306" s="66">
        <v>3020</v>
      </c>
      <c r="D306" s="36" t="s">
        <v>159</v>
      </c>
      <c r="E306" s="62">
        <v>185</v>
      </c>
      <c r="F306" s="62"/>
      <c r="G306" s="62">
        <f t="shared" si="232"/>
        <v>185</v>
      </c>
      <c r="H306" s="62"/>
      <c r="I306" s="62">
        <f aca="true" t="shared" si="250" ref="I306:I315">SUM(G306:H306)</f>
        <v>185</v>
      </c>
      <c r="J306" s="62"/>
      <c r="K306" s="62">
        <f aca="true" t="shared" si="251" ref="K306:K315">SUM(I306:J306)</f>
        <v>185</v>
      </c>
      <c r="L306" s="62"/>
      <c r="M306" s="62">
        <f aca="true" t="shared" si="252" ref="M306:M315">SUM(K306:L306)</f>
        <v>185</v>
      </c>
      <c r="N306" s="62"/>
      <c r="O306" s="62">
        <f aca="true" t="shared" si="253" ref="O306:O315">SUM(M306:N306)</f>
        <v>185</v>
      </c>
      <c r="P306" s="62"/>
      <c r="Q306" s="62">
        <f aca="true" t="shared" si="254" ref="Q306:Q315">SUM(O306:P306)</f>
        <v>185</v>
      </c>
      <c r="R306" s="62"/>
      <c r="S306" s="62">
        <f aca="true" t="shared" si="255" ref="S306:S315">SUM(Q306:R306)</f>
        <v>185</v>
      </c>
      <c r="T306" s="62"/>
      <c r="U306" s="62">
        <f aca="true" t="shared" si="256" ref="U306:U315">SUM(S306:T306)</f>
        <v>185</v>
      </c>
      <c r="V306" s="62"/>
      <c r="W306" s="62">
        <f aca="true" t="shared" si="257" ref="W306:W315">SUM(U306:V306)</f>
        <v>185</v>
      </c>
      <c r="X306" s="62"/>
      <c r="Y306" s="62">
        <f aca="true" t="shared" si="258" ref="Y306:Y315">SUM(W306:X306)</f>
        <v>185</v>
      </c>
      <c r="Z306" s="62"/>
      <c r="AA306" s="62">
        <f aca="true" t="shared" si="259" ref="AA306:AA315">SUM(Y306:Z306)</f>
        <v>185</v>
      </c>
      <c r="AB306" s="62"/>
      <c r="AC306" s="62">
        <f aca="true" t="shared" si="260" ref="AC306:AC315">SUM(AA306:AB306)</f>
        <v>185</v>
      </c>
    </row>
    <row r="307" spans="1:31" s="25" customFormat="1" ht="21" customHeight="1">
      <c r="A307" s="49"/>
      <c r="B307" s="206"/>
      <c r="C307" s="66">
        <v>4010</v>
      </c>
      <c r="D307" s="36" t="s">
        <v>79</v>
      </c>
      <c r="E307" s="62">
        <v>103619</v>
      </c>
      <c r="F307" s="62"/>
      <c r="G307" s="62">
        <f t="shared" si="232"/>
        <v>103619</v>
      </c>
      <c r="H307" s="62"/>
      <c r="I307" s="62">
        <f t="shared" si="250"/>
        <v>103619</v>
      </c>
      <c r="J307" s="62">
        <v>134</v>
      </c>
      <c r="K307" s="62">
        <f t="shared" si="251"/>
        <v>103753</v>
      </c>
      <c r="L307" s="62"/>
      <c r="M307" s="62">
        <f t="shared" si="252"/>
        <v>103753</v>
      </c>
      <c r="N307" s="62"/>
      <c r="O307" s="62">
        <f t="shared" si="253"/>
        <v>103753</v>
      </c>
      <c r="P307" s="62"/>
      <c r="Q307" s="62">
        <f t="shared" si="254"/>
        <v>103753</v>
      </c>
      <c r="R307" s="62"/>
      <c r="S307" s="62">
        <f t="shared" si="255"/>
        <v>103753</v>
      </c>
      <c r="T307" s="62"/>
      <c r="U307" s="62">
        <f t="shared" si="256"/>
        <v>103753</v>
      </c>
      <c r="V307" s="62"/>
      <c r="W307" s="62">
        <f t="shared" si="257"/>
        <v>103753</v>
      </c>
      <c r="X307" s="62"/>
      <c r="Y307" s="62">
        <f t="shared" si="258"/>
        <v>103753</v>
      </c>
      <c r="Z307" s="62"/>
      <c r="AA307" s="62">
        <f t="shared" si="259"/>
        <v>103753</v>
      </c>
      <c r="AB307" s="62"/>
      <c r="AC307" s="62">
        <f t="shared" si="260"/>
        <v>103753</v>
      </c>
      <c r="AD307" s="79"/>
      <c r="AE307" s="79"/>
    </row>
    <row r="308" spans="1:31" s="25" customFormat="1" ht="21" customHeight="1">
      <c r="A308" s="49"/>
      <c r="B308" s="206"/>
      <c r="C308" s="66">
        <v>4040</v>
      </c>
      <c r="D308" s="36" t="s">
        <v>80</v>
      </c>
      <c r="E308" s="62">
        <v>7647</v>
      </c>
      <c r="F308" s="62"/>
      <c r="G308" s="62">
        <f t="shared" si="232"/>
        <v>7647</v>
      </c>
      <c r="H308" s="62"/>
      <c r="I308" s="62">
        <f t="shared" si="250"/>
        <v>7647</v>
      </c>
      <c r="J308" s="62">
        <v>-133</v>
      </c>
      <c r="K308" s="62">
        <f t="shared" si="251"/>
        <v>7514</v>
      </c>
      <c r="L308" s="62"/>
      <c r="M308" s="62">
        <f t="shared" si="252"/>
        <v>7514</v>
      </c>
      <c r="N308" s="62"/>
      <c r="O308" s="62">
        <f t="shared" si="253"/>
        <v>7514</v>
      </c>
      <c r="P308" s="62"/>
      <c r="Q308" s="62">
        <f t="shared" si="254"/>
        <v>7514</v>
      </c>
      <c r="R308" s="62"/>
      <c r="S308" s="62">
        <f t="shared" si="255"/>
        <v>7514</v>
      </c>
      <c r="T308" s="62"/>
      <c r="U308" s="62">
        <f t="shared" si="256"/>
        <v>7514</v>
      </c>
      <c r="V308" s="62"/>
      <c r="W308" s="62">
        <f t="shared" si="257"/>
        <v>7514</v>
      </c>
      <c r="X308" s="62"/>
      <c r="Y308" s="62">
        <f t="shared" si="258"/>
        <v>7514</v>
      </c>
      <c r="Z308" s="62"/>
      <c r="AA308" s="62">
        <f t="shared" si="259"/>
        <v>7514</v>
      </c>
      <c r="AB308" s="62"/>
      <c r="AC308" s="62">
        <f t="shared" si="260"/>
        <v>7514</v>
      </c>
      <c r="AD308" s="79"/>
      <c r="AE308" s="79"/>
    </row>
    <row r="309" spans="1:31" s="25" customFormat="1" ht="21" customHeight="1">
      <c r="A309" s="49"/>
      <c r="B309" s="206"/>
      <c r="C309" s="66">
        <v>4110</v>
      </c>
      <c r="D309" s="36" t="s">
        <v>81</v>
      </c>
      <c r="E309" s="62">
        <v>17383</v>
      </c>
      <c r="F309" s="62"/>
      <c r="G309" s="62">
        <f t="shared" si="232"/>
        <v>17383</v>
      </c>
      <c r="H309" s="62"/>
      <c r="I309" s="62">
        <f t="shared" si="250"/>
        <v>17383</v>
      </c>
      <c r="J309" s="62"/>
      <c r="K309" s="62">
        <f t="shared" si="251"/>
        <v>17383</v>
      </c>
      <c r="L309" s="62"/>
      <c r="M309" s="62">
        <f t="shared" si="252"/>
        <v>17383</v>
      </c>
      <c r="N309" s="62"/>
      <c r="O309" s="62">
        <f t="shared" si="253"/>
        <v>17383</v>
      </c>
      <c r="P309" s="62"/>
      <c r="Q309" s="62">
        <f t="shared" si="254"/>
        <v>17383</v>
      </c>
      <c r="R309" s="62"/>
      <c r="S309" s="62">
        <f t="shared" si="255"/>
        <v>17383</v>
      </c>
      <c r="T309" s="62"/>
      <c r="U309" s="62">
        <f t="shared" si="256"/>
        <v>17383</v>
      </c>
      <c r="V309" s="62"/>
      <c r="W309" s="62">
        <f t="shared" si="257"/>
        <v>17383</v>
      </c>
      <c r="X309" s="62"/>
      <c r="Y309" s="62">
        <f t="shared" si="258"/>
        <v>17383</v>
      </c>
      <c r="Z309" s="62"/>
      <c r="AA309" s="62">
        <f t="shared" si="259"/>
        <v>17383</v>
      </c>
      <c r="AB309" s="62"/>
      <c r="AC309" s="62">
        <f t="shared" si="260"/>
        <v>17383</v>
      </c>
      <c r="AD309" s="79"/>
      <c r="AE309" s="79"/>
    </row>
    <row r="310" spans="1:31" s="25" customFormat="1" ht="21" customHeight="1">
      <c r="A310" s="49"/>
      <c r="B310" s="206"/>
      <c r="C310" s="66">
        <v>4120</v>
      </c>
      <c r="D310" s="36" t="s">
        <v>82</v>
      </c>
      <c r="E310" s="62">
        <v>2895</v>
      </c>
      <c r="F310" s="62"/>
      <c r="G310" s="62">
        <f t="shared" si="232"/>
        <v>2895</v>
      </c>
      <c r="H310" s="62"/>
      <c r="I310" s="62">
        <f t="shared" si="250"/>
        <v>2895</v>
      </c>
      <c r="J310" s="62"/>
      <c r="K310" s="62">
        <f t="shared" si="251"/>
        <v>2895</v>
      </c>
      <c r="L310" s="62"/>
      <c r="M310" s="62">
        <f t="shared" si="252"/>
        <v>2895</v>
      </c>
      <c r="N310" s="62"/>
      <c r="O310" s="62">
        <f t="shared" si="253"/>
        <v>2895</v>
      </c>
      <c r="P310" s="62"/>
      <c r="Q310" s="62">
        <f t="shared" si="254"/>
        <v>2895</v>
      </c>
      <c r="R310" s="62"/>
      <c r="S310" s="62">
        <f t="shared" si="255"/>
        <v>2895</v>
      </c>
      <c r="T310" s="62"/>
      <c r="U310" s="62">
        <f t="shared" si="256"/>
        <v>2895</v>
      </c>
      <c r="V310" s="62"/>
      <c r="W310" s="62">
        <f t="shared" si="257"/>
        <v>2895</v>
      </c>
      <c r="X310" s="62"/>
      <c r="Y310" s="62">
        <f t="shared" si="258"/>
        <v>2895</v>
      </c>
      <c r="Z310" s="62"/>
      <c r="AA310" s="62">
        <f t="shared" si="259"/>
        <v>2895</v>
      </c>
      <c r="AB310" s="62"/>
      <c r="AC310" s="62">
        <f t="shared" si="260"/>
        <v>2895</v>
      </c>
      <c r="AD310" s="79"/>
      <c r="AE310" s="79"/>
    </row>
    <row r="311" spans="1:31" s="25" customFormat="1" ht="21" customHeight="1">
      <c r="A311" s="49"/>
      <c r="B311" s="206"/>
      <c r="C311" s="66">
        <v>4170</v>
      </c>
      <c r="D311" s="36" t="s">
        <v>161</v>
      </c>
      <c r="E311" s="62">
        <v>4000</v>
      </c>
      <c r="F311" s="62"/>
      <c r="G311" s="62">
        <f t="shared" si="232"/>
        <v>4000</v>
      </c>
      <c r="H311" s="62"/>
      <c r="I311" s="62">
        <f t="shared" si="250"/>
        <v>4000</v>
      </c>
      <c r="J311" s="62"/>
      <c r="K311" s="62">
        <f t="shared" si="251"/>
        <v>4000</v>
      </c>
      <c r="L311" s="62"/>
      <c r="M311" s="62">
        <f t="shared" si="252"/>
        <v>4000</v>
      </c>
      <c r="N311" s="62"/>
      <c r="O311" s="62">
        <f t="shared" si="253"/>
        <v>4000</v>
      </c>
      <c r="P311" s="62"/>
      <c r="Q311" s="62">
        <f t="shared" si="254"/>
        <v>4000</v>
      </c>
      <c r="R311" s="62"/>
      <c r="S311" s="62">
        <f t="shared" si="255"/>
        <v>4000</v>
      </c>
      <c r="T311" s="62"/>
      <c r="U311" s="62">
        <f t="shared" si="256"/>
        <v>4000</v>
      </c>
      <c r="V311" s="62"/>
      <c r="W311" s="62">
        <f t="shared" si="257"/>
        <v>4000</v>
      </c>
      <c r="X311" s="62"/>
      <c r="Y311" s="62">
        <f t="shared" si="258"/>
        <v>4000</v>
      </c>
      <c r="Z311" s="62"/>
      <c r="AA311" s="62">
        <f t="shared" si="259"/>
        <v>4000</v>
      </c>
      <c r="AB311" s="62"/>
      <c r="AC311" s="62">
        <f t="shared" si="260"/>
        <v>4000</v>
      </c>
      <c r="AD311" s="79"/>
      <c r="AE311" s="79"/>
    </row>
    <row r="312" spans="1:29" s="25" customFormat="1" ht="21" customHeight="1">
      <c r="A312" s="49"/>
      <c r="B312" s="206"/>
      <c r="C312" s="66">
        <v>4210</v>
      </c>
      <c r="D312" s="36" t="s">
        <v>68</v>
      </c>
      <c r="E312" s="62">
        <v>3990</v>
      </c>
      <c r="F312" s="62"/>
      <c r="G312" s="62">
        <f t="shared" si="232"/>
        <v>3990</v>
      </c>
      <c r="H312" s="62"/>
      <c r="I312" s="62">
        <f t="shared" si="250"/>
        <v>3990</v>
      </c>
      <c r="J312" s="62">
        <v>3000</v>
      </c>
      <c r="K312" s="62">
        <f t="shared" si="251"/>
        <v>6990</v>
      </c>
      <c r="L312" s="62"/>
      <c r="M312" s="62">
        <f t="shared" si="252"/>
        <v>6990</v>
      </c>
      <c r="N312" s="62"/>
      <c r="O312" s="62">
        <f t="shared" si="253"/>
        <v>6990</v>
      </c>
      <c r="P312" s="62"/>
      <c r="Q312" s="62">
        <f t="shared" si="254"/>
        <v>6990</v>
      </c>
      <c r="R312" s="62"/>
      <c r="S312" s="62">
        <f t="shared" si="255"/>
        <v>6990</v>
      </c>
      <c r="T312" s="62"/>
      <c r="U312" s="62">
        <f t="shared" si="256"/>
        <v>6990</v>
      </c>
      <c r="V312" s="62"/>
      <c r="W312" s="62">
        <f t="shared" si="257"/>
        <v>6990</v>
      </c>
      <c r="X312" s="62"/>
      <c r="Y312" s="62">
        <f t="shared" si="258"/>
        <v>6990</v>
      </c>
      <c r="Z312" s="62"/>
      <c r="AA312" s="62">
        <f t="shared" si="259"/>
        <v>6990</v>
      </c>
      <c r="AB312" s="62"/>
      <c r="AC312" s="62">
        <f t="shared" si="260"/>
        <v>6990</v>
      </c>
    </row>
    <row r="313" spans="1:29" s="25" customFormat="1" ht="21" customHeight="1">
      <c r="A313" s="49"/>
      <c r="B313" s="206"/>
      <c r="C313" s="66">
        <v>4220</v>
      </c>
      <c r="D313" s="14" t="s">
        <v>149</v>
      </c>
      <c r="E313" s="62">
        <v>112000</v>
      </c>
      <c r="F313" s="62"/>
      <c r="G313" s="62">
        <f t="shared" si="232"/>
        <v>112000</v>
      </c>
      <c r="H313" s="62"/>
      <c r="I313" s="62">
        <f t="shared" si="250"/>
        <v>112000</v>
      </c>
      <c r="J313" s="62"/>
      <c r="K313" s="62">
        <f t="shared" si="251"/>
        <v>112000</v>
      </c>
      <c r="L313" s="62"/>
      <c r="M313" s="62">
        <f t="shared" si="252"/>
        <v>112000</v>
      </c>
      <c r="N313" s="62"/>
      <c r="O313" s="62">
        <f t="shared" si="253"/>
        <v>112000</v>
      </c>
      <c r="P313" s="62"/>
      <c r="Q313" s="62">
        <f t="shared" si="254"/>
        <v>112000</v>
      </c>
      <c r="R313" s="62"/>
      <c r="S313" s="62">
        <f t="shared" si="255"/>
        <v>112000</v>
      </c>
      <c r="T313" s="62"/>
      <c r="U313" s="62">
        <f t="shared" si="256"/>
        <v>112000</v>
      </c>
      <c r="V313" s="62"/>
      <c r="W313" s="62">
        <f t="shared" si="257"/>
        <v>112000</v>
      </c>
      <c r="X313" s="62"/>
      <c r="Y313" s="62">
        <f t="shared" si="258"/>
        <v>112000</v>
      </c>
      <c r="Z313" s="62"/>
      <c r="AA313" s="62">
        <f t="shared" si="259"/>
        <v>112000</v>
      </c>
      <c r="AB313" s="62"/>
      <c r="AC313" s="62">
        <f t="shared" si="260"/>
        <v>112000</v>
      </c>
    </row>
    <row r="314" spans="1:29" s="25" customFormat="1" ht="21" customHeight="1">
      <c r="A314" s="49"/>
      <c r="B314" s="206"/>
      <c r="C314" s="66">
        <v>4280</v>
      </c>
      <c r="D314" s="36" t="s">
        <v>432</v>
      </c>
      <c r="E314" s="62">
        <v>160</v>
      </c>
      <c r="F314" s="62"/>
      <c r="G314" s="62">
        <f t="shared" si="232"/>
        <v>160</v>
      </c>
      <c r="H314" s="62"/>
      <c r="I314" s="62">
        <f t="shared" si="250"/>
        <v>160</v>
      </c>
      <c r="J314" s="62"/>
      <c r="K314" s="62">
        <f t="shared" si="251"/>
        <v>160</v>
      </c>
      <c r="L314" s="62"/>
      <c r="M314" s="62">
        <f t="shared" si="252"/>
        <v>160</v>
      </c>
      <c r="N314" s="62"/>
      <c r="O314" s="62">
        <f t="shared" si="253"/>
        <v>160</v>
      </c>
      <c r="P314" s="62"/>
      <c r="Q314" s="62">
        <f t="shared" si="254"/>
        <v>160</v>
      </c>
      <c r="R314" s="62"/>
      <c r="S314" s="62">
        <f t="shared" si="255"/>
        <v>160</v>
      </c>
      <c r="T314" s="62"/>
      <c r="U314" s="62">
        <f t="shared" si="256"/>
        <v>160</v>
      </c>
      <c r="V314" s="62"/>
      <c r="W314" s="62">
        <f t="shared" si="257"/>
        <v>160</v>
      </c>
      <c r="X314" s="62"/>
      <c r="Y314" s="62">
        <f t="shared" si="258"/>
        <v>160</v>
      </c>
      <c r="Z314" s="62"/>
      <c r="AA314" s="62">
        <f t="shared" si="259"/>
        <v>160</v>
      </c>
      <c r="AB314" s="62"/>
      <c r="AC314" s="62">
        <f t="shared" si="260"/>
        <v>160</v>
      </c>
    </row>
    <row r="315" spans="1:29" s="25" customFormat="1" ht="24" customHeight="1">
      <c r="A315" s="49"/>
      <c r="B315" s="206"/>
      <c r="C315" s="66">
        <v>4440</v>
      </c>
      <c r="D315" s="36" t="s">
        <v>83</v>
      </c>
      <c r="E315" s="62">
        <v>5346</v>
      </c>
      <c r="F315" s="62"/>
      <c r="G315" s="62">
        <f t="shared" si="232"/>
        <v>5346</v>
      </c>
      <c r="H315" s="62"/>
      <c r="I315" s="62">
        <f t="shared" si="250"/>
        <v>5346</v>
      </c>
      <c r="J315" s="62"/>
      <c r="K315" s="62">
        <f t="shared" si="251"/>
        <v>5346</v>
      </c>
      <c r="L315" s="62"/>
      <c r="M315" s="62">
        <f t="shared" si="252"/>
        <v>5346</v>
      </c>
      <c r="N315" s="62"/>
      <c r="O315" s="62">
        <f t="shared" si="253"/>
        <v>5346</v>
      </c>
      <c r="P315" s="62"/>
      <c r="Q315" s="62">
        <f t="shared" si="254"/>
        <v>5346</v>
      </c>
      <c r="R315" s="62"/>
      <c r="S315" s="62">
        <f t="shared" si="255"/>
        <v>5346</v>
      </c>
      <c r="T315" s="62"/>
      <c r="U315" s="62">
        <f t="shared" si="256"/>
        <v>5346</v>
      </c>
      <c r="V315" s="62"/>
      <c r="W315" s="62">
        <f t="shared" si="257"/>
        <v>5346</v>
      </c>
      <c r="X315" s="62"/>
      <c r="Y315" s="62">
        <f t="shared" si="258"/>
        <v>5346</v>
      </c>
      <c r="Z315" s="62"/>
      <c r="AA315" s="62">
        <f t="shared" si="259"/>
        <v>5346</v>
      </c>
      <c r="AB315" s="62"/>
      <c r="AC315" s="62">
        <f t="shared" si="260"/>
        <v>5346</v>
      </c>
    </row>
    <row r="316" spans="1:29" s="25" customFormat="1" ht="21" customHeight="1">
      <c r="A316" s="49"/>
      <c r="B316" s="63">
        <v>80195</v>
      </c>
      <c r="C316" s="49"/>
      <c r="D316" s="36" t="s">
        <v>6</v>
      </c>
      <c r="E316" s="62">
        <f aca="true" t="shared" si="261" ref="E316:W316">SUM(E317:E321)</f>
        <v>231670</v>
      </c>
      <c r="F316" s="62">
        <f t="shared" si="261"/>
        <v>0</v>
      </c>
      <c r="G316" s="62">
        <f t="shared" si="261"/>
        <v>231670</v>
      </c>
      <c r="H316" s="62">
        <f t="shared" si="261"/>
        <v>0</v>
      </c>
      <c r="I316" s="62">
        <f t="shared" si="261"/>
        <v>231670</v>
      </c>
      <c r="J316" s="62">
        <f t="shared" si="261"/>
        <v>0</v>
      </c>
      <c r="K316" s="62">
        <f t="shared" si="261"/>
        <v>231670</v>
      </c>
      <c r="L316" s="62">
        <f t="shared" si="261"/>
        <v>0</v>
      </c>
      <c r="M316" s="62">
        <f t="shared" si="261"/>
        <v>231670</v>
      </c>
      <c r="N316" s="62">
        <f t="shared" si="261"/>
        <v>0</v>
      </c>
      <c r="O316" s="62">
        <f t="shared" si="261"/>
        <v>231670</v>
      </c>
      <c r="P316" s="62">
        <f t="shared" si="261"/>
        <v>0</v>
      </c>
      <c r="Q316" s="62">
        <f t="shared" si="261"/>
        <v>231670</v>
      </c>
      <c r="R316" s="62">
        <f t="shared" si="261"/>
        <v>1500</v>
      </c>
      <c r="S316" s="62">
        <f t="shared" si="261"/>
        <v>233170</v>
      </c>
      <c r="T316" s="62">
        <f t="shared" si="261"/>
        <v>0</v>
      </c>
      <c r="U316" s="62">
        <f t="shared" si="261"/>
        <v>233170</v>
      </c>
      <c r="V316" s="62">
        <f t="shared" si="261"/>
        <v>85</v>
      </c>
      <c r="W316" s="62">
        <f t="shared" si="261"/>
        <v>233255</v>
      </c>
      <c r="X316" s="62">
        <f aca="true" t="shared" si="262" ref="X316:AC316">SUM(X317:X321)</f>
        <v>0</v>
      </c>
      <c r="Y316" s="62">
        <f t="shared" si="262"/>
        <v>233255</v>
      </c>
      <c r="Z316" s="62">
        <f t="shared" si="262"/>
        <v>0</v>
      </c>
      <c r="AA316" s="62">
        <f t="shared" si="262"/>
        <v>233255</v>
      </c>
      <c r="AB316" s="62">
        <f t="shared" si="262"/>
        <v>-50986</v>
      </c>
      <c r="AC316" s="62">
        <f t="shared" si="262"/>
        <v>182269</v>
      </c>
    </row>
    <row r="317" spans="1:31" s="25" customFormat="1" ht="21" customHeight="1">
      <c r="A317" s="49"/>
      <c r="B317" s="63"/>
      <c r="C317" s="49">
        <v>4170</v>
      </c>
      <c r="D317" s="36" t="s">
        <v>161</v>
      </c>
      <c r="E317" s="62">
        <v>500</v>
      </c>
      <c r="F317" s="62"/>
      <c r="G317" s="62">
        <f t="shared" si="232"/>
        <v>500</v>
      </c>
      <c r="H317" s="62"/>
      <c r="I317" s="62">
        <f>SUM(G317:H317)</f>
        <v>500</v>
      </c>
      <c r="J317" s="62"/>
      <c r="K317" s="62">
        <f>SUM(I317:J317)</f>
        <v>500</v>
      </c>
      <c r="L317" s="62"/>
      <c r="M317" s="62">
        <f>SUM(K317:L317)</f>
        <v>500</v>
      </c>
      <c r="N317" s="62"/>
      <c r="O317" s="62">
        <f>SUM(M317:N317)</f>
        <v>500</v>
      </c>
      <c r="P317" s="62"/>
      <c r="Q317" s="62">
        <f>SUM(O317:P317)</f>
        <v>500</v>
      </c>
      <c r="R317" s="62"/>
      <c r="S317" s="62">
        <f>SUM(Q317:R317)</f>
        <v>500</v>
      </c>
      <c r="T317" s="62"/>
      <c r="U317" s="62">
        <f>SUM(S317:T317)</f>
        <v>500</v>
      </c>
      <c r="V317" s="62"/>
      <c r="W317" s="62">
        <f>SUM(U317:V317)</f>
        <v>500</v>
      </c>
      <c r="X317" s="62"/>
      <c r="Y317" s="62">
        <f>SUM(W317:X317)</f>
        <v>500</v>
      </c>
      <c r="Z317" s="62"/>
      <c r="AA317" s="62">
        <f>SUM(Y317:Z317)</f>
        <v>500</v>
      </c>
      <c r="AB317" s="62"/>
      <c r="AC317" s="62">
        <f>SUM(AA317:AB317)</f>
        <v>500</v>
      </c>
      <c r="AD317" s="79"/>
      <c r="AE317" s="79"/>
    </row>
    <row r="318" spans="1:29" s="25" customFormat="1" ht="21" customHeight="1">
      <c r="A318" s="49"/>
      <c r="B318" s="63"/>
      <c r="C318" s="49">
        <v>4210</v>
      </c>
      <c r="D318" s="36" t="s">
        <v>68</v>
      </c>
      <c r="E318" s="62">
        <v>1100</v>
      </c>
      <c r="F318" s="62"/>
      <c r="G318" s="62">
        <f t="shared" si="232"/>
        <v>1100</v>
      </c>
      <c r="H318" s="62"/>
      <c r="I318" s="62">
        <f>SUM(G318:H318)</f>
        <v>1100</v>
      </c>
      <c r="J318" s="62"/>
      <c r="K318" s="62">
        <f>SUM(I318:J318)</f>
        <v>1100</v>
      </c>
      <c r="L318" s="62"/>
      <c r="M318" s="62">
        <f>SUM(K318:L318)</f>
        <v>1100</v>
      </c>
      <c r="N318" s="62"/>
      <c r="O318" s="62">
        <f>SUM(M318:N318)</f>
        <v>1100</v>
      </c>
      <c r="P318" s="62"/>
      <c r="Q318" s="62">
        <f>SUM(O318:P318)</f>
        <v>1100</v>
      </c>
      <c r="R318" s="62"/>
      <c r="S318" s="62">
        <f>SUM(Q318:R318)</f>
        <v>1100</v>
      </c>
      <c r="T318" s="62"/>
      <c r="U318" s="62">
        <f>SUM(S318:T318)</f>
        <v>1100</v>
      </c>
      <c r="V318" s="62">
        <v>85</v>
      </c>
      <c r="W318" s="62">
        <f>SUM(U318:V318)</f>
        <v>1185</v>
      </c>
      <c r="X318" s="62"/>
      <c r="Y318" s="62">
        <f>SUM(W318:X318)</f>
        <v>1185</v>
      </c>
      <c r="Z318" s="62"/>
      <c r="AA318" s="62">
        <f>SUM(Y318:Z318)</f>
        <v>1185</v>
      </c>
      <c r="AB318" s="62"/>
      <c r="AC318" s="62">
        <f>SUM(AA318:AB318)</f>
        <v>1185</v>
      </c>
    </row>
    <row r="319" spans="1:29" s="25" customFormat="1" ht="21" customHeight="1">
      <c r="A319" s="49"/>
      <c r="B319" s="63"/>
      <c r="C319" s="49">
        <v>4300</v>
      </c>
      <c r="D319" s="14" t="s">
        <v>75</v>
      </c>
      <c r="E319" s="52">
        <f>50986+5000</f>
        <v>55986</v>
      </c>
      <c r="F319" s="52"/>
      <c r="G319" s="62">
        <f t="shared" si="232"/>
        <v>55986</v>
      </c>
      <c r="H319" s="52"/>
      <c r="I319" s="62">
        <f>SUM(G319:H319)</f>
        <v>55986</v>
      </c>
      <c r="J319" s="52"/>
      <c r="K319" s="62">
        <f>SUM(I319:J319)</f>
        <v>55986</v>
      </c>
      <c r="L319" s="52"/>
      <c r="M319" s="62">
        <f>SUM(K319:L319)</f>
        <v>55986</v>
      </c>
      <c r="N319" s="52"/>
      <c r="O319" s="62">
        <f>SUM(M319:N319)</f>
        <v>55986</v>
      </c>
      <c r="P319" s="52"/>
      <c r="Q319" s="62">
        <f>SUM(O319:P319)</f>
        <v>55986</v>
      </c>
      <c r="R319" s="52"/>
      <c r="S319" s="62">
        <f>SUM(Q319:R319)</f>
        <v>55986</v>
      </c>
      <c r="T319" s="52"/>
      <c r="U319" s="62">
        <f>SUM(S319:T319)</f>
        <v>55986</v>
      </c>
      <c r="V319" s="52"/>
      <c r="W319" s="62">
        <f>SUM(U319:V319)</f>
        <v>55986</v>
      </c>
      <c r="X319" s="52"/>
      <c r="Y319" s="62">
        <f>SUM(W319:X319)</f>
        <v>55986</v>
      </c>
      <c r="Z319" s="52"/>
      <c r="AA319" s="62">
        <f>SUM(Y319:Z319)</f>
        <v>55986</v>
      </c>
      <c r="AB319" s="52">
        <v>-50986</v>
      </c>
      <c r="AC319" s="62">
        <f>SUM(AA319:AB319)</f>
        <v>5000</v>
      </c>
    </row>
    <row r="320" spans="1:29" s="25" customFormat="1" ht="21" customHeight="1">
      <c r="A320" s="49"/>
      <c r="B320" s="63"/>
      <c r="C320" s="201">
        <v>4430</v>
      </c>
      <c r="D320" s="36" t="s">
        <v>87</v>
      </c>
      <c r="E320" s="52"/>
      <c r="F320" s="52"/>
      <c r="G320" s="62"/>
      <c r="H320" s="52"/>
      <c r="I320" s="62"/>
      <c r="J320" s="52"/>
      <c r="K320" s="62"/>
      <c r="L320" s="52"/>
      <c r="M320" s="62"/>
      <c r="N320" s="52"/>
      <c r="O320" s="62"/>
      <c r="P320" s="52"/>
      <c r="Q320" s="62">
        <v>0</v>
      </c>
      <c r="R320" s="52">
        <v>1500</v>
      </c>
      <c r="S320" s="62">
        <f>SUM(Q320:R320)</f>
        <v>1500</v>
      </c>
      <c r="T320" s="52"/>
      <c r="U320" s="62">
        <f>SUM(S320:T320)</f>
        <v>1500</v>
      </c>
      <c r="V320" s="52"/>
      <c r="W320" s="62">
        <f>SUM(U320:V320)</f>
        <v>1500</v>
      </c>
      <c r="X320" s="52"/>
      <c r="Y320" s="62">
        <f>SUM(W320:X320)</f>
        <v>1500</v>
      </c>
      <c r="Z320" s="52"/>
      <c r="AA320" s="62">
        <f>SUM(Y320:Z320)</f>
        <v>1500</v>
      </c>
      <c r="AB320" s="52"/>
      <c r="AC320" s="62">
        <f>SUM(AA320:AB320)</f>
        <v>1500</v>
      </c>
    </row>
    <row r="321" spans="1:29" s="25" customFormat="1" ht="21" customHeight="1">
      <c r="A321" s="49"/>
      <c r="B321" s="63"/>
      <c r="C321" s="49">
        <v>4440</v>
      </c>
      <c r="D321" s="36" t="s">
        <v>83</v>
      </c>
      <c r="E321" s="62">
        <v>174084</v>
      </c>
      <c r="F321" s="62"/>
      <c r="G321" s="62">
        <f t="shared" si="232"/>
        <v>174084</v>
      </c>
      <c r="H321" s="62"/>
      <c r="I321" s="62">
        <f>SUM(G321:H321)</f>
        <v>174084</v>
      </c>
      <c r="J321" s="62"/>
      <c r="K321" s="62">
        <f>SUM(I321:J321)</f>
        <v>174084</v>
      </c>
      <c r="L321" s="62"/>
      <c r="M321" s="62">
        <f>SUM(K321:L321)</f>
        <v>174084</v>
      </c>
      <c r="N321" s="62"/>
      <c r="O321" s="62">
        <f>SUM(M321:N321)</f>
        <v>174084</v>
      </c>
      <c r="P321" s="62"/>
      <c r="Q321" s="62">
        <f>SUM(O321:P321)</f>
        <v>174084</v>
      </c>
      <c r="R321" s="62"/>
      <c r="S321" s="62">
        <f>SUM(Q321:R321)</f>
        <v>174084</v>
      </c>
      <c r="T321" s="62"/>
      <c r="U321" s="62">
        <f>SUM(S321:T321)</f>
        <v>174084</v>
      </c>
      <c r="V321" s="62"/>
      <c r="W321" s="62">
        <f>SUM(U321:V321)</f>
        <v>174084</v>
      </c>
      <c r="X321" s="62"/>
      <c r="Y321" s="62">
        <f>SUM(W321:X321)</f>
        <v>174084</v>
      </c>
      <c r="Z321" s="62"/>
      <c r="AA321" s="62">
        <f>SUM(Y321:Z321)</f>
        <v>174084</v>
      </c>
      <c r="AB321" s="62"/>
      <c r="AC321" s="62">
        <f>SUM(AA321:AB321)</f>
        <v>174084</v>
      </c>
    </row>
    <row r="322" spans="1:29" s="6" customFormat="1" ht="21" customHeight="1">
      <c r="A322" s="32" t="s">
        <v>442</v>
      </c>
      <c r="B322" s="33"/>
      <c r="C322" s="34"/>
      <c r="D322" s="35" t="s">
        <v>53</v>
      </c>
      <c r="E322" s="200">
        <f aca="true" t="shared" si="263" ref="E322:W322">SUM(E325,E336,E323)</f>
        <v>102408</v>
      </c>
      <c r="F322" s="200">
        <f t="shared" si="263"/>
        <v>-75000</v>
      </c>
      <c r="G322" s="200">
        <f t="shared" si="263"/>
        <v>97408</v>
      </c>
      <c r="H322" s="200">
        <f t="shared" si="263"/>
        <v>64010</v>
      </c>
      <c r="I322" s="200">
        <f t="shared" si="263"/>
        <v>161418</v>
      </c>
      <c r="J322" s="200">
        <f t="shared" si="263"/>
        <v>0</v>
      </c>
      <c r="K322" s="200">
        <f t="shared" si="263"/>
        <v>161418</v>
      </c>
      <c r="L322" s="200">
        <f t="shared" si="263"/>
        <v>0</v>
      </c>
      <c r="M322" s="200">
        <f t="shared" si="263"/>
        <v>161418</v>
      </c>
      <c r="N322" s="200">
        <f t="shared" si="263"/>
        <v>0</v>
      </c>
      <c r="O322" s="200">
        <f t="shared" si="263"/>
        <v>161418</v>
      </c>
      <c r="P322" s="200">
        <f t="shared" si="263"/>
        <v>0</v>
      </c>
      <c r="Q322" s="200">
        <f t="shared" si="263"/>
        <v>161418</v>
      </c>
      <c r="R322" s="200">
        <f t="shared" si="263"/>
        <v>0</v>
      </c>
      <c r="S322" s="200">
        <f t="shared" si="263"/>
        <v>161418</v>
      </c>
      <c r="T322" s="200">
        <f t="shared" si="263"/>
        <v>0</v>
      </c>
      <c r="U322" s="200">
        <f t="shared" si="263"/>
        <v>161418</v>
      </c>
      <c r="V322" s="200">
        <f t="shared" si="263"/>
        <v>0</v>
      </c>
      <c r="W322" s="200">
        <f t="shared" si="263"/>
        <v>161418</v>
      </c>
      <c r="X322" s="200">
        <f aca="true" t="shared" si="264" ref="X322:AC322">SUM(X325,X336,X323)</f>
        <v>0</v>
      </c>
      <c r="Y322" s="200">
        <f t="shared" si="264"/>
        <v>161418</v>
      </c>
      <c r="Z322" s="200">
        <f t="shared" si="264"/>
        <v>30736</v>
      </c>
      <c r="AA322" s="200">
        <f t="shared" si="264"/>
        <v>192154</v>
      </c>
      <c r="AB322" s="200">
        <f t="shared" si="264"/>
        <v>0</v>
      </c>
      <c r="AC322" s="200">
        <f t="shared" si="264"/>
        <v>192154</v>
      </c>
    </row>
    <row r="323" spans="1:29" s="6" customFormat="1" ht="21" customHeight="1">
      <c r="A323" s="32"/>
      <c r="B323" s="206">
        <v>85153</v>
      </c>
      <c r="C323" s="66"/>
      <c r="D323" s="36" t="s">
        <v>177</v>
      </c>
      <c r="E323" s="62">
        <f aca="true" t="shared" si="265" ref="E323:AC323">SUM(E324:E324)</f>
        <v>6360</v>
      </c>
      <c r="F323" s="62">
        <f t="shared" si="265"/>
        <v>0</v>
      </c>
      <c r="G323" s="62">
        <f t="shared" si="265"/>
        <v>6360</v>
      </c>
      <c r="H323" s="62">
        <f t="shared" si="265"/>
        <v>0</v>
      </c>
      <c r="I323" s="62">
        <f t="shared" si="265"/>
        <v>6360</v>
      </c>
      <c r="J323" s="62">
        <f t="shared" si="265"/>
        <v>0</v>
      </c>
      <c r="K323" s="62">
        <f t="shared" si="265"/>
        <v>6360</v>
      </c>
      <c r="L323" s="62">
        <f t="shared" si="265"/>
        <v>0</v>
      </c>
      <c r="M323" s="62">
        <f t="shared" si="265"/>
        <v>6360</v>
      </c>
      <c r="N323" s="62">
        <f t="shared" si="265"/>
        <v>0</v>
      </c>
      <c r="O323" s="62">
        <f t="shared" si="265"/>
        <v>6360</v>
      </c>
      <c r="P323" s="62">
        <f t="shared" si="265"/>
        <v>0</v>
      </c>
      <c r="Q323" s="62">
        <f t="shared" si="265"/>
        <v>6360</v>
      </c>
      <c r="R323" s="62">
        <f t="shared" si="265"/>
        <v>0</v>
      </c>
      <c r="S323" s="62">
        <f t="shared" si="265"/>
        <v>6360</v>
      </c>
      <c r="T323" s="62">
        <f t="shared" si="265"/>
        <v>0</v>
      </c>
      <c r="U323" s="62">
        <f t="shared" si="265"/>
        <v>6360</v>
      </c>
      <c r="V323" s="62">
        <f t="shared" si="265"/>
        <v>0</v>
      </c>
      <c r="W323" s="62">
        <f t="shared" si="265"/>
        <v>6360</v>
      </c>
      <c r="X323" s="62">
        <f t="shared" si="265"/>
        <v>0</v>
      </c>
      <c r="Y323" s="62">
        <f t="shared" si="265"/>
        <v>6360</v>
      </c>
      <c r="Z323" s="62">
        <f t="shared" si="265"/>
        <v>0</v>
      </c>
      <c r="AA323" s="62">
        <f t="shared" si="265"/>
        <v>6360</v>
      </c>
      <c r="AB323" s="62">
        <f t="shared" si="265"/>
        <v>0</v>
      </c>
      <c r="AC323" s="62">
        <f t="shared" si="265"/>
        <v>6360</v>
      </c>
    </row>
    <row r="324" spans="1:29" s="6" customFormat="1" ht="21" customHeight="1">
      <c r="A324" s="32"/>
      <c r="B324" s="206"/>
      <c r="C324" s="66">
        <v>4300</v>
      </c>
      <c r="D324" s="36" t="s">
        <v>75</v>
      </c>
      <c r="E324" s="62">
        <v>6360</v>
      </c>
      <c r="F324" s="62"/>
      <c r="G324" s="62">
        <f t="shared" si="232"/>
        <v>6360</v>
      </c>
      <c r="H324" s="62"/>
      <c r="I324" s="62">
        <f>SUM(G324:H324)</f>
        <v>6360</v>
      </c>
      <c r="J324" s="62"/>
      <c r="K324" s="62">
        <f>SUM(I324:J324)</f>
        <v>6360</v>
      </c>
      <c r="L324" s="62"/>
      <c r="M324" s="62">
        <f>SUM(K324:L324)</f>
        <v>6360</v>
      </c>
      <c r="N324" s="62"/>
      <c r="O324" s="62">
        <f>SUM(M324:N324)</f>
        <v>6360</v>
      </c>
      <c r="P324" s="62"/>
      <c r="Q324" s="62">
        <f>SUM(O324:P324)</f>
        <v>6360</v>
      </c>
      <c r="R324" s="62"/>
      <c r="S324" s="62">
        <f>SUM(Q324:R324)</f>
        <v>6360</v>
      </c>
      <c r="T324" s="62"/>
      <c r="U324" s="62">
        <f>SUM(S324:T324)</f>
        <v>6360</v>
      </c>
      <c r="V324" s="62"/>
      <c r="W324" s="62">
        <f>SUM(U324:V324)</f>
        <v>6360</v>
      </c>
      <c r="X324" s="62"/>
      <c r="Y324" s="62">
        <f>SUM(W324:X324)</f>
        <v>6360</v>
      </c>
      <c r="Z324" s="62"/>
      <c r="AA324" s="62">
        <f>SUM(Y324:Z324)</f>
        <v>6360</v>
      </c>
      <c r="AB324" s="62"/>
      <c r="AC324" s="62">
        <f>SUM(AA324:AB324)</f>
        <v>6360</v>
      </c>
    </row>
    <row r="325" spans="1:29" s="25" customFormat="1" ht="21" customHeight="1">
      <c r="A325" s="49"/>
      <c r="B325" s="63" t="s">
        <v>98</v>
      </c>
      <c r="C325" s="66"/>
      <c r="D325" s="36" t="s">
        <v>54</v>
      </c>
      <c r="E325" s="62">
        <f>SUM(E328:E335)</f>
        <v>86048</v>
      </c>
      <c r="F325" s="62">
        <f>SUM(F328:F335)</f>
        <v>-75000</v>
      </c>
      <c r="G325" s="62">
        <f aca="true" t="shared" si="266" ref="G325:M325">SUM(G327:G335)</f>
        <v>81048</v>
      </c>
      <c r="H325" s="62">
        <f t="shared" si="266"/>
        <v>64010</v>
      </c>
      <c r="I325" s="62">
        <f t="shared" si="266"/>
        <v>145058</v>
      </c>
      <c r="J325" s="62">
        <f t="shared" si="266"/>
        <v>0</v>
      </c>
      <c r="K325" s="62">
        <f t="shared" si="266"/>
        <v>145058</v>
      </c>
      <c r="L325" s="62">
        <f t="shared" si="266"/>
        <v>0</v>
      </c>
      <c r="M325" s="62">
        <f t="shared" si="266"/>
        <v>145058</v>
      </c>
      <c r="N325" s="62">
        <f>SUM(N327:N335)</f>
        <v>0</v>
      </c>
      <c r="O325" s="62">
        <f>SUM(O327:O335)</f>
        <v>145058</v>
      </c>
      <c r="P325" s="62">
        <f>SUM(P327:P335)</f>
        <v>0</v>
      </c>
      <c r="Q325" s="62">
        <f aca="true" t="shared" si="267" ref="Q325:W325">SUM(Q326:Q335)</f>
        <v>145058</v>
      </c>
      <c r="R325" s="62">
        <f t="shared" si="267"/>
        <v>0</v>
      </c>
      <c r="S325" s="62">
        <f t="shared" si="267"/>
        <v>145058</v>
      </c>
      <c r="T325" s="62">
        <f t="shared" si="267"/>
        <v>0</v>
      </c>
      <c r="U325" s="62">
        <f t="shared" si="267"/>
        <v>145058</v>
      </c>
      <c r="V325" s="62">
        <f t="shared" si="267"/>
        <v>0</v>
      </c>
      <c r="W325" s="62">
        <f t="shared" si="267"/>
        <v>145058</v>
      </c>
      <c r="X325" s="62">
        <f aca="true" t="shared" si="268" ref="X325:AC325">SUM(X326:X335)</f>
        <v>0</v>
      </c>
      <c r="Y325" s="62">
        <f t="shared" si="268"/>
        <v>145058</v>
      </c>
      <c r="Z325" s="62">
        <f t="shared" si="268"/>
        <v>30736</v>
      </c>
      <c r="AA325" s="62">
        <f t="shared" si="268"/>
        <v>175794</v>
      </c>
      <c r="AB325" s="62">
        <f t="shared" si="268"/>
        <v>0</v>
      </c>
      <c r="AC325" s="62">
        <f t="shared" si="268"/>
        <v>175794</v>
      </c>
    </row>
    <row r="326" spans="1:35" s="25" customFormat="1" ht="48">
      <c r="A326" s="49"/>
      <c r="B326" s="63"/>
      <c r="C326" s="66">
        <v>2710</v>
      </c>
      <c r="D326" s="14" t="s">
        <v>328</v>
      </c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>
        <v>0</v>
      </c>
      <c r="R326" s="62">
        <v>13425</v>
      </c>
      <c r="S326" s="62">
        <f aca="true" t="shared" si="269" ref="S326:S335">SUM(Q326:R326)</f>
        <v>13425</v>
      </c>
      <c r="T326" s="62"/>
      <c r="U326" s="62">
        <f aca="true" t="shared" si="270" ref="U326:U335">SUM(S326:T326)</f>
        <v>13425</v>
      </c>
      <c r="V326" s="62"/>
      <c r="W326" s="62">
        <f aca="true" t="shared" si="271" ref="W326:W335">SUM(U326:V326)</f>
        <v>13425</v>
      </c>
      <c r="X326" s="62"/>
      <c r="Y326" s="62">
        <f aca="true" t="shared" si="272" ref="Y326:Y335">SUM(W326:X326)</f>
        <v>13425</v>
      </c>
      <c r="Z326" s="62"/>
      <c r="AA326" s="62">
        <f aca="true" t="shared" si="273" ref="AA326:AA335">SUM(Y326:Z326)</f>
        <v>13425</v>
      </c>
      <c r="AB326" s="62"/>
      <c r="AC326" s="62">
        <f aca="true" t="shared" si="274" ref="AC326:AC335">SUM(AA326:AB326)</f>
        <v>13425</v>
      </c>
      <c r="AH326" s="79"/>
      <c r="AI326" s="79"/>
    </row>
    <row r="327" spans="1:35" s="25" customFormat="1" ht="34.5" customHeight="1">
      <c r="A327" s="49"/>
      <c r="B327" s="63"/>
      <c r="C327" s="66">
        <v>2820</v>
      </c>
      <c r="D327" s="36" t="s">
        <v>236</v>
      </c>
      <c r="E327" s="62" t="s">
        <v>236</v>
      </c>
      <c r="F327" s="62"/>
      <c r="G327" s="62">
        <v>0</v>
      </c>
      <c r="H327" s="62">
        <v>8130</v>
      </c>
      <c r="I327" s="62">
        <f aca="true" t="shared" si="275" ref="I327:I335">SUM(G327:H327)</f>
        <v>8130</v>
      </c>
      <c r="J327" s="62"/>
      <c r="K327" s="62">
        <f aca="true" t="shared" si="276" ref="K327:K335">SUM(I327:J327)</f>
        <v>8130</v>
      </c>
      <c r="L327" s="62"/>
      <c r="M327" s="62">
        <f aca="true" t="shared" si="277" ref="M327:M335">SUM(K327:L327)</f>
        <v>8130</v>
      </c>
      <c r="N327" s="62"/>
      <c r="O327" s="62">
        <f aca="true" t="shared" si="278" ref="O327:O335">SUM(M327:N327)</f>
        <v>8130</v>
      </c>
      <c r="P327" s="62"/>
      <c r="Q327" s="62">
        <f aca="true" t="shared" si="279" ref="Q327:Q335">SUM(O327:P327)</f>
        <v>8130</v>
      </c>
      <c r="R327" s="62"/>
      <c r="S327" s="62">
        <f t="shared" si="269"/>
        <v>8130</v>
      </c>
      <c r="T327" s="62"/>
      <c r="U327" s="62">
        <f t="shared" si="270"/>
        <v>8130</v>
      </c>
      <c r="V327" s="62"/>
      <c r="W327" s="62">
        <f t="shared" si="271"/>
        <v>8130</v>
      </c>
      <c r="X327" s="62"/>
      <c r="Y327" s="62">
        <f t="shared" si="272"/>
        <v>8130</v>
      </c>
      <c r="Z327" s="62"/>
      <c r="AA327" s="62">
        <f t="shared" si="273"/>
        <v>8130</v>
      </c>
      <c r="AB327" s="62"/>
      <c r="AC327" s="62">
        <f t="shared" si="274"/>
        <v>8130</v>
      </c>
      <c r="AH327" s="79"/>
      <c r="AI327" s="79"/>
    </row>
    <row r="328" spans="1:35" s="25" customFormat="1" ht="58.5" customHeight="1">
      <c r="A328" s="49"/>
      <c r="B328" s="206"/>
      <c r="C328" s="66">
        <v>2830</v>
      </c>
      <c r="D328" s="36" t="s">
        <v>296</v>
      </c>
      <c r="E328" s="62" t="s">
        <v>296</v>
      </c>
      <c r="F328" s="62">
        <v>-70000</v>
      </c>
      <c r="G328" s="62">
        <v>0</v>
      </c>
      <c r="H328" s="62">
        <f>50060+5820</f>
        <v>55880</v>
      </c>
      <c r="I328" s="62">
        <f t="shared" si="275"/>
        <v>55880</v>
      </c>
      <c r="J328" s="62"/>
      <c r="K328" s="62">
        <f t="shared" si="276"/>
        <v>55880</v>
      </c>
      <c r="L328" s="62"/>
      <c r="M328" s="62">
        <f t="shared" si="277"/>
        <v>55880</v>
      </c>
      <c r="N328" s="62"/>
      <c r="O328" s="62">
        <f t="shared" si="278"/>
        <v>55880</v>
      </c>
      <c r="P328" s="62"/>
      <c r="Q328" s="62">
        <f t="shared" si="279"/>
        <v>55880</v>
      </c>
      <c r="R328" s="62"/>
      <c r="S328" s="62">
        <f t="shared" si="269"/>
        <v>55880</v>
      </c>
      <c r="T328" s="62"/>
      <c r="U328" s="62">
        <f t="shared" si="270"/>
        <v>55880</v>
      </c>
      <c r="V328" s="62"/>
      <c r="W328" s="62">
        <f t="shared" si="271"/>
        <v>55880</v>
      </c>
      <c r="X328" s="62"/>
      <c r="Y328" s="62">
        <f t="shared" si="272"/>
        <v>55880</v>
      </c>
      <c r="Z328" s="62"/>
      <c r="AA328" s="62">
        <f t="shared" si="273"/>
        <v>55880</v>
      </c>
      <c r="AB328" s="62"/>
      <c r="AC328" s="62">
        <f t="shared" si="274"/>
        <v>55880</v>
      </c>
      <c r="AH328" s="79"/>
      <c r="AI328" s="79"/>
    </row>
    <row r="329" spans="1:31" s="25" customFormat="1" ht="21" customHeight="1">
      <c r="A329" s="49"/>
      <c r="B329" s="206"/>
      <c r="C329" s="66">
        <v>4110</v>
      </c>
      <c r="D329" s="14" t="s">
        <v>81</v>
      </c>
      <c r="E329" s="62">
        <v>1758</v>
      </c>
      <c r="F329" s="62"/>
      <c r="G329" s="62">
        <f t="shared" si="232"/>
        <v>1758</v>
      </c>
      <c r="H329" s="62"/>
      <c r="I329" s="62">
        <f t="shared" si="275"/>
        <v>1758</v>
      </c>
      <c r="J329" s="62"/>
      <c r="K329" s="62">
        <f t="shared" si="276"/>
        <v>1758</v>
      </c>
      <c r="L329" s="62"/>
      <c r="M329" s="62">
        <f t="shared" si="277"/>
        <v>1758</v>
      </c>
      <c r="N329" s="62"/>
      <c r="O329" s="62">
        <f t="shared" si="278"/>
        <v>1758</v>
      </c>
      <c r="P329" s="62"/>
      <c r="Q329" s="62">
        <f t="shared" si="279"/>
        <v>1758</v>
      </c>
      <c r="R329" s="62"/>
      <c r="S329" s="62">
        <f t="shared" si="269"/>
        <v>1758</v>
      </c>
      <c r="T329" s="62"/>
      <c r="U329" s="62">
        <f t="shared" si="270"/>
        <v>1758</v>
      </c>
      <c r="V329" s="62"/>
      <c r="W329" s="62">
        <f t="shared" si="271"/>
        <v>1758</v>
      </c>
      <c r="X329" s="62"/>
      <c r="Y329" s="62">
        <f t="shared" si="272"/>
        <v>1758</v>
      </c>
      <c r="Z329" s="62">
        <v>100</v>
      </c>
      <c r="AA329" s="62">
        <f t="shared" si="273"/>
        <v>1858</v>
      </c>
      <c r="AB329" s="62"/>
      <c r="AC329" s="62">
        <f t="shared" si="274"/>
        <v>1858</v>
      </c>
      <c r="AD329" s="79"/>
      <c r="AE329" s="79"/>
    </row>
    <row r="330" spans="1:31" s="25" customFormat="1" ht="21" customHeight="1">
      <c r="A330" s="49"/>
      <c r="B330" s="206"/>
      <c r="C330" s="66">
        <v>4170</v>
      </c>
      <c r="D330" s="36" t="s">
        <v>161</v>
      </c>
      <c r="E330" s="62">
        <v>37800</v>
      </c>
      <c r="F330" s="62"/>
      <c r="G330" s="62">
        <f t="shared" si="232"/>
        <v>37800</v>
      </c>
      <c r="H330" s="62"/>
      <c r="I330" s="62">
        <f t="shared" si="275"/>
        <v>37800</v>
      </c>
      <c r="J330" s="62"/>
      <c r="K330" s="62">
        <f t="shared" si="276"/>
        <v>37800</v>
      </c>
      <c r="L330" s="62"/>
      <c r="M330" s="62">
        <f t="shared" si="277"/>
        <v>37800</v>
      </c>
      <c r="N330" s="62"/>
      <c r="O330" s="62">
        <f t="shared" si="278"/>
        <v>37800</v>
      </c>
      <c r="P330" s="62"/>
      <c r="Q330" s="62">
        <f t="shared" si="279"/>
        <v>37800</v>
      </c>
      <c r="R330" s="62">
        <v>-1000</v>
      </c>
      <c r="S330" s="62">
        <f t="shared" si="269"/>
        <v>36800</v>
      </c>
      <c r="T330" s="62"/>
      <c r="U330" s="62">
        <f t="shared" si="270"/>
        <v>36800</v>
      </c>
      <c r="V330" s="62"/>
      <c r="W330" s="62">
        <f t="shared" si="271"/>
        <v>36800</v>
      </c>
      <c r="X330" s="62"/>
      <c r="Y330" s="62">
        <f t="shared" si="272"/>
        <v>36800</v>
      </c>
      <c r="Z330" s="62">
        <f>300+8700+2000</f>
        <v>11000</v>
      </c>
      <c r="AA330" s="62">
        <f t="shared" si="273"/>
        <v>47800</v>
      </c>
      <c r="AB330" s="62"/>
      <c r="AC330" s="62">
        <f t="shared" si="274"/>
        <v>47800</v>
      </c>
      <c r="AD330" s="79"/>
      <c r="AE330" s="79"/>
    </row>
    <row r="331" spans="1:29" s="25" customFormat="1" ht="21" customHeight="1">
      <c r="A331" s="49"/>
      <c r="B331" s="206"/>
      <c r="C331" s="66">
        <v>4210</v>
      </c>
      <c r="D331" s="14" t="s">
        <v>86</v>
      </c>
      <c r="E331" s="62">
        <v>8000</v>
      </c>
      <c r="F331" s="62"/>
      <c r="G331" s="62">
        <f t="shared" si="232"/>
        <v>8000</v>
      </c>
      <c r="H331" s="62"/>
      <c r="I331" s="62">
        <f t="shared" si="275"/>
        <v>8000</v>
      </c>
      <c r="J331" s="62"/>
      <c r="K331" s="62">
        <f t="shared" si="276"/>
        <v>8000</v>
      </c>
      <c r="L331" s="62"/>
      <c r="M331" s="62">
        <f t="shared" si="277"/>
        <v>8000</v>
      </c>
      <c r="N331" s="62"/>
      <c r="O331" s="62">
        <f t="shared" si="278"/>
        <v>8000</v>
      </c>
      <c r="P331" s="62"/>
      <c r="Q331" s="62">
        <f t="shared" si="279"/>
        <v>8000</v>
      </c>
      <c r="R331" s="62">
        <v>-900</v>
      </c>
      <c r="S331" s="62">
        <f t="shared" si="269"/>
        <v>7100</v>
      </c>
      <c r="T331" s="62"/>
      <c r="U331" s="62">
        <f t="shared" si="270"/>
        <v>7100</v>
      </c>
      <c r="V331" s="62"/>
      <c r="W331" s="62">
        <f t="shared" si="271"/>
        <v>7100</v>
      </c>
      <c r="X331" s="62"/>
      <c r="Y331" s="62">
        <f t="shared" si="272"/>
        <v>7100</v>
      </c>
      <c r="Z331" s="62">
        <v>430</v>
      </c>
      <c r="AA331" s="62">
        <f t="shared" si="273"/>
        <v>7530</v>
      </c>
      <c r="AB331" s="62"/>
      <c r="AC331" s="62">
        <f t="shared" si="274"/>
        <v>7530</v>
      </c>
    </row>
    <row r="332" spans="1:29" s="25" customFormat="1" ht="21" customHeight="1">
      <c r="A332" s="49"/>
      <c r="B332" s="206"/>
      <c r="C332" s="66">
        <v>4220</v>
      </c>
      <c r="D332" s="14" t="s">
        <v>149</v>
      </c>
      <c r="E332" s="62">
        <v>10000</v>
      </c>
      <c r="F332" s="62"/>
      <c r="G332" s="62">
        <f t="shared" si="232"/>
        <v>10000</v>
      </c>
      <c r="H332" s="62"/>
      <c r="I332" s="62">
        <f t="shared" si="275"/>
        <v>10000</v>
      </c>
      <c r="J332" s="62"/>
      <c r="K332" s="62">
        <f t="shared" si="276"/>
        <v>10000</v>
      </c>
      <c r="L332" s="62"/>
      <c r="M332" s="62">
        <f t="shared" si="277"/>
        <v>10000</v>
      </c>
      <c r="N332" s="62"/>
      <c r="O332" s="62">
        <f t="shared" si="278"/>
        <v>10000</v>
      </c>
      <c r="P332" s="62"/>
      <c r="Q332" s="62">
        <f t="shared" si="279"/>
        <v>10000</v>
      </c>
      <c r="R332" s="62">
        <v>-3825</v>
      </c>
      <c r="S332" s="62">
        <f t="shared" si="269"/>
        <v>6175</v>
      </c>
      <c r="T332" s="62"/>
      <c r="U332" s="62">
        <f t="shared" si="270"/>
        <v>6175</v>
      </c>
      <c r="V332" s="62"/>
      <c r="W332" s="62">
        <f t="shared" si="271"/>
        <v>6175</v>
      </c>
      <c r="X332" s="62"/>
      <c r="Y332" s="62">
        <f t="shared" si="272"/>
        <v>6175</v>
      </c>
      <c r="Z332" s="62">
        <v>480</v>
      </c>
      <c r="AA332" s="62">
        <f t="shared" si="273"/>
        <v>6655</v>
      </c>
      <c r="AB332" s="62"/>
      <c r="AC332" s="62">
        <f t="shared" si="274"/>
        <v>6655</v>
      </c>
    </row>
    <row r="333" spans="1:29" s="25" customFormat="1" ht="21" customHeight="1">
      <c r="A333" s="49"/>
      <c r="B333" s="206"/>
      <c r="C333" s="66">
        <v>4300</v>
      </c>
      <c r="D333" s="36" t="s">
        <v>75</v>
      </c>
      <c r="E333" s="62">
        <f>25240+850</f>
        <v>26090</v>
      </c>
      <c r="F333" s="62">
        <v>-5000</v>
      </c>
      <c r="G333" s="62">
        <f t="shared" si="232"/>
        <v>21090</v>
      </c>
      <c r="H333" s="62"/>
      <c r="I333" s="62">
        <f t="shared" si="275"/>
        <v>21090</v>
      </c>
      <c r="J333" s="62"/>
      <c r="K333" s="62">
        <f t="shared" si="276"/>
        <v>21090</v>
      </c>
      <c r="L333" s="62"/>
      <c r="M333" s="62">
        <f t="shared" si="277"/>
        <v>21090</v>
      </c>
      <c r="N333" s="62"/>
      <c r="O333" s="62">
        <f t="shared" si="278"/>
        <v>21090</v>
      </c>
      <c r="P333" s="62"/>
      <c r="Q333" s="62">
        <f t="shared" si="279"/>
        <v>21090</v>
      </c>
      <c r="R333" s="62">
        <v>-7700</v>
      </c>
      <c r="S333" s="62">
        <f t="shared" si="269"/>
        <v>13390</v>
      </c>
      <c r="T333" s="62"/>
      <c r="U333" s="62">
        <f t="shared" si="270"/>
        <v>13390</v>
      </c>
      <c r="V333" s="62"/>
      <c r="W333" s="62">
        <f t="shared" si="271"/>
        <v>13390</v>
      </c>
      <c r="X333" s="62"/>
      <c r="Y333" s="62">
        <f t="shared" si="272"/>
        <v>13390</v>
      </c>
      <c r="Z333" s="62">
        <f>20726-2000</f>
        <v>18726</v>
      </c>
      <c r="AA333" s="62">
        <f t="shared" si="273"/>
        <v>32116</v>
      </c>
      <c r="AB333" s="62"/>
      <c r="AC333" s="62">
        <f t="shared" si="274"/>
        <v>32116</v>
      </c>
    </row>
    <row r="334" spans="1:29" s="25" customFormat="1" ht="21" customHeight="1">
      <c r="A334" s="49"/>
      <c r="B334" s="206"/>
      <c r="C334" s="66">
        <v>4350</v>
      </c>
      <c r="D334" s="36" t="s">
        <v>169</v>
      </c>
      <c r="E334" s="62">
        <v>1200</v>
      </c>
      <c r="F334" s="62"/>
      <c r="G334" s="62">
        <f t="shared" si="232"/>
        <v>1200</v>
      </c>
      <c r="H334" s="62"/>
      <c r="I334" s="62">
        <f t="shared" si="275"/>
        <v>1200</v>
      </c>
      <c r="J334" s="62"/>
      <c r="K334" s="62">
        <f t="shared" si="276"/>
        <v>1200</v>
      </c>
      <c r="L334" s="62"/>
      <c r="M334" s="62">
        <f t="shared" si="277"/>
        <v>1200</v>
      </c>
      <c r="N334" s="62"/>
      <c r="O334" s="62">
        <f t="shared" si="278"/>
        <v>1200</v>
      </c>
      <c r="P334" s="62"/>
      <c r="Q334" s="62">
        <f t="shared" si="279"/>
        <v>1200</v>
      </c>
      <c r="R334" s="62"/>
      <c r="S334" s="62">
        <f t="shared" si="269"/>
        <v>1200</v>
      </c>
      <c r="T334" s="62"/>
      <c r="U334" s="62">
        <f t="shared" si="270"/>
        <v>1200</v>
      </c>
      <c r="V334" s="62"/>
      <c r="W334" s="62">
        <f t="shared" si="271"/>
        <v>1200</v>
      </c>
      <c r="X334" s="62"/>
      <c r="Y334" s="62">
        <f t="shared" si="272"/>
        <v>1200</v>
      </c>
      <c r="Z334" s="62"/>
      <c r="AA334" s="62">
        <f t="shared" si="273"/>
        <v>1200</v>
      </c>
      <c r="AB334" s="62"/>
      <c r="AC334" s="62">
        <f t="shared" si="274"/>
        <v>1200</v>
      </c>
    </row>
    <row r="335" spans="1:29" s="25" customFormat="1" ht="21" customHeight="1">
      <c r="A335" s="49"/>
      <c r="B335" s="206"/>
      <c r="C335" s="66">
        <v>4410</v>
      </c>
      <c r="D335" s="36" t="s">
        <v>85</v>
      </c>
      <c r="E335" s="62">
        <v>1200</v>
      </c>
      <c r="F335" s="62"/>
      <c r="G335" s="62">
        <f t="shared" si="232"/>
        <v>1200</v>
      </c>
      <c r="H335" s="62"/>
      <c r="I335" s="62">
        <f t="shared" si="275"/>
        <v>1200</v>
      </c>
      <c r="J335" s="62"/>
      <c r="K335" s="62">
        <f t="shared" si="276"/>
        <v>1200</v>
      </c>
      <c r="L335" s="62"/>
      <c r="M335" s="62">
        <f t="shared" si="277"/>
        <v>1200</v>
      </c>
      <c r="N335" s="62"/>
      <c r="O335" s="62">
        <f t="shared" si="278"/>
        <v>1200</v>
      </c>
      <c r="P335" s="62"/>
      <c r="Q335" s="62">
        <f t="shared" si="279"/>
        <v>1200</v>
      </c>
      <c r="R335" s="62"/>
      <c r="S335" s="62">
        <f t="shared" si="269"/>
        <v>1200</v>
      </c>
      <c r="T335" s="62"/>
      <c r="U335" s="62">
        <f t="shared" si="270"/>
        <v>1200</v>
      </c>
      <c r="V335" s="62"/>
      <c r="W335" s="62">
        <f t="shared" si="271"/>
        <v>1200</v>
      </c>
      <c r="X335" s="62"/>
      <c r="Y335" s="62">
        <f t="shared" si="272"/>
        <v>1200</v>
      </c>
      <c r="Z335" s="62"/>
      <c r="AA335" s="62">
        <f t="shared" si="273"/>
        <v>1200</v>
      </c>
      <c r="AB335" s="62"/>
      <c r="AC335" s="62">
        <f t="shared" si="274"/>
        <v>1200</v>
      </c>
    </row>
    <row r="336" spans="1:29" s="25" customFormat="1" ht="21" customHeight="1">
      <c r="A336" s="49"/>
      <c r="B336" s="206">
        <v>85195</v>
      </c>
      <c r="C336" s="66"/>
      <c r="D336" s="36" t="s">
        <v>6</v>
      </c>
      <c r="E336" s="62">
        <f aca="true" t="shared" si="280" ref="E336:AC336">SUM(E337)</f>
        <v>10000</v>
      </c>
      <c r="F336" s="62">
        <f t="shared" si="280"/>
        <v>0</v>
      </c>
      <c r="G336" s="62">
        <f t="shared" si="280"/>
        <v>10000</v>
      </c>
      <c r="H336" s="62">
        <f t="shared" si="280"/>
        <v>0</v>
      </c>
      <c r="I336" s="62">
        <f t="shared" si="280"/>
        <v>10000</v>
      </c>
      <c r="J336" s="62">
        <f t="shared" si="280"/>
        <v>0</v>
      </c>
      <c r="K336" s="62">
        <f t="shared" si="280"/>
        <v>10000</v>
      </c>
      <c r="L336" s="62">
        <f t="shared" si="280"/>
        <v>0</v>
      </c>
      <c r="M336" s="62">
        <f t="shared" si="280"/>
        <v>10000</v>
      </c>
      <c r="N336" s="62">
        <f t="shared" si="280"/>
        <v>0</v>
      </c>
      <c r="O336" s="62">
        <f t="shared" si="280"/>
        <v>10000</v>
      </c>
      <c r="P336" s="62">
        <f t="shared" si="280"/>
        <v>0</v>
      </c>
      <c r="Q336" s="62">
        <f t="shared" si="280"/>
        <v>10000</v>
      </c>
      <c r="R336" s="62">
        <f t="shared" si="280"/>
        <v>0</v>
      </c>
      <c r="S336" s="62">
        <f t="shared" si="280"/>
        <v>10000</v>
      </c>
      <c r="T336" s="62">
        <f t="shared" si="280"/>
        <v>0</v>
      </c>
      <c r="U336" s="62">
        <f t="shared" si="280"/>
        <v>10000</v>
      </c>
      <c r="V336" s="62">
        <f t="shared" si="280"/>
        <v>0</v>
      </c>
      <c r="W336" s="62">
        <f t="shared" si="280"/>
        <v>10000</v>
      </c>
      <c r="X336" s="62">
        <f t="shared" si="280"/>
        <v>0</v>
      </c>
      <c r="Y336" s="62">
        <f t="shared" si="280"/>
        <v>10000</v>
      </c>
      <c r="Z336" s="62">
        <f t="shared" si="280"/>
        <v>0</v>
      </c>
      <c r="AA336" s="62">
        <f t="shared" si="280"/>
        <v>10000</v>
      </c>
      <c r="AB336" s="62">
        <f t="shared" si="280"/>
        <v>0</v>
      </c>
      <c r="AC336" s="62">
        <f t="shared" si="280"/>
        <v>10000</v>
      </c>
    </row>
    <row r="337" spans="1:29" s="25" customFormat="1" ht="21" customHeight="1">
      <c r="A337" s="49"/>
      <c r="B337" s="206"/>
      <c r="C337" s="66">
        <v>4430</v>
      </c>
      <c r="D337" s="36" t="s">
        <v>87</v>
      </c>
      <c r="E337" s="62">
        <v>10000</v>
      </c>
      <c r="F337" s="62"/>
      <c r="G337" s="62">
        <f t="shared" si="232"/>
        <v>10000</v>
      </c>
      <c r="H337" s="62"/>
      <c r="I337" s="62">
        <f>SUM(G337:H337)</f>
        <v>10000</v>
      </c>
      <c r="J337" s="62"/>
      <c r="K337" s="62">
        <f>SUM(I337:J337)</f>
        <v>10000</v>
      </c>
      <c r="L337" s="62"/>
      <c r="M337" s="62">
        <f>SUM(K337:L337)</f>
        <v>10000</v>
      </c>
      <c r="N337" s="62"/>
      <c r="O337" s="62">
        <f>SUM(M337:N337)</f>
        <v>10000</v>
      </c>
      <c r="P337" s="62"/>
      <c r="Q337" s="62">
        <f>SUM(O337:P337)</f>
        <v>10000</v>
      </c>
      <c r="R337" s="62"/>
      <c r="S337" s="62">
        <f>SUM(Q337:R337)</f>
        <v>10000</v>
      </c>
      <c r="T337" s="62"/>
      <c r="U337" s="62">
        <f>SUM(S337:T337)</f>
        <v>10000</v>
      </c>
      <c r="V337" s="62"/>
      <c r="W337" s="62">
        <f>SUM(U337:V337)</f>
        <v>10000</v>
      </c>
      <c r="X337" s="62"/>
      <c r="Y337" s="62">
        <f>SUM(W337:X337)</f>
        <v>10000</v>
      </c>
      <c r="Z337" s="62"/>
      <c r="AA337" s="62">
        <f>SUM(Y337:Z337)</f>
        <v>10000</v>
      </c>
      <c r="AB337" s="62"/>
      <c r="AC337" s="62">
        <f>SUM(AA337:AB337)</f>
        <v>10000</v>
      </c>
    </row>
    <row r="338" spans="1:29" s="6" customFormat="1" ht="24.75" customHeight="1">
      <c r="A338" s="168">
        <v>852</v>
      </c>
      <c r="B338" s="33"/>
      <c r="C338" s="34"/>
      <c r="D338" s="35" t="s">
        <v>157</v>
      </c>
      <c r="E338" s="200">
        <f aca="true" t="shared" si="281" ref="E338:W338">SUM(E339,E363,E365,E368,E370,E394,E396,)</f>
        <v>11465246</v>
      </c>
      <c r="F338" s="200">
        <f t="shared" si="281"/>
        <v>0</v>
      </c>
      <c r="G338" s="200">
        <f t="shared" si="281"/>
        <v>11465246</v>
      </c>
      <c r="H338" s="200">
        <f t="shared" si="281"/>
        <v>0</v>
      </c>
      <c r="I338" s="200">
        <f t="shared" si="281"/>
        <v>11465246</v>
      </c>
      <c r="J338" s="200">
        <f t="shared" si="281"/>
        <v>312600</v>
      </c>
      <c r="K338" s="200">
        <f t="shared" si="281"/>
        <v>11777846</v>
      </c>
      <c r="L338" s="200">
        <f t="shared" si="281"/>
        <v>36050</v>
      </c>
      <c r="M338" s="200">
        <f t="shared" si="281"/>
        <v>11813896</v>
      </c>
      <c r="N338" s="200">
        <f t="shared" si="281"/>
        <v>75000</v>
      </c>
      <c r="O338" s="200">
        <f t="shared" si="281"/>
        <v>11888896</v>
      </c>
      <c r="P338" s="200">
        <f t="shared" si="281"/>
        <v>0</v>
      </c>
      <c r="Q338" s="200">
        <f t="shared" si="281"/>
        <v>11888896</v>
      </c>
      <c r="R338" s="200">
        <f t="shared" si="281"/>
        <v>0</v>
      </c>
      <c r="S338" s="200">
        <f t="shared" si="281"/>
        <v>11888896</v>
      </c>
      <c r="T338" s="200">
        <f t="shared" si="281"/>
        <v>0</v>
      </c>
      <c r="U338" s="200">
        <f t="shared" si="281"/>
        <v>11888896</v>
      </c>
      <c r="V338" s="200">
        <f t="shared" si="281"/>
        <v>12750</v>
      </c>
      <c r="W338" s="200">
        <f t="shared" si="281"/>
        <v>11901646</v>
      </c>
      <c r="X338" s="200">
        <f aca="true" t="shared" si="282" ref="X338:AC338">SUM(X339,X363,X365,X368,X370,X394,X396,)</f>
        <v>196618</v>
      </c>
      <c r="Y338" s="200">
        <f t="shared" si="282"/>
        <v>12098264</v>
      </c>
      <c r="Z338" s="200">
        <f t="shared" si="282"/>
        <v>179014</v>
      </c>
      <c r="AA338" s="200">
        <f t="shared" si="282"/>
        <v>12277278</v>
      </c>
      <c r="AB338" s="200">
        <f t="shared" si="282"/>
        <v>-780180</v>
      </c>
      <c r="AC338" s="200">
        <f t="shared" si="282"/>
        <v>11497098</v>
      </c>
    </row>
    <row r="339" spans="1:29" s="25" customFormat="1" ht="48">
      <c r="A339" s="69"/>
      <c r="B339" s="41">
        <v>85212</v>
      </c>
      <c r="C339" s="60"/>
      <c r="D339" s="58" t="s">
        <v>443</v>
      </c>
      <c r="E339" s="52">
        <f aca="true" t="shared" si="283" ref="E339:W339">SUM(E340:E362)</f>
        <v>6568634</v>
      </c>
      <c r="F339" s="52">
        <f t="shared" si="283"/>
        <v>0</v>
      </c>
      <c r="G339" s="52">
        <f t="shared" si="283"/>
        <v>6568634</v>
      </c>
      <c r="H339" s="52">
        <f t="shared" si="283"/>
        <v>0</v>
      </c>
      <c r="I339" s="52">
        <f t="shared" si="283"/>
        <v>6568634</v>
      </c>
      <c r="J339" s="52">
        <f t="shared" si="283"/>
        <v>334300</v>
      </c>
      <c r="K339" s="52">
        <f t="shared" si="283"/>
        <v>6902934</v>
      </c>
      <c r="L339" s="52">
        <f t="shared" si="283"/>
        <v>0</v>
      </c>
      <c r="M339" s="52">
        <f t="shared" si="283"/>
        <v>6902934</v>
      </c>
      <c r="N339" s="52">
        <f t="shared" si="283"/>
        <v>0</v>
      </c>
      <c r="O339" s="52">
        <f t="shared" si="283"/>
        <v>6902934</v>
      </c>
      <c r="P339" s="52">
        <f t="shared" si="283"/>
        <v>0</v>
      </c>
      <c r="Q339" s="52">
        <f t="shared" si="283"/>
        <v>6902934</v>
      </c>
      <c r="R339" s="52">
        <f t="shared" si="283"/>
        <v>0</v>
      </c>
      <c r="S339" s="52">
        <f t="shared" si="283"/>
        <v>6902934</v>
      </c>
      <c r="T339" s="52">
        <f t="shared" si="283"/>
        <v>0</v>
      </c>
      <c r="U339" s="52">
        <f t="shared" si="283"/>
        <v>6902934</v>
      </c>
      <c r="V339" s="52">
        <f t="shared" si="283"/>
        <v>0</v>
      </c>
      <c r="W339" s="52">
        <f t="shared" si="283"/>
        <v>6902934</v>
      </c>
      <c r="X339" s="52">
        <f aca="true" t="shared" si="284" ref="X339:AC339">SUM(X340:X362)</f>
        <v>0</v>
      </c>
      <c r="Y339" s="52">
        <f t="shared" si="284"/>
        <v>6902934</v>
      </c>
      <c r="Z339" s="52">
        <f t="shared" si="284"/>
        <v>0</v>
      </c>
      <c r="AA339" s="52">
        <f t="shared" si="284"/>
        <v>6902934</v>
      </c>
      <c r="AB339" s="52">
        <f t="shared" si="284"/>
        <v>-740400</v>
      </c>
      <c r="AC339" s="52">
        <f t="shared" si="284"/>
        <v>6162534</v>
      </c>
    </row>
    <row r="340" spans="1:29" s="25" customFormat="1" ht="21" customHeight="1">
      <c r="A340" s="69"/>
      <c r="B340" s="41"/>
      <c r="C340" s="60">
        <v>3020</v>
      </c>
      <c r="D340" s="36" t="s">
        <v>159</v>
      </c>
      <c r="E340" s="52">
        <v>1760</v>
      </c>
      <c r="F340" s="52"/>
      <c r="G340" s="62">
        <f t="shared" si="232"/>
        <v>1760</v>
      </c>
      <c r="H340" s="52"/>
      <c r="I340" s="62">
        <f aca="true" t="shared" si="285" ref="I340:I362">SUM(G340:H340)</f>
        <v>1760</v>
      </c>
      <c r="J340" s="52"/>
      <c r="K340" s="62">
        <f aca="true" t="shared" si="286" ref="K340:K362">SUM(I340:J340)</f>
        <v>1760</v>
      </c>
      <c r="L340" s="52"/>
      <c r="M340" s="62">
        <f aca="true" t="shared" si="287" ref="M340:M362">SUM(K340:L340)</f>
        <v>1760</v>
      </c>
      <c r="N340" s="52"/>
      <c r="O340" s="62">
        <f aca="true" t="shared" si="288" ref="O340:O362">SUM(M340:N340)</f>
        <v>1760</v>
      </c>
      <c r="P340" s="52"/>
      <c r="Q340" s="62">
        <f aca="true" t="shared" si="289" ref="Q340:Q362">SUM(O340:P340)</f>
        <v>1760</v>
      </c>
      <c r="R340" s="52"/>
      <c r="S340" s="62">
        <f aca="true" t="shared" si="290" ref="S340:S362">SUM(Q340:R340)</f>
        <v>1760</v>
      </c>
      <c r="T340" s="52"/>
      <c r="U340" s="62">
        <f aca="true" t="shared" si="291" ref="U340:U362">SUM(S340:T340)</f>
        <v>1760</v>
      </c>
      <c r="V340" s="52"/>
      <c r="W340" s="62">
        <f aca="true" t="shared" si="292" ref="W340:W362">SUM(U340:V340)</f>
        <v>1760</v>
      </c>
      <c r="X340" s="52"/>
      <c r="Y340" s="62">
        <f aca="true" t="shared" si="293" ref="Y340:Y362">SUM(W340:X340)</f>
        <v>1760</v>
      </c>
      <c r="Z340" s="52"/>
      <c r="AA340" s="62">
        <f aca="true" t="shared" si="294" ref="AA340:AA362">SUM(Y340:Z340)</f>
        <v>1760</v>
      </c>
      <c r="AB340" s="52"/>
      <c r="AC340" s="62">
        <f aca="true" t="shared" si="295" ref="AC340:AC362">SUM(AA340:AB340)</f>
        <v>1760</v>
      </c>
    </row>
    <row r="341" spans="1:29" s="25" customFormat="1" ht="21" customHeight="1">
      <c r="A341" s="69"/>
      <c r="B341" s="41"/>
      <c r="C341" s="60">
        <v>3110</v>
      </c>
      <c r="D341" s="58" t="s">
        <v>97</v>
      </c>
      <c r="E341" s="52">
        <f>6284727-51000</f>
        <v>6233727</v>
      </c>
      <c r="F341" s="52"/>
      <c r="G341" s="62">
        <f t="shared" si="232"/>
        <v>6233727</v>
      </c>
      <c r="H341" s="52"/>
      <c r="I341" s="62">
        <f t="shared" si="285"/>
        <v>6233727</v>
      </c>
      <c r="J341" s="52">
        <v>324271</v>
      </c>
      <c r="K341" s="62">
        <f t="shared" si="286"/>
        <v>6557998</v>
      </c>
      <c r="L341" s="52"/>
      <c r="M341" s="62">
        <f t="shared" si="287"/>
        <v>6557998</v>
      </c>
      <c r="N341" s="52"/>
      <c r="O341" s="62">
        <f t="shared" si="288"/>
        <v>6557998</v>
      </c>
      <c r="P341" s="52"/>
      <c r="Q341" s="62">
        <f t="shared" si="289"/>
        <v>6557998</v>
      </c>
      <c r="R341" s="52"/>
      <c r="S341" s="62">
        <f t="shared" si="290"/>
        <v>6557998</v>
      </c>
      <c r="T341" s="52"/>
      <c r="U341" s="62">
        <f t="shared" si="291"/>
        <v>6557998</v>
      </c>
      <c r="V341" s="52"/>
      <c r="W341" s="62">
        <f t="shared" si="292"/>
        <v>6557998</v>
      </c>
      <c r="X341" s="52"/>
      <c r="Y341" s="62">
        <f t="shared" si="293"/>
        <v>6557998</v>
      </c>
      <c r="Z341" s="52"/>
      <c r="AA341" s="62">
        <f t="shared" si="294"/>
        <v>6557998</v>
      </c>
      <c r="AB341" s="52">
        <f>-763299+22899</f>
        <v>-740400</v>
      </c>
      <c r="AC341" s="62">
        <f t="shared" si="295"/>
        <v>5817598</v>
      </c>
    </row>
    <row r="342" spans="1:31" s="25" customFormat="1" ht="21" customHeight="1">
      <c r="A342" s="69"/>
      <c r="B342" s="41"/>
      <c r="C342" s="41">
        <v>4010</v>
      </c>
      <c r="D342" s="14" t="s">
        <v>79</v>
      </c>
      <c r="E342" s="52">
        <f>153581+24502</f>
        <v>178083</v>
      </c>
      <c r="F342" s="52"/>
      <c r="G342" s="62">
        <f t="shared" si="232"/>
        <v>178083</v>
      </c>
      <c r="H342" s="52"/>
      <c r="I342" s="62">
        <f t="shared" si="285"/>
        <v>178083</v>
      </c>
      <c r="J342" s="52">
        <v>1080</v>
      </c>
      <c r="K342" s="62">
        <f t="shared" si="286"/>
        <v>179163</v>
      </c>
      <c r="L342" s="52"/>
      <c r="M342" s="62">
        <f t="shared" si="287"/>
        <v>179163</v>
      </c>
      <c r="N342" s="52"/>
      <c r="O342" s="62">
        <f t="shared" si="288"/>
        <v>179163</v>
      </c>
      <c r="P342" s="52"/>
      <c r="Q342" s="62">
        <f t="shared" si="289"/>
        <v>179163</v>
      </c>
      <c r="R342" s="52"/>
      <c r="S342" s="62">
        <f t="shared" si="290"/>
        <v>179163</v>
      </c>
      <c r="T342" s="52"/>
      <c r="U342" s="62">
        <f t="shared" si="291"/>
        <v>179163</v>
      </c>
      <c r="V342" s="52"/>
      <c r="W342" s="62">
        <f t="shared" si="292"/>
        <v>179163</v>
      </c>
      <c r="X342" s="52"/>
      <c r="Y342" s="62">
        <f t="shared" si="293"/>
        <v>179163</v>
      </c>
      <c r="Z342" s="52"/>
      <c r="AA342" s="62">
        <f t="shared" si="294"/>
        <v>179163</v>
      </c>
      <c r="AB342" s="52">
        <f>-22899+22899</f>
        <v>0</v>
      </c>
      <c r="AC342" s="62">
        <f t="shared" si="295"/>
        <v>179163</v>
      </c>
      <c r="AD342" s="79"/>
      <c r="AE342" s="79"/>
    </row>
    <row r="343" spans="1:31" s="25" customFormat="1" ht="21" customHeight="1">
      <c r="A343" s="69"/>
      <c r="B343" s="41"/>
      <c r="C343" s="41">
        <v>4040</v>
      </c>
      <c r="D343" s="14" t="s">
        <v>80</v>
      </c>
      <c r="E343" s="52">
        <v>12000</v>
      </c>
      <c r="F343" s="52"/>
      <c r="G343" s="62">
        <f t="shared" si="232"/>
        <v>12000</v>
      </c>
      <c r="H343" s="52"/>
      <c r="I343" s="62">
        <f t="shared" si="285"/>
        <v>12000</v>
      </c>
      <c r="J343" s="52">
        <v>-1406</v>
      </c>
      <c r="K343" s="62">
        <f t="shared" si="286"/>
        <v>10594</v>
      </c>
      <c r="L343" s="52"/>
      <c r="M343" s="62">
        <f t="shared" si="287"/>
        <v>10594</v>
      </c>
      <c r="N343" s="52"/>
      <c r="O343" s="62">
        <f t="shared" si="288"/>
        <v>10594</v>
      </c>
      <c r="P343" s="52"/>
      <c r="Q343" s="62">
        <f t="shared" si="289"/>
        <v>10594</v>
      </c>
      <c r="R343" s="52"/>
      <c r="S343" s="62">
        <f t="shared" si="290"/>
        <v>10594</v>
      </c>
      <c r="T343" s="52"/>
      <c r="U343" s="62">
        <f t="shared" si="291"/>
        <v>10594</v>
      </c>
      <c r="V343" s="52"/>
      <c r="W343" s="62">
        <f t="shared" si="292"/>
        <v>10594</v>
      </c>
      <c r="X343" s="52"/>
      <c r="Y343" s="62">
        <f t="shared" si="293"/>
        <v>10594</v>
      </c>
      <c r="Z343" s="52"/>
      <c r="AA343" s="62">
        <f t="shared" si="294"/>
        <v>10594</v>
      </c>
      <c r="AB343" s="52"/>
      <c r="AC343" s="62">
        <f t="shared" si="295"/>
        <v>10594</v>
      </c>
      <c r="AD343" s="79"/>
      <c r="AE343" s="79"/>
    </row>
    <row r="344" spans="1:31" s="25" customFormat="1" ht="21" customHeight="1">
      <c r="A344" s="69"/>
      <c r="B344" s="41"/>
      <c r="C344" s="41">
        <v>4110</v>
      </c>
      <c r="D344" s="14" t="s">
        <v>81</v>
      </c>
      <c r="E344" s="52">
        <f>20612+7904+51000</f>
        <v>79516</v>
      </c>
      <c r="F344" s="52"/>
      <c r="G344" s="62">
        <f t="shared" si="232"/>
        <v>79516</v>
      </c>
      <c r="H344" s="52"/>
      <c r="I344" s="62">
        <f t="shared" si="285"/>
        <v>79516</v>
      </c>
      <c r="J344" s="52"/>
      <c r="K344" s="62">
        <f t="shared" si="286"/>
        <v>79516</v>
      </c>
      <c r="L344" s="52"/>
      <c r="M344" s="62">
        <f t="shared" si="287"/>
        <v>79516</v>
      </c>
      <c r="N344" s="52"/>
      <c r="O344" s="62">
        <f t="shared" si="288"/>
        <v>79516</v>
      </c>
      <c r="P344" s="52"/>
      <c r="Q344" s="62">
        <f t="shared" si="289"/>
        <v>79516</v>
      </c>
      <c r="R344" s="52"/>
      <c r="S344" s="62">
        <f t="shared" si="290"/>
        <v>79516</v>
      </c>
      <c r="T344" s="52"/>
      <c r="U344" s="62">
        <f t="shared" si="291"/>
        <v>79516</v>
      </c>
      <c r="V344" s="52"/>
      <c r="W344" s="62">
        <f t="shared" si="292"/>
        <v>79516</v>
      </c>
      <c r="X344" s="52"/>
      <c r="Y344" s="62">
        <f t="shared" si="293"/>
        <v>79516</v>
      </c>
      <c r="Z344" s="52"/>
      <c r="AA344" s="62">
        <f t="shared" si="294"/>
        <v>79516</v>
      </c>
      <c r="AB344" s="52"/>
      <c r="AC344" s="62">
        <f t="shared" si="295"/>
        <v>79516</v>
      </c>
      <c r="AD344" s="79"/>
      <c r="AE344" s="79"/>
    </row>
    <row r="345" spans="1:31" s="25" customFormat="1" ht="21" customHeight="1">
      <c r="A345" s="69"/>
      <c r="B345" s="41"/>
      <c r="C345" s="41">
        <v>4120</v>
      </c>
      <c r="D345" s="14" t="s">
        <v>82</v>
      </c>
      <c r="E345" s="52">
        <f>3305+1268</f>
        <v>4573</v>
      </c>
      <c r="F345" s="52"/>
      <c r="G345" s="62">
        <f t="shared" si="232"/>
        <v>4573</v>
      </c>
      <c r="H345" s="52"/>
      <c r="I345" s="62">
        <f t="shared" si="285"/>
        <v>4573</v>
      </c>
      <c r="J345" s="52"/>
      <c r="K345" s="62">
        <f t="shared" si="286"/>
        <v>4573</v>
      </c>
      <c r="L345" s="52"/>
      <c r="M345" s="62">
        <f t="shared" si="287"/>
        <v>4573</v>
      </c>
      <c r="N345" s="52"/>
      <c r="O345" s="62">
        <f t="shared" si="288"/>
        <v>4573</v>
      </c>
      <c r="P345" s="52"/>
      <c r="Q345" s="62">
        <f t="shared" si="289"/>
        <v>4573</v>
      </c>
      <c r="R345" s="52"/>
      <c r="S345" s="62">
        <f t="shared" si="290"/>
        <v>4573</v>
      </c>
      <c r="T345" s="52"/>
      <c r="U345" s="62">
        <f t="shared" si="291"/>
        <v>4573</v>
      </c>
      <c r="V345" s="52"/>
      <c r="W345" s="62">
        <f t="shared" si="292"/>
        <v>4573</v>
      </c>
      <c r="X345" s="52"/>
      <c r="Y345" s="62">
        <f t="shared" si="293"/>
        <v>4573</v>
      </c>
      <c r="Z345" s="52"/>
      <c r="AA345" s="62">
        <f t="shared" si="294"/>
        <v>4573</v>
      </c>
      <c r="AB345" s="52"/>
      <c r="AC345" s="62">
        <f t="shared" si="295"/>
        <v>4573</v>
      </c>
      <c r="AD345" s="79"/>
      <c r="AE345" s="79"/>
    </row>
    <row r="346" spans="1:31" s="25" customFormat="1" ht="21" customHeight="1">
      <c r="A346" s="69"/>
      <c r="B346" s="59"/>
      <c r="C346" s="41">
        <v>4170</v>
      </c>
      <c r="D346" s="36" t="s">
        <v>161</v>
      </c>
      <c r="E346" s="52">
        <v>3000</v>
      </c>
      <c r="F346" s="52"/>
      <c r="G346" s="62">
        <f t="shared" si="232"/>
        <v>3000</v>
      </c>
      <c r="H346" s="52"/>
      <c r="I346" s="62">
        <f t="shared" si="285"/>
        <v>3000</v>
      </c>
      <c r="J346" s="52"/>
      <c r="K346" s="62">
        <f t="shared" si="286"/>
        <v>3000</v>
      </c>
      <c r="L346" s="52"/>
      <c r="M346" s="62">
        <f t="shared" si="287"/>
        <v>3000</v>
      </c>
      <c r="N346" s="52"/>
      <c r="O346" s="62">
        <f t="shared" si="288"/>
        <v>3000</v>
      </c>
      <c r="P346" s="52"/>
      <c r="Q346" s="62">
        <f t="shared" si="289"/>
        <v>3000</v>
      </c>
      <c r="R346" s="52"/>
      <c r="S346" s="62">
        <f t="shared" si="290"/>
        <v>3000</v>
      </c>
      <c r="T346" s="52"/>
      <c r="U346" s="62">
        <f t="shared" si="291"/>
        <v>3000</v>
      </c>
      <c r="V346" s="52"/>
      <c r="W346" s="62">
        <f t="shared" si="292"/>
        <v>3000</v>
      </c>
      <c r="X346" s="52"/>
      <c r="Y346" s="62">
        <f t="shared" si="293"/>
        <v>3000</v>
      </c>
      <c r="Z346" s="52"/>
      <c r="AA346" s="62">
        <f t="shared" si="294"/>
        <v>3000</v>
      </c>
      <c r="AB346" s="52"/>
      <c r="AC346" s="62">
        <f t="shared" si="295"/>
        <v>3000</v>
      </c>
      <c r="AD346" s="79"/>
      <c r="AE346" s="79"/>
    </row>
    <row r="347" spans="1:29" s="25" customFormat="1" ht="21" customHeight="1">
      <c r="A347" s="69"/>
      <c r="B347" s="59"/>
      <c r="C347" s="41">
        <v>4210</v>
      </c>
      <c r="D347" s="14" t="s">
        <v>86</v>
      </c>
      <c r="E347" s="52">
        <v>6980</v>
      </c>
      <c r="F347" s="52"/>
      <c r="G347" s="62">
        <f t="shared" si="232"/>
        <v>6980</v>
      </c>
      <c r="H347" s="52"/>
      <c r="I347" s="62">
        <f t="shared" si="285"/>
        <v>6980</v>
      </c>
      <c r="J347" s="52">
        <v>5029</v>
      </c>
      <c r="K347" s="62">
        <f t="shared" si="286"/>
        <v>12009</v>
      </c>
      <c r="L347" s="52">
        <v>-4200</v>
      </c>
      <c r="M347" s="62">
        <f t="shared" si="287"/>
        <v>7809</v>
      </c>
      <c r="N347" s="52"/>
      <c r="O347" s="62">
        <f t="shared" si="288"/>
        <v>7809</v>
      </c>
      <c r="P347" s="52"/>
      <c r="Q347" s="62">
        <f t="shared" si="289"/>
        <v>7809</v>
      </c>
      <c r="R347" s="52"/>
      <c r="S347" s="62">
        <f t="shared" si="290"/>
        <v>7809</v>
      </c>
      <c r="T347" s="52"/>
      <c r="U347" s="62">
        <f t="shared" si="291"/>
        <v>7809</v>
      </c>
      <c r="V347" s="52"/>
      <c r="W347" s="62">
        <f t="shared" si="292"/>
        <v>7809</v>
      </c>
      <c r="X347" s="52"/>
      <c r="Y347" s="62">
        <f t="shared" si="293"/>
        <v>7809</v>
      </c>
      <c r="Z347" s="52"/>
      <c r="AA347" s="62">
        <f t="shared" si="294"/>
        <v>7809</v>
      </c>
      <c r="AB347" s="52"/>
      <c r="AC347" s="62">
        <f t="shared" si="295"/>
        <v>7809</v>
      </c>
    </row>
    <row r="348" spans="1:29" s="25" customFormat="1" ht="21" customHeight="1">
      <c r="A348" s="69"/>
      <c r="B348" s="59"/>
      <c r="C348" s="41">
        <v>4260</v>
      </c>
      <c r="D348" s="36" t="s">
        <v>88</v>
      </c>
      <c r="E348" s="52">
        <v>8400</v>
      </c>
      <c r="F348" s="52"/>
      <c r="G348" s="62">
        <f t="shared" si="232"/>
        <v>8400</v>
      </c>
      <c r="H348" s="52"/>
      <c r="I348" s="62">
        <f t="shared" si="285"/>
        <v>8400</v>
      </c>
      <c r="J348" s="52"/>
      <c r="K348" s="62">
        <f t="shared" si="286"/>
        <v>8400</v>
      </c>
      <c r="L348" s="52"/>
      <c r="M348" s="62">
        <f t="shared" si="287"/>
        <v>8400</v>
      </c>
      <c r="N348" s="52"/>
      <c r="O348" s="62">
        <f t="shared" si="288"/>
        <v>8400</v>
      </c>
      <c r="P348" s="52"/>
      <c r="Q348" s="62">
        <f t="shared" si="289"/>
        <v>8400</v>
      </c>
      <c r="R348" s="52"/>
      <c r="S348" s="62">
        <f t="shared" si="290"/>
        <v>8400</v>
      </c>
      <c r="T348" s="52"/>
      <c r="U348" s="62">
        <f t="shared" si="291"/>
        <v>8400</v>
      </c>
      <c r="V348" s="52"/>
      <c r="W348" s="62">
        <f t="shared" si="292"/>
        <v>8400</v>
      </c>
      <c r="X348" s="52">
        <v>2500</v>
      </c>
      <c r="Y348" s="62">
        <f t="shared" si="293"/>
        <v>10900</v>
      </c>
      <c r="Z348" s="52"/>
      <c r="AA348" s="62">
        <f t="shared" si="294"/>
        <v>10900</v>
      </c>
      <c r="AB348" s="52"/>
      <c r="AC348" s="62">
        <f t="shared" si="295"/>
        <v>10900</v>
      </c>
    </row>
    <row r="349" spans="1:29" s="25" customFormat="1" ht="21" customHeight="1">
      <c r="A349" s="69"/>
      <c r="B349" s="59"/>
      <c r="C349" s="41">
        <v>4270</v>
      </c>
      <c r="D349" s="36" t="s">
        <v>74</v>
      </c>
      <c r="E349" s="52">
        <v>2000</v>
      </c>
      <c r="F349" s="52"/>
      <c r="G349" s="62">
        <f t="shared" si="232"/>
        <v>2000</v>
      </c>
      <c r="H349" s="52"/>
      <c r="I349" s="62">
        <f t="shared" si="285"/>
        <v>2000</v>
      </c>
      <c r="J349" s="52"/>
      <c r="K349" s="62">
        <f t="shared" si="286"/>
        <v>2000</v>
      </c>
      <c r="L349" s="52"/>
      <c r="M349" s="62">
        <f t="shared" si="287"/>
        <v>2000</v>
      </c>
      <c r="N349" s="52"/>
      <c r="O349" s="62">
        <f t="shared" si="288"/>
        <v>2000</v>
      </c>
      <c r="P349" s="52"/>
      <c r="Q349" s="62">
        <f t="shared" si="289"/>
        <v>2000</v>
      </c>
      <c r="R349" s="52"/>
      <c r="S349" s="62">
        <f t="shared" si="290"/>
        <v>2000</v>
      </c>
      <c r="T349" s="52"/>
      <c r="U349" s="62">
        <f t="shared" si="291"/>
        <v>2000</v>
      </c>
      <c r="V349" s="52"/>
      <c r="W349" s="62">
        <f t="shared" si="292"/>
        <v>2000</v>
      </c>
      <c r="X349" s="52">
        <v>-1000</v>
      </c>
      <c r="Y349" s="62">
        <f t="shared" si="293"/>
        <v>1000</v>
      </c>
      <c r="Z349" s="52"/>
      <c r="AA349" s="62">
        <f t="shared" si="294"/>
        <v>1000</v>
      </c>
      <c r="AB349" s="52"/>
      <c r="AC349" s="62">
        <f t="shared" si="295"/>
        <v>1000</v>
      </c>
    </row>
    <row r="350" spans="1:29" s="25" customFormat="1" ht="21" customHeight="1">
      <c r="A350" s="69"/>
      <c r="B350" s="59"/>
      <c r="C350" s="41">
        <v>4280</v>
      </c>
      <c r="D350" s="36" t="s">
        <v>432</v>
      </c>
      <c r="E350" s="52">
        <v>960</v>
      </c>
      <c r="F350" s="52"/>
      <c r="G350" s="62">
        <f t="shared" si="232"/>
        <v>960</v>
      </c>
      <c r="H350" s="52"/>
      <c r="I350" s="62">
        <f t="shared" si="285"/>
        <v>960</v>
      </c>
      <c r="J350" s="52"/>
      <c r="K350" s="62">
        <f t="shared" si="286"/>
        <v>960</v>
      </c>
      <c r="L350" s="52"/>
      <c r="M350" s="62">
        <f t="shared" si="287"/>
        <v>960</v>
      </c>
      <c r="N350" s="52"/>
      <c r="O350" s="62">
        <f t="shared" si="288"/>
        <v>960</v>
      </c>
      <c r="P350" s="52"/>
      <c r="Q350" s="62">
        <f t="shared" si="289"/>
        <v>960</v>
      </c>
      <c r="R350" s="52"/>
      <c r="S350" s="62">
        <f t="shared" si="290"/>
        <v>960</v>
      </c>
      <c r="T350" s="52"/>
      <c r="U350" s="62">
        <f t="shared" si="291"/>
        <v>960</v>
      </c>
      <c r="V350" s="52"/>
      <c r="W350" s="62">
        <f t="shared" si="292"/>
        <v>960</v>
      </c>
      <c r="X350" s="52"/>
      <c r="Y350" s="62">
        <f t="shared" si="293"/>
        <v>960</v>
      </c>
      <c r="Z350" s="52"/>
      <c r="AA350" s="62">
        <f t="shared" si="294"/>
        <v>960</v>
      </c>
      <c r="AB350" s="52"/>
      <c r="AC350" s="62">
        <f t="shared" si="295"/>
        <v>960</v>
      </c>
    </row>
    <row r="351" spans="1:29" s="25" customFormat="1" ht="21" customHeight="1">
      <c r="A351" s="69"/>
      <c r="B351" s="59"/>
      <c r="C351" s="41">
        <v>4300</v>
      </c>
      <c r="D351" s="14" t="s">
        <v>75</v>
      </c>
      <c r="E351" s="52">
        <v>6700</v>
      </c>
      <c r="F351" s="52"/>
      <c r="G351" s="62">
        <f t="shared" si="232"/>
        <v>6700</v>
      </c>
      <c r="H351" s="52"/>
      <c r="I351" s="62">
        <f t="shared" si="285"/>
        <v>6700</v>
      </c>
      <c r="J351" s="52"/>
      <c r="K351" s="62">
        <f t="shared" si="286"/>
        <v>6700</v>
      </c>
      <c r="L351" s="52">
        <v>-2500</v>
      </c>
      <c r="M351" s="62">
        <f t="shared" si="287"/>
        <v>4200</v>
      </c>
      <c r="N351" s="52"/>
      <c r="O351" s="62">
        <f t="shared" si="288"/>
        <v>4200</v>
      </c>
      <c r="P351" s="52"/>
      <c r="Q351" s="62">
        <f t="shared" si="289"/>
        <v>4200</v>
      </c>
      <c r="R351" s="52"/>
      <c r="S351" s="62">
        <f t="shared" si="290"/>
        <v>4200</v>
      </c>
      <c r="T351" s="52"/>
      <c r="U351" s="62">
        <f t="shared" si="291"/>
        <v>4200</v>
      </c>
      <c r="V351" s="52"/>
      <c r="W351" s="62">
        <f t="shared" si="292"/>
        <v>4200</v>
      </c>
      <c r="X351" s="52"/>
      <c r="Y351" s="62">
        <f t="shared" si="293"/>
        <v>4200</v>
      </c>
      <c r="Z351" s="52"/>
      <c r="AA351" s="62">
        <f t="shared" si="294"/>
        <v>4200</v>
      </c>
      <c r="AB351" s="52"/>
      <c r="AC351" s="62">
        <f t="shared" si="295"/>
        <v>4200</v>
      </c>
    </row>
    <row r="352" spans="1:29" s="25" customFormat="1" ht="21" customHeight="1">
      <c r="A352" s="69"/>
      <c r="B352" s="59"/>
      <c r="C352" s="41">
        <v>4350</v>
      </c>
      <c r="D352" s="36" t="s">
        <v>169</v>
      </c>
      <c r="E352" s="52">
        <v>3000</v>
      </c>
      <c r="F352" s="52"/>
      <c r="G352" s="62">
        <f t="shared" si="232"/>
        <v>3000</v>
      </c>
      <c r="H352" s="52"/>
      <c r="I352" s="62">
        <f t="shared" si="285"/>
        <v>3000</v>
      </c>
      <c r="J352" s="52"/>
      <c r="K352" s="62">
        <f t="shared" si="286"/>
        <v>3000</v>
      </c>
      <c r="L352" s="52"/>
      <c r="M352" s="62">
        <f t="shared" si="287"/>
        <v>3000</v>
      </c>
      <c r="N352" s="52"/>
      <c r="O352" s="62">
        <f t="shared" si="288"/>
        <v>3000</v>
      </c>
      <c r="P352" s="52"/>
      <c r="Q352" s="62">
        <f t="shared" si="289"/>
        <v>3000</v>
      </c>
      <c r="R352" s="52"/>
      <c r="S352" s="62">
        <f t="shared" si="290"/>
        <v>3000</v>
      </c>
      <c r="T352" s="52"/>
      <c r="U352" s="62">
        <f t="shared" si="291"/>
        <v>3000</v>
      </c>
      <c r="V352" s="52"/>
      <c r="W352" s="62">
        <v>1200</v>
      </c>
      <c r="X352" s="52"/>
      <c r="Y352" s="62">
        <f t="shared" si="293"/>
        <v>1200</v>
      </c>
      <c r="Z352" s="52"/>
      <c r="AA352" s="62">
        <f t="shared" si="294"/>
        <v>1200</v>
      </c>
      <c r="AB352" s="52"/>
      <c r="AC352" s="62">
        <f t="shared" si="295"/>
        <v>1200</v>
      </c>
    </row>
    <row r="353" spans="1:29" s="25" customFormat="1" ht="24">
      <c r="A353" s="69"/>
      <c r="B353" s="59"/>
      <c r="C353" s="41">
        <v>4360</v>
      </c>
      <c r="D353" s="36" t="s">
        <v>413</v>
      </c>
      <c r="E353" s="52">
        <v>960</v>
      </c>
      <c r="F353" s="52"/>
      <c r="G353" s="62">
        <f t="shared" si="232"/>
        <v>960</v>
      </c>
      <c r="H353" s="52"/>
      <c r="I353" s="62">
        <f t="shared" si="285"/>
        <v>960</v>
      </c>
      <c r="J353" s="52"/>
      <c r="K353" s="62">
        <f t="shared" si="286"/>
        <v>960</v>
      </c>
      <c r="L353" s="52"/>
      <c r="M353" s="62">
        <f t="shared" si="287"/>
        <v>960</v>
      </c>
      <c r="N353" s="52"/>
      <c r="O353" s="62">
        <f t="shared" si="288"/>
        <v>960</v>
      </c>
      <c r="P353" s="52"/>
      <c r="Q353" s="62">
        <f t="shared" si="289"/>
        <v>960</v>
      </c>
      <c r="R353" s="52"/>
      <c r="S353" s="62">
        <f t="shared" si="290"/>
        <v>960</v>
      </c>
      <c r="T353" s="52"/>
      <c r="U353" s="62">
        <f t="shared" si="291"/>
        <v>960</v>
      </c>
      <c r="V353" s="52"/>
      <c r="W353" s="62">
        <f t="shared" si="292"/>
        <v>960</v>
      </c>
      <c r="X353" s="52"/>
      <c r="Y353" s="62">
        <f t="shared" si="293"/>
        <v>960</v>
      </c>
      <c r="Z353" s="52"/>
      <c r="AA353" s="62">
        <f t="shared" si="294"/>
        <v>960</v>
      </c>
      <c r="AB353" s="52"/>
      <c r="AC353" s="62">
        <f t="shared" si="295"/>
        <v>960</v>
      </c>
    </row>
    <row r="354" spans="1:29" s="25" customFormat="1" ht="24">
      <c r="A354" s="69"/>
      <c r="B354" s="59"/>
      <c r="C354" s="41">
        <v>4370</v>
      </c>
      <c r="D354" s="36" t="s">
        <v>182</v>
      </c>
      <c r="E354" s="52">
        <v>2000</v>
      </c>
      <c r="F354" s="52"/>
      <c r="G354" s="62">
        <f t="shared" si="232"/>
        <v>2000</v>
      </c>
      <c r="H354" s="52"/>
      <c r="I354" s="62">
        <f t="shared" si="285"/>
        <v>2000</v>
      </c>
      <c r="J354" s="52"/>
      <c r="K354" s="62">
        <f t="shared" si="286"/>
        <v>2000</v>
      </c>
      <c r="L354" s="52"/>
      <c r="M354" s="62">
        <f t="shared" si="287"/>
        <v>2000</v>
      </c>
      <c r="N354" s="52"/>
      <c r="O354" s="62">
        <f t="shared" si="288"/>
        <v>2000</v>
      </c>
      <c r="P354" s="52"/>
      <c r="Q354" s="62">
        <f t="shared" si="289"/>
        <v>2000</v>
      </c>
      <c r="R354" s="52"/>
      <c r="S354" s="62">
        <f t="shared" si="290"/>
        <v>2000</v>
      </c>
      <c r="T354" s="52"/>
      <c r="U354" s="62">
        <f t="shared" si="291"/>
        <v>2000</v>
      </c>
      <c r="V354" s="52"/>
      <c r="W354" s="62">
        <v>4500</v>
      </c>
      <c r="X354" s="52"/>
      <c r="Y354" s="62">
        <f t="shared" si="293"/>
        <v>4500</v>
      </c>
      <c r="Z354" s="52"/>
      <c r="AA354" s="62">
        <f t="shared" si="294"/>
        <v>4500</v>
      </c>
      <c r="AB354" s="52"/>
      <c r="AC354" s="62">
        <f t="shared" si="295"/>
        <v>4500</v>
      </c>
    </row>
    <row r="355" spans="1:29" s="25" customFormat="1" ht="21" customHeight="1">
      <c r="A355" s="69"/>
      <c r="B355" s="59"/>
      <c r="C355" s="41">
        <v>4410</v>
      </c>
      <c r="D355" s="36" t="s">
        <v>85</v>
      </c>
      <c r="E355" s="52">
        <v>4000</v>
      </c>
      <c r="F355" s="52"/>
      <c r="G355" s="62">
        <f t="shared" si="232"/>
        <v>4000</v>
      </c>
      <c r="H355" s="52"/>
      <c r="I355" s="62">
        <f t="shared" si="285"/>
        <v>4000</v>
      </c>
      <c r="J355" s="52">
        <v>2000</v>
      </c>
      <c r="K355" s="62">
        <f t="shared" si="286"/>
        <v>6000</v>
      </c>
      <c r="L355" s="52"/>
      <c r="M355" s="62">
        <f t="shared" si="287"/>
        <v>6000</v>
      </c>
      <c r="N355" s="52"/>
      <c r="O355" s="62">
        <f t="shared" si="288"/>
        <v>6000</v>
      </c>
      <c r="P355" s="52"/>
      <c r="Q355" s="62">
        <f t="shared" si="289"/>
        <v>6000</v>
      </c>
      <c r="R355" s="52"/>
      <c r="S355" s="62">
        <f t="shared" si="290"/>
        <v>6000</v>
      </c>
      <c r="T355" s="52"/>
      <c r="U355" s="62">
        <f t="shared" si="291"/>
        <v>6000</v>
      </c>
      <c r="V355" s="52"/>
      <c r="W355" s="62">
        <v>5300</v>
      </c>
      <c r="X355" s="52"/>
      <c r="Y355" s="62">
        <f t="shared" si="293"/>
        <v>5300</v>
      </c>
      <c r="Z355" s="52"/>
      <c r="AA355" s="62">
        <f t="shared" si="294"/>
        <v>5300</v>
      </c>
      <c r="AB355" s="52"/>
      <c r="AC355" s="62">
        <f t="shared" si="295"/>
        <v>5300</v>
      </c>
    </row>
    <row r="356" spans="1:29" s="25" customFormat="1" ht="21" customHeight="1">
      <c r="A356" s="69"/>
      <c r="B356" s="59"/>
      <c r="C356" s="41">
        <v>4430</v>
      </c>
      <c r="D356" s="36" t="s">
        <v>87</v>
      </c>
      <c r="E356" s="52">
        <v>7800</v>
      </c>
      <c r="F356" s="52"/>
      <c r="G356" s="62">
        <f t="shared" si="232"/>
        <v>7800</v>
      </c>
      <c r="H356" s="52"/>
      <c r="I356" s="62">
        <f t="shared" si="285"/>
        <v>7800</v>
      </c>
      <c r="J356" s="52">
        <v>1000</v>
      </c>
      <c r="K356" s="62">
        <f t="shared" si="286"/>
        <v>8800</v>
      </c>
      <c r="L356" s="52"/>
      <c r="M356" s="62">
        <f t="shared" si="287"/>
        <v>8800</v>
      </c>
      <c r="N356" s="52"/>
      <c r="O356" s="62">
        <f t="shared" si="288"/>
        <v>8800</v>
      </c>
      <c r="P356" s="52"/>
      <c r="Q356" s="62">
        <f t="shared" si="289"/>
        <v>8800</v>
      </c>
      <c r="R356" s="52"/>
      <c r="S356" s="62">
        <f t="shared" si="290"/>
        <v>8800</v>
      </c>
      <c r="T356" s="52"/>
      <c r="U356" s="62">
        <f t="shared" si="291"/>
        <v>8800</v>
      </c>
      <c r="V356" s="52"/>
      <c r="W356" s="62">
        <f t="shared" si="292"/>
        <v>8800</v>
      </c>
      <c r="X356" s="52">
        <v>-1500</v>
      </c>
      <c r="Y356" s="62">
        <f t="shared" si="293"/>
        <v>7300</v>
      </c>
      <c r="Z356" s="52"/>
      <c r="AA356" s="62">
        <f t="shared" si="294"/>
        <v>7300</v>
      </c>
      <c r="AB356" s="52"/>
      <c r="AC356" s="62">
        <f t="shared" si="295"/>
        <v>7300</v>
      </c>
    </row>
    <row r="357" spans="1:29" s="25" customFormat="1" ht="24">
      <c r="A357" s="69"/>
      <c r="B357" s="59"/>
      <c r="C357" s="41">
        <v>4440</v>
      </c>
      <c r="D357" s="14" t="s">
        <v>83</v>
      </c>
      <c r="E357" s="52">
        <v>4875</v>
      </c>
      <c r="F357" s="52"/>
      <c r="G357" s="62">
        <f t="shared" si="232"/>
        <v>4875</v>
      </c>
      <c r="H357" s="52"/>
      <c r="I357" s="62">
        <f t="shared" si="285"/>
        <v>4875</v>
      </c>
      <c r="J357" s="52">
        <v>126</v>
      </c>
      <c r="K357" s="62">
        <f t="shared" si="286"/>
        <v>5001</v>
      </c>
      <c r="L357" s="52"/>
      <c r="M357" s="62">
        <f t="shared" si="287"/>
        <v>5001</v>
      </c>
      <c r="N357" s="52"/>
      <c r="O357" s="62">
        <f t="shared" si="288"/>
        <v>5001</v>
      </c>
      <c r="P357" s="52"/>
      <c r="Q357" s="62">
        <f t="shared" si="289"/>
        <v>5001</v>
      </c>
      <c r="R357" s="52"/>
      <c r="S357" s="62">
        <f t="shared" si="290"/>
        <v>5001</v>
      </c>
      <c r="T357" s="52"/>
      <c r="U357" s="62">
        <f t="shared" si="291"/>
        <v>5001</v>
      </c>
      <c r="V357" s="52"/>
      <c r="W357" s="62">
        <f t="shared" si="292"/>
        <v>5001</v>
      </c>
      <c r="X357" s="52"/>
      <c r="Y357" s="62">
        <f t="shared" si="293"/>
        <v>5001</v>
      </c>
      <c r="Z357" s="52"/>
      <c r="AA357" s="62">
        <f t="shared" si="294"/>
        <v>5001</v>
      </c>
      <c r="AB357" s="52"/>
      <c r="AC357" s="62">
        <f t="shared" si="295"/>
        <v>5001</v>
      </c>
    </row>
    <row r="358" spans="1:29" s="25" customFormat="1" ht="21" customHeight="1">
      <c r="A358" s="69"/>
      <c r="B358" s="59"/>
      <c r="C358" s="41">
        <v>4580</v>
      </c>
      <c r="D358" s="14" t="s">
        <v>11</v>
      </c>
      <c r="E358" s="52"/>
      <c r="F358" s="52"/>
      <c r="G358" s="62"/>
      <c r="H358" s="52"/>
      <c r="I358" s="62">
        <v>0</v>
      </c>
      <c r="J358" s="52">
        <v>200</v>
      </c>
      <c r="K358" s="62">
        <f t="shared" si="286"/>
        <v>200</v>
      </c>
      <c r="L358" s="52"/>
      <c r="M358" s="62">
        <f t="shared" si="287"/>
        <v>200</v>
      </c>
      <c r="N358" s="52"/>
      <c r="O358" s="62">
        <f t="shared" si="288"/>
        <v>200</v>
      </c>
      <c r="P358" s="52"/>
      <c r="Q358" s="62">
        <f t="shared" si="289"/>
        <v>200</v>
      </c>
      <c r="R358" s="52"/>
      <c r="S358" s="62">
        <f t="shared" si="290"/>
        <v>200</v>
      </c>
      <c r="T358" s="52"/>
      <c r="U358" s="62">
        <f t="shared" si="291"/>
        <v>200</v>
      </c>
      <c r="V358" s="52"/>
      <c r="W358" s="62">
        <f t="shared" si="292"/>
        <v>200</v>
      </c>
      <c r="X358" s="52"/>
      <c r="Y358" s="62">
        <f t="shared" si="293"/>
        <v>200</v>
      </c>
      <c r="Z358" s="52"/>
      <c r="AA358" s="62">
        <f t="shared" si="294"/>
        <v>200</v>
      </c>
      <c r="AB358" s="52"/>
      <c r="AC358" s="62">
        <f t="shared" si="295"/>
        <v>200</v>
      </c>
    </row>
    <row r="359" spans="1:29" s="25" customFormat="1" ht="24">
      <c r="A359" s="69"/>
      <c r="B359" s="59"/>
      <c r="C359" s="41">
        <v>4610</v>
      </c>
      <c r="D359" s="36" t="s">
        <v>151</v>
      </c>
      <c r="E359" s="52">
        <v>1000</v>
      </c>
      <c r="F359" s="52"/>
      <c r="G359" s="62">
        <f t="shared" si="232"/>
        <v>1000</v>
      </c>
      <c r="H359" s="52"/>
      <c r="I359" s="62">
        <f t="shared" si="285"/>
        <v>1000</v>
      </c>
      <c r="J359" s="52"/>
      <c r="K359" s="62">
        <f t="shared" si="286"/>
        <v>1000</v>
      </c>
      <c r="L359" s="52"/>
      <c r="M359" s="62">
        <f t="shared" si="287"/>
        <v>1000</v>
      </c>
      <c r="N359" s="52"/>
      <c r="O359" s="62">
        <f t="shared" si="288"/>
        <v>1000</v>
      </c>
      <c r="P359" s="52"/>
      <c r="Q359" s="62">
        <f t="shared" si="289"/>
        <v>1000</v>
      </c>
      <c r="R359" s="52"/>
      <c r="S359" s="62">
        <f t="shared" si="290"/>
        <v>1000</v>
      </c>
      <c r="T359" s="52"/>
      <c r="U359" s="62">
        <f t="shared" si="291"/>
        <v>1000</v>
      </c>
      <c r="V359" s="52"/>
      <c r="W359" s="62">
        <f t="shared" si="292"/>
        <v>1000</v>
      </c>
      <c r="X359" s="52"/>
      <c r="Y359" s="62">
        <f t="shared" si="293"/>
        <v>1000</v>
      </c>
      <c r="Z359" s="52"/>
      <c r="AA359" s="62">
        <f t="shared" si="294"/>
        <v>1000</v>
      </c>
      <c r="AB359" s="52"/>
      <c r="AC359" s="62">
        <f t="shared" si="295"/>
        <v>1000</v>
      </c>
    </row>
    <row r="360" spans="1:29" s="25" customFormat="1" ht="24">
      <c r="A360" s="69"/>
      <c r="B360" s="59"/>
      <c r="C360" s="41">
        <v>4700</v>
      </c>
      <c r="D360" s="36" t="s">
        <v>225</v>
      </c>
      <c r="E360" s="52">
        <v>3300</v>
      </c>
      <c r="F360" s="52"/>
      <c r="G360" s="62">
        <f aca="true" t="shared" si="296" ref="G360:G437">SUM(E360:F360)</f>
        <v>3300</v>
      </c>
      <c r="H360" s="52"/>
      <c r="I360" s="62">
        <f t="shared" si="285"/>
        <v>3300</v>
      </c>
      <c r="J360" s="52"/>
      <c r="K360" s="62">
        <f t="shared" si="286"/>
        <v>3300</v>
      </c>
      <c r="L360" s="52"/>
      <c r="M360" s="62">
        <f t="shared" si="287"/>
        <v>3300</v>
      </c>
      <c r="N360" s="52"/>
      <c r="O360" s="62">
        <f t="shared" si="288"/>
        <v>3300</v>
      </c>
      <c r="P360" s="52"/>
      <c r="Q360" s="62">
        <f t="shared" si="289"/>
        <v>3300</v>
      </c>
      <c r="R360" s="52"/>
      <c r="S360" s="62">
        <f t="shared" si="290"/>
        <v>3300</v>
      </c>
      <c r="T360" s="52"/>
      <c r="U360" s="62">
        <f t="shared" si="291"/>
        <v>3300</v>
      </c>
      <c r="V360" s="52"/>
      <c r="W360" s="62">
        <f t="shared" si="292"/>
        <v>3300</v>
      </c>
      <c r="X360" s="52"/>
      <c r="Y360" s="62">
        <f t="shared" si="293"/>
        <v>3300</v>
      </c>
      <c r="Z360" s="52"/>
      <c r="AA360" s="62">
        <f t="shared" si="294"/>
        <v>3300</v>
      </c>
      <c r="AB360" s="52"/>
      <c r="AC360" s="62">
        <f t="shared" si="295"/>
        <v>3300</v>
      </c>
    </row>
    <row r="361" spans="1:29" s="25" customFormat="1" ht="36">
      <c r="A361" s="69"/>
      <c r="B361" s="59"/>
      <c r="C361" s="41">
        <v>4740</v>
      </c>
      <c r="D361" s="36" t="s">
        <v>183</v>
      </c>
      <c r="E361" s="52">
        <v>2000</v>
      </c>
      <c r="F361" s="52"/>
      <c r="G361" s="62">
        <f t="shared" si="296"/>
        <v>2000</v>
      </c>
      <c r="H361" s="52"/>
      <c r="I361" s="62">
        <f t="shared" si="285"/>
        <v>2000</v>
      </c>
      <c r="J361" s="52">
        <v>1000</v>
      </c>
      <c r="K361" s="62">
        <f t="shared" si="286"/>
        <v>3000</v>
      </c>
      <c r="L361" s="52"/>
      <c r="M361" s="62">
        <f t="shared" si="287"/>
        <v>3000</v>
      </c>
      <c r="N361" s="52"/>
      <c r="O361" s="62">
        <f t="shared" si="288"/>
        <v>3000</v>
      </c>
      <c r="P361" s="52"/>
      <c r="Q361" s="62">
        <f t="shared" si="289"/>
        <v>3000</v>
      </c>
      <c r="R361" s="52"/>
      <c r="S361" s="62">
        <f t="shared" si="290"/>
        <v>3000</v>
      </c>
      <c r="T361" s="52"/>
      <c r="U361" s="62">
        <f t="shared" si="291"/>
        <v>3000</v>
      </c>
      <c r="V361" s="52"/>
      <c r="W361" s="62">
        <f t="shared" si="292"/>
        <v>3000</v>
      </c>
      <c r="X361" s="52"/>
      <c r="Y361" s="62">
        <f t="shared" si="293"/>
        <v>3000</v>
      </c>
      <c r="Z361" s="52"/>
      <c r="AA361" s="62">
        <f t="shared" si="294"/>
        <v>3000</v>
      </c>
      <c r="AB361" s="52"/>
      <c r="AC361" s="62">
        <f t="shared" si="295"/>
        <v>3000</v>
      </c>
    </row>
    <row r="362" spans="1:29" s="25" customFormat="1" ht="24">
      <c r="A362" s="69"/>
      <c r="B362" s="59"/>
      <c r="C362" s="41">
        <v>4750</v>
      </c>
      <c r="D362" s="36" t="s">
        <v>230</v>
      </c>
      <c r="E362" s="52">
        <v>2000</v>
      </c>
      <c r="F362" s="52"/>
      <c r="G362" s="62">
        <f t="shared" si="296"/>
        <v>2000</v>
      </c>
      <c r="H362" s="52"/>
      <c r="I362" s="62">
        <f t="shared" si="285"/>
        <v>2000</v>
      </c>
      <c r="J362" s="52">
        <v>1000</v>
      </c>
      <c r="K362" s="62">
        <f t="shared" si="286"/>
        <v>3000</v>
      </c>
      <c r="L362" s="52">
        <v>6700</v>
      </c>
      <c r="M362" s="62">
        <f t="shared" si="287"/>
        <v>9700</v>
      </c>
      <c r="N362" s="52"/>
      <c r="O362" s="62">
        <f t="shared" si="288"/>
        <v>9700</v>
      </c>
      <c r="P362" s="52"/>
      <c r="Q362" s="62">
        <f t="shared" si="289"/>
        <v>9700</v>
      </c>
      <c r="R362" s="52"/>
      <c r="S362" s="62">
        <f t="shared" si="290"/>
        <v>9700</v>
      </c>
      <c r="T362" s="52"/>
      <c r="U362" s="62">
        <f t="shared" si="291"/>
        <v>9700</v>
      </c>
      <c r="V362" s="52"/>
      <c r="W362" s="62">
        <f t="shared" si="292"/>
        <v>9700</v>
      </c>
      <c r="X362" s="52"/>
      <c r="Y362" s="62">
        <f t="shared" si="293"/>
        <v>9700</v>
      </c>
      <c r="Z362" s="52"/>
      <c r="AA362" s="62">
        <f t="shared" si="294"/>
        <v>9700</v>
      </c>
      <c r="AB362" s="52"/>
      <c r="AC362" s="62">
        <f t="shared" si="295"/>
        <v>9700</v>
      </c>
    </row>
    <row r="363" spans="1:29" s="25" customFormat="1" ht="72">
      <c r="A363" s="49"/>
      <c r="B363" s="206">
        <v>85213</v>
      </c>
      <c r="C363" s="66"/>
      <c r="D363" s="58" t="s">
        <v>250</v>
      </c>
      <c r="E363" s="62">
        <f aca="true" t="shared" si="297" ref="E363:AC363">SUM(E364)</f>
        <v>59100</v>
      </c>
      <c r="F363" s="62">
        <f t="shared" si="297"/>
        <v>0</v>
      </c>
      <c r="G363" s="62">
        <f t="shared" si="297"/>
        <v>59100</v>
      </c>
      <c r="H363" s="62">
        <f t="shared" si="297"/>
        <v>0</v>
      </c>
      <c r="I363" s="62">
        <f t="shared" si="297"/>
        <v>59100</v>
      </c>
      <c r="J363" s="62">
        <f t="shared" si="297"/>
        <v>-4100</v>
      </c>
      <c r="K363" s="62">
        <f t="shared" si="297"/>
        <v>55000</v>
      </c>
      <c r="L363" s="62">
        <f t="shared" si="297"/>
        <v>0</v>
      </c>
      <c r="M363" s="62">
        <f t="shared" si="297"/>
        <v>55000</v>
      </c>
      <c r="N363" s="62">
        <f t="shared" si="297"/>
        <v>0</v>
      </c>
      <c r="O363" s="62">
        <f t="shared" si="297"/>
        <v>55000</v>
      </c>
      <c r="P363" s="62">
        <f t="shared" si="297"/>
        <v>0</v>
      </c>
      <c r="Q363" s="62">
        <f t="shared" si="297"/>
        <v>55000</v>
      </c>
      <c r="R363" s="62">
        <f t="shared" si="297"/>
        <v>0</v>
      </c>
      <c r="S363" s="62">
        <f t="shared" si="297"/>
        <v>55000</v>
      </c>
      <c r="T363" s="62">
        <f t="shared" si="297"/>
        <v>0</v>
      </c>
      <c r="U363" s="62">
        <f t="shared" si="297"/>
        <v>55000</v>
      </c>
      <c r="V363" s="62">
        <f t="shared" si="297"/>
        <v>0</v>
      </c>
      <c r="W363" s="62">
        <f t="shared" si="297"/>
        <v>55000</v>
      </c>
      <c r="X363" s="62">
        <f t="shared" si="297"/>
        <v>0</v>
      </c>
      <c r="Y363" s="62">
        <f t="shared" si="297"/>
        <v>55000</v>
      </c>
      <c r="Z363" s="62">
        <f t="shared" si="297"/>
        <v>0</v>
      </c>
      <c r="AA363" s="62">
        <f t="shared" si="297"/>
        <v>55000</v>
      </c>
      <c r="AB363" s="62">
        <f t="shared" si="297"/>
        <v>-3945</v>
      </c>
      <c r="AC363" s="62">
        <f t="shared" si="297"/>
        <v>51055</v>
      </c>
    </row>
    <row r="364" spans="1:29" s="25" customFormat="1" ht="21" customHeight="1">
      <c r="A364" s="49"/>
      <c r="B364" s="206"/>
      <c r="C364" s="66">
        <v>4130</v>
      </c>
      <c r="D364" s="36" t="s">
        <v>99</v>
      </c>
      <c r="E364" s="52">
        <v>59100</v>
      </c>
      <c r="F364" s="52"/>
      <c r="G364" s="62">
        <f t="shared" si="296"/>
        <v>59100</v>
      </c>
      <c r="H364" s="52"/>
      <c r="I364" s="62">
        <f>SUM(G364:H364)</f>
        <v>59100</v>
      </c>
      <c r="J364" s="52">
        <v>-4100</v>
      </c>
      <c r="K364" s="62">
        <f>SUM(I364:J364)</f>
        <v>55000</v>
      </c>
      <c r="L364" s="52"/>
      <c r="M364" s="62">
        <f>SUM(K364:L364)</f>
        <v>55000</v>
      </c>
      <c r="N364" s="52"/>
      <c r="O364" s="62">
        <f>SUM(M364:N364)</f>
        <v>55000</v>
      </c>
      <c r="P364" s="52"/>
      <c r="Q364" s="62">
        <f>SUM(O364:P364)</f>
        <v>55000</v>
      </c>
      <c r="R364" s="52"/>
      <c r="S364" s="62">
        <f>SUM(Q364:R364)</f>
        <v>55000</v>
      </c>
      <c r="T364" s="52"/>
      <c r="U364" s="62">
        <f>SUM(S364:T364)</f>
        <v>55000</v>
      </c>
      <c r="V364" s="52"/>
      <c r="W364" s="62">
        <f>SUM(U364:V364)</f>
        <v>55000</v>
      </c>
      <c r="X364" s="52"/>
      <c r="Y364" s="62">
        <f>SUM(W364:X364)</f>
        <v>55000</v>
      </c>
      <c r="Z364" s="52"/>
      <c r="AA364" s="62">
        <f>SUM(Y364:Z364)</f>
        <v>55000</v>
      </c>
      <c r="AB364" s="52">
        <v>-3945</v>
      </c>
      <c r="AC364" s="62">
        <f>SUM(AA364:AB364)</f>
        <v>51055</v>
      </c>
    </row>
    <row r="365" spans="1:29" s="25" customFormat="1" ht="24">
      <c r="A365" s="49"/>
      <c r="B365" s="63">
        <v>85214</v>
      </c>
      <c r="C365" s="66"/>
      <c r="D365" s="36" t="s">
        <v>168</v>
      </c>
      <c r="E365" s="62">
        <f aca="true" t="shared" si="298" ref="E365:W365">SUM(E366:E367)</f>
        <v>1686100</v>
      </c>
      <c r="F365" s="62">
        <f t="shared" si="298"/>
        <v>0</v>
      </c>
      <c r="G365" s="62">
        <f t="shared" si="298"/>
        <v>1686100</v>
      </c>
      <c r="H365" s="62">
        <f t="shared" si="298"/>
        <v>0</v>
      </c>
      <c r="I365" s="62">
        <f t="shared" si="298"/>
        <v>1686100</v>
      </c>
      <c r="J365" s="62">
        <f t="shared" si="298"/>
        <v>-17600</v>
      </c>
      <c r="K365" s="62">
        <f t="shared" si="298"/>
        <v>1668500</v>
      </c>
      <c r="L365" s="62">
        <f t="shared" si="298"/>
        <v>0</v>
      </c>
      <c r="M365" s="62">
        <f t="shared" si="298"/>
        <v>1668500</v>
      </c>
      <c r="N365" s="62">
        <f t="shared" si="298"/>
        <v>0</v>
      </c>
      <c r="O365" s="62">
        <f t="shared" si="298"/>
        <v>1668500</v>
      </c>
      <c r="P365" s="62">
        <f t="shared" si="298"/>
        <v>0</v>
      </c>
      <c r="Q365" s="62">
        <f t="shared" si="298"/>
        <v>1668500</v>
      </c>
      <c r="R365" s="62">
        <f t="shared" si="298"/>
        <v>0</v>
      </c>
      <c r="S365" s="62">
        <f t="shared" si="298"/>
        <v>1668500</v>
      </c>
      <c r="T365" s="62">
        <f t="shared" si="298"/>
        <v>0</v>
      </c>
      <c r="U365" s="62">
        <f t="shared" si="298"/>
        <v>1668500</v>
      </c>
      <c r="V365" s="62">
        <f t="shared" si="298"/>
        <v>0</v>
      </c>
      <c r="W365" s="62">
        <f t="shared" si="298"/>
        <v>1668500</v>
      </c>
      <c r="X365" s="62">
        <f aca="true" t="shared" si="299" ref="X365:AC365">SUM(X366:X367)</f>
        <v>110109</v>
      </c>
      <c r="Y365" s="62">
        <f t="shared" si="299"/>
        <v>1778609</v>
      </c>
      <c r="Z365" s="62">
        <f t="shared" si="299"/>
        <v>150000</v>
      </c>
      <c r="AA365" s="62">
        <f t="shared" si="299"/>
        <v>1928609</v>
      </c>
      <c r="AB365" s="62">
        <f t="shared" si="299"/>
        <v>0</v>
      </c>
      <c r="AC365" s="62">
        <f t="shared" si="299"/>
        <v>1928609</v>
      </c>
    </row>
    <row r="366" spans="1:29" s="25" customFormat="1" ht="21" customHeight="1">
      <c r="A366" s="49"/>
      <c r="B366" s="63"/>
      <c r="C366" s="66">
        <v>3110</v>
      </c>
      <c r="D366" s="36" t="s">
        <v>97</v>
      </c>
      <c r="E366" s="62">
        <f>466900+656100+562000</f>
        <v>1685000</v>
      </c>
      <c r="F366" s="62"/>
      <c r="G366" s="62">
        <f t="shared" si="296"/>
        <v>1685000</v>
      </c>
      <c r="H366" s="62"/>
      <c r="I366" s="62">
        <f>SUM(G366:H366)</f>
        <v>1685000</v>
      </c>
      <c r="J366" s="62">
        <f>-68300+50700</f>
        <v>-17600</v>
      </c>
      <c r="K366" s="62">
        <f>SUM(I366:J366)</f>
        <v>1667400</v>
      </c>
      <c r="L366" s="62"/>
      <c r="M366" s="62">
        <f>SUM(K366:L366)</f>
        <v>1667400</v>
      </c>
      <c r="N366" s="62"/>
      <c r="O366" s="62">
        <f>SUM(M366:N366)</f>
        <v>1667400</v>
      </c>
      <c r="P366" s="62"/>
      <c r="Q366" s="62">
        <f>SUM(O366:P366)</f>
        <v>1667400</v>
      </c>
      <c r="R366" s="62"/>
      <c r="S366" s="62">
        <f>SUM(Q366:R366)</f>
        <v>1667400</v>
      </c>
      <c r="T366" s="62"/>
      <c r="U366" s="62">
        <f>SUM(S366:T366)</f>
        <v>1667400</v>
      </c>
      <c r="V366" s="62"/>
      <c r="W366" s="62">
        <f>SUM(U366:V366)</f>
        <v>1667400</v>
      </c>
      <c r="X366" s="62">
        <v>110109</v>
      </c>
      <c r="Y366" s="62">
        <f>SUM(W366:X366)</f>
        <v>1777509</v>
      </c>
      <c r="Z366" s="62">
        <v>150000</v>
      </c>
      <c r="AA366" s="62">
        <f>SUM(Y366:Z366)</f>
        <v>1927509</v>
      </c>
      <c r="AB366" s="62"/>
      <c r="AC366" s="62">
        <f>SUM(AA366:AB366)</f>
        <v>1927509</v>
      </c>
    </row>
    <row r="367" spans="1:31" s="25" customFormat="1" ht="21" customHeight="1">
      <c r="A367" s="49"/>
      <c r="B367" s="63"/>
      <c r="C367" s="41">
        <v>4110</v>
      </c>
      <c r="D367" s="14" t="s">
        <v>81</v>
      </c>
      <c r="E367" s="62">
        <v>1100</v>
      </c>
      <c r="F367" s="62"/>
      <c r="G367" s="62">
        <f t="shared" si="296"/>
        <v>1100</v>
      </c>
      <c r="H367" s="62"/>
      <c r="I367" s="62">
        <f>SUM(G367:H367)</f>
        <v>1100</v>
      </c>
      <c r="J367" s="62"/>
      <c r="K367" s="62">
        <f>SUM(I367:J367)</f>
        <v>1100</v>
      </c>
      <c r="L367" s="62"/>
      <c r="M367" s="62">
        <f>SUM(K367:L367)</f>
        <v>1100</v>
      </c>
      <c r="N367" s="62"/>
      <c r="O367" s="62">
        <f>SUM(M367:N367)</f>
        <v>1100</v>
      </c>
      <c r="P367" s="62"/>
      <c r="Q367" s="62">
        <f>SUM(O367:P367)</f>
        <v>1100</v>
      </c>
      <c r="R367" s="62"/>
      <c r="S367" s="62">
        <f>SUM(Q367:R367)</f>
        <v>1100</v>
      </c>
      <c r="T367" s="62"/>
      <c r="U367" s="62">
        <f>SUM(S367:T367)</f>
        <v>1100</v>
      </c>
      <c r="V367" s="62"/>
      <c r="W367" s="62">
        <f>SUM(U367:V367)</f>
        <v>1100</v>
      </c>
      <c r="X367" s="62"/>
      <c r="Y367" s="62">
        <f>SUM(W367:X367)</f>
        <v>1100</v>
      </c>
      <c r="Z367" s="62"/>
      <c r="AA367" s="62">
        <f>SUM(Y367:Z367)</f>
        <v>1100</v>
      </c>
      <c r="AB367" s="62"/>
      <c r="AC367" s="62">
        <f>SUM(AA367:AB367)</f>
        <v>1100</v>
      </c>
      <c r="AD367" s="79"/>
      <c r="AE367" s="79"/>
    </row>
    <row r="368" spans="1:29" s="25" customFormat="1" ht="21" customHeight="1">
      <c r="A368" s="49"/>
      <c r="B368" s="63">
        <v>85215</v>
      </c>
      <c r="C368" s="66"/>
      <c r="D368" s="36" t="s">
        <v>444</v>
      </c>
      <c r="E368" s="62">
        <f aca="true" t="shared" si="300" ref="E368:AC368">SUM(E369)</f>
        <v>900000</v>
      </c>
      <c r="F368" s="62">
        <f t="shared" si="300"/>
        <v>0</v>
      </c>
      <c r="G368" s="62">
        <f t="shared" si="300"/>
        <v>900000</v>
      </c>
      <c r="H368" s="62">
        <f t="shared" si="300"/>
        <v>0</v>
      </c>
      <c r="I368" s="62">
        <f t="shared" si="300"/>
        <v>900000</v>
      </c>
      <c r="J368" s="62">
        <f t="shared" si="300"/>
        <v>0</v>
      </c>
      <c r="K368" s="62">
        <f t="shared" si="300"/>
        <v>900000</v>
      </c>
      <c r="L368" s="62">
        <f t="shared" si="300"/>
        <v>0</v>
      </c>
      <c r="M368" s="62">
        <f t="shared" si="300"/>
        <v>900000</v>
      </c>
      <c r="N368" s="62">
        <f t="shared" si="300"/>
        <v>0</v>
      </c>
      <c r="O368" s="62">
        <f t="shared" si="300"/>
        <v>900000</v>
      </c>
      <c r="P368" s="62">
        <f t="shared" si="300"/>
        <v>0</v>
      </c>
      <c r="Q368" s="62">
        <f t="shared" si="300"/>
        <v>900000</v>
      </c>
      <c r="R368" s="62">
        <f t="shared" si="300"/>
        <v>0</v>
      </c>
      <c r="S368" s="62">
        <f t="shared" si="300"/>
        <v>900000</v>
      </c>
      <c r="T368" s="62">
        <f t="shared" si="300"/>
        <v>0</v>
      </c>
      <c r="U368" s="62">
        <f t="shared" si="300"/>
        <v>900000</v>
      </c>
      <c r="V368" s="62">
        <f t="shared" si="300"/>
        <v>0</v>
      </c>
      <c r="W368" s="62">
        <f t="shared" si="300"/>
        <v>900000</v>
      </c>
      <c r="X368" s="62">
        <f t="shared" si="300"/>
        <v>0</v>
      </c>
      <c r="Y368" s="62">
        <f t="shared" si="300"/>
        <v>900000</v>
      </c>
      <c r="Z368" s="62">
        <f t="shared" si="300"/>
        <v>0</v>
      </c>
      <c r="AA368" s="62">
        <f t="shared" si="300"/>
        <v>900000</v>
      </c>
      <c r="AB368" s="62">
        <f t="shared" si="300"/>
        <v>0</v>
      </c>
      <c r="AC368" s="62">
        <f t="shared" si="300"/>
        <v>900000</v>
      </c>
    </row>
    <row r="369" spans="1:29" s="25" customFormat="1" ht="21" customHeight="1">
      <c r="A369" s="49"/>
      <c r="B369" s="63"/>
      <c r="C369" s="66">
        <v>3110</v>
      </c>
      <c r="D369" s="36" t="s">
        <v>97</v>
      </c>
      <c r="E369" s="62">
        <v>900000</v>
      </c>
      <c r="F369" s="62"/>
      <c r="G369" s="62">
        <f t="shared" si="296"/>
        <v>900000</v>
      </c>
      <c r="H369" s="62"/>
      <c r="I369" s="62">
        <f>SUM(G369:H369)</f>
        <v>900000</v>
      </c>
      <c r="J369" s="62"/>
      <c r="K369" s="62">
        <f>SUM(I369:J369)</f>
        <v>900000</v>
      </c>
      <c r="L369" s="62"/>
      <c r="M369" s="62">
        <f>SUM(K369:L369)</f>
        <v>900000</v>
      </c>
      <c r="N369" s="62"/>
      <c r="O369" s="62">
        <f>SUM(M369:N369)</f>
        <v>900000</v>
      </c>
      <c r="P369" s="62"/>
      <c r="Q369" s="62">
        <f>SUM(O369:P369)</f>
        <v>900000</v>
      </c>
      <c r="R369" s="62"/>
      <c r="S369" s="62">
        <f>SUM(Q369:R369)</f>
        <v>900000</v>
      </c>
      <c r="T369" s="62"/>
      <c r="U369" s="62">
        <f>SUM(S369:T369)</f>
        <v>900000</v>
      </c>
      <c r="V369" s="62"/>
      <c r="W369" s="62">
        <f>SUM(U369:V369)</f>
        <v>900000</v>
      </c>
      <c r="X369" s="62"/>
      <c r="Y369" s="62">
        <f>SUM(W369:X369)</f>
        <v>900000</v>
      </c>
      <c r="Z369" s="62"/>
      <c r="AA369" s="62">
        <f>SUM(Y369:Z369)</f>
        <v>900000</v>
      </c>
      <c r="AB369" s="62"/>
      <c r="AC369" s="62">
        <f>SUM(AA369:AB369)</f>
        <v>900000</v>
      </c>
    </row>
    <row r="370" spans="1:29" s="25" customFormat="1" ht="21" customHeight="1">
      <c r="A370" s="49"/>
      <c r="B370" s="63">
        <v>85219</v>
      </c>
      <c r="C370" s="66"/>
      <c r="D370" s="36" t="s">
        <v>57</v>
      </c>
      <c r="E370" s="62">
        <f aca="true" t="shared" si="301" ref="E370:W370">SUM(E371:E393)</f>
        <v>1337592</v>
      </c>
      <c r="F370" s="62">
        <f t="shared" si="301"/>
        <v>0</v>
      </c>
      <c r="G370" s="62">
        <f t="shared" si="301"/>
        <v>1337592</v>
      </c>
      <c r="H370" s="62">
        <f t="shared" si="301"/>
        <v>0</v>
      </c>
      <c r="I370" s="62">
        <f t="shared" si="301"/>
        <v>1337592</v>
      </c>
      <c r="J370" s="62">
        <f t="shared" si="301"/>
        <v>0</v>
      </c>
      <c r="K370" s="62">
        <f t="shared" si="301"/>
        <v>1337592</v>
      </c>
      <c r="L370" s="62">
        <f t="shared" si="301"/>
        <v>36050</v>
      </c>
      <c r="M370" s="62">
        <f t="shared" si="301"/>
        <v>1373642</v>
      </c>
      <c r="N370" s="62">
        <f t="shared" si="301"/>
        <v>0</v>
      </c>
      <c r="O370" s="62">
        <f t="shared" si="301"/>
        <v>1373642</v>
      </c>
      <c r="P370" s="62">
        <f t="shared" si="301"/>
        <v>0</v>
      </c>
      <c r="Q370" s="62">
        <f t="shared" si="301"/>
        <v>1373642</v>
      </c>
      <c r="R370" s="62">
        <f t="shared" si="301"/>
        <v>0</v>
      </c>
      <c r="S370" s="62">
        <f t="shared" si="301"/>
        <v>1373642</v>
      </c>
      <c r="T370" s="62">
        <f t="shared" si="301"/>
        <v>0</v>
      </c>
      <c r="U370" s="62">
        <f t="shared" si="301"/>
        <v>1373642</v>
      </c>
      <c r="V370" s="62">
        <f t="shared" si="301"/>
        <v>2750</v>
      </c>
      <c r="W370" s="62">
        <f t="shared" si="301"/>
        <v>1376392</v>
      </c>
      <c r="X370" s="62">
        <f aca="true" t="shared" si="302" ref="X370:AC370">SUM(X371:X393)</f>
        <v>11509</v>
      </c>
      <c r="Y370" s="62">
        <f t="shared" si="302"/>
        <v>1387901</v>
      </c>
      <c r="Z370" s="62">
        <f t="shared" si="302"/>
        <v>1014</v>
      </c>
      <c r="AA370" s="62">
        <f t="shared" si="302"/>
        <v>1388915</v>
      </c>
      <c r="AB370" s="62">
        <f t="shared" si="302"/>
        <v>-35835</v>
      </c>
      <c r="AC370" s="62">
        <f t="shared" si="302"/>
        <v>1353080</v>
      </c>
    </row>
    <row r="371" spans="1:29" s="25" customFormat="1" ht="24">
      <c r="A371" s="49"/>
      <c r="B371" s="63"/>
      <c r="C371" s="66">
        <v>3020</v>
      </c>
      <c r="D371" s="36" t="s">
        <v>430</v>
      </c>
      <c r="E371" s="62">
        <v>3218</v>
      </c>
      <c r="F371" s="62"/>
      <c r="G371" s="62">
        <f t="shared" si="296"/>
        <v>3218</v>
      </c>
      <c r="H371" s="62"/>
      <c r="I371" s="62">
        <f aca="true" t="shared" si="303" ref="I371:I393">SUM(G371:H371)</f>
        <v>3218</v>
      </c>
      <c r="J371" s="62"/>
      <c r="K371" s="62">
        <f aca="true" t="shared" si="304" ref="K371:K393">SUM(I371:J371)</f>
        <v>3218</v>
      </c>
      <c r="L371" s="62"/>
      <c r="M371" s="62">
        <f aca="true" t="shared" si="305" ref="M371:M393">SUM(K371:L371)</f>
        <v>3218</v>
      </c>
      <c r="N371" s="62"/>
      <c r="O371" s="62">
        <f aca="true" t="shared" si="306" ref="O371:O393">SUM(M371:N371)</f>
        <v>3218</v>
      </c>
      <c r="P371" s="62"/>
      <c r="Q371" s="62">
        <f aca="true" t="shared" si="307" ref="Q371:Q393">SUM(O371:P371)</f>
        <v>3218</v>
      </c>
      <c r="R371" s="62"/>
      <c r="S371" s="62">
        <f aca="true" t="shared" si="308" ref="S371:S393">SUM(Q371:R371)</f>
        <v>3218</v>
      </c>
      <c r="T371" s="62"/>
      <c r="U371" s="62">
        <f aca="true" t="shared" si="309" ref="U371:U393">SUM(S371:T371)</f>
        <v>3218</v>
      </c>
      <c r="V371" s="62"/>
      <c r="W371" s="62">
        <f aca="true" t="shared" si="310" ref="W371:W393">SUM(U371:V371)</f>
        <v>3218</v>
      </c>
      <c r="X371" s="62"/>
      <c r="Y371" s="62">
        <f aca="true" t="shared" si="311" ref="Y371:Y393">SUM(W371:X371)</f>
        <v>3218</v>
      </c>
      <c r="Z371" s="62"/>
      <c r="AA371" s="62">
        <f aca="true" t="shared" si="312" ref="AA371:AA393">SUM(Y371:Z371)</f>
        <v>3218</v>
      </c>
      <c r="AB371" s="62"/>
      <c r="AC371" s="62">
        <f aca="true" t="shared" si="313" ref="AC371:AC393">SUM(AA371:AB371)</f>
        <v>3218</v>
      </c>
    </row>
    <row r="372" spans="1:31" s="25" customFormat="1" ht="21" customHeight="1">
      <c r="A372" s="49"/>
      <c r="B372" s="63"/>
      <c r="C372" s="66">
        <v>4010</v>
      </c>
      <c r="D372" s="36" t="s">
        <v>79</v>
      </c>
      <c r="E372" s="62">
        <f>28577+467500+141137+61197</f>
        <v>698411</v>
      </c>
      <c r="F372" s="62"/>
      <c r="G372" s="62">
        <f t="shared" si="296"/>
        <v>698411</v>
      </c>
      <c r="H372" s="62"/>
      <c r="I372" s="62">
        <f t="shared" si="303"/>
        <v>698411</v>
      </c>
      <c r="J372" s="62"/>
      <c r="K372" s="62">
        <f t="shared" si="304"/>
        <v>698411</v>
      </c>
      <c r="L372" s="62">
        <f>20500+13050</f>
        <v>33550</v>
      </c>
      <c r="M372" s="62">
        <f t="shared" si="305"/>
        <v>731961</v>
      </c>
      <c r="N372" s="62"/>
      <c r="O372" s="62">
        <f t="shared" si="306"/>
        <v>731961</v>
      </c>
      <c r="P372" s="62"/>
      <c r="Q372" s="62">
        <f t="shared" si="307"/>
        <v>731961</v>
      </c>
      <c r="R372" s="62"/>
      <c r="S372" s="62">
        <f t="shared" si="308"/>
        <v>731961</v>
      </c>
      <c r="T372" s="62"/>
      <c r="U372" s="62">
        <f t="shared" si="309"/>
        <v>731961</v>
      </c>
      <c r="V372" s="62">
        <v>2750</v>
      </c>
      <c r="W372" s="62">
        <f t="shared" si="310"/>
        <v>734711</v>
      </c>
      <c r="X372" s="62">
        <v>11509</v>
      </c>
      <c r="Y372" s="62">
        <f t="shared" si="311"/>
        <v>746220</v>
      </c>
      <c r="Z372" s="62"/>
      <c r="AA372" s="62">
        <f t="shared" si="312"/>
        <v>746220</v>
      </c>
      <c r="AB372" s="62">
        <v>-31035</v>
      </c>
      <c r="AC372" s="62">
        <f t="shared" si="313"/>
        <v>715185</v>
      </c>
      <c r="AD372" s="79"/>
      <c r="AE372" s="79"/>
    </row>
    <row r="373" spans="1:31" s="25" customFormat="1" ht="21" customHeight="1">
      <c r="A373" s="49"/>
      <c r="B373" s="63"/>
      <c r="C373" s="66">
        <v>4040</v>
      </c>
      <c r="D373" s="36" t="s">
        <v>80</v>
      </c>
      <c r="E373" s="62">
        <f>2774+32000+12500+4300</f>
        <v>51574</v>
      </c>
      <c r="F373" s="62"/>
      <c r="G373" s="62">
        <f t="shared" si="296"/>
        <v>51574</v>
      </c>
      <c r="H373" s="62"/>
      <c r="I373" s="62">
        <f t="shared" si="303"/>
        <v>51574</v>
      </c>
      <c r="J373" s="62"/>
      <c r="K373" s="62">
        <f t="shared" si="304"/>
        <v>51574</v>
      </c>
      <c r="L373" s="62"/>
      <c r="M373" s="62">
        <f t="shared" si="305"/>
        <v>51574</v>
      </c>
      <c r="N373" s="62"/>
      <c r="O373" s="62">
        <f t="shared" si="306"/>
        <v>51574</v>
      </c>
      <c r="P373" s="62"/>
      <c r="Q373" s="62">
        <f t="shared" si="307"/>
        <v>51574</v>
      </c>
      <c r="R373" s="62"/>
      <c r="S373" s="62">
        <f t="shared" si="308"/>
        <v>51574</v>
      </c>
      <c r="T373" s="62"/>
      <c r="U373" s="62">
        <f t="shared" si="309"/>
        <v>51574</v>
      </c>
      <c r="V373" s="62"/>
      <c r="W373" s="62">
        <f t="shared" si="310"/>
        <v>51574</v>
      </c>
      <c r="X373" s="62"/>
      <c r="Y373" s="62">
        <f t="shared" si="311"/>
        <v>51574</v>
      </c>
      <c r="Z373" s="62"/>
      <c r="AA373" s="62">
        <f t="shared" si="312"/>
        <v>51574</v>
      </c>
      <c r="AB373" s="62"/>
      <c r="AC373" s="62">
        <f t="shared" si="313"/>
        <v>51574</v>
      </c>
      <c r="AD373" s="79"/>
      <c r="AE373" s="79"/>
    </row>
    <row r="374" spans="1:31" s="25" customFormat="1" ht="21" customHeight="1">
      <c r="A374" s="49"/>
      <c r="B374" s="63"/>
      <c r="C374" s="66">
        <v>4110</v>
      </c>
      <c r="D374" s="36" t="s">
        <v>81</v>
      </c>
      <c r="E374" s="62">
        <f>5234+72050+29130+10129</f>
        <v>116543</v>
      </c>
      <c r="F374" s="62"/>
      <c r="G374" s="62">
        <f t="shared" si="296"/>
        <v>116543</v>
      </c>
      <c r="H374" s="62"/>
      <c r="I374" s="62">
        <f t="shared" si="303"/>
        <v>116543</v>
      </c>
      <c r="J374" s="62"/>
      <c r="K374" s="62">
        <f t="shared" si="304"/>
        <v>116543</v>
      </c>
      <c r="L374" s="62">
        <v>2180</v>
      </c>
      <c r="M374" s="62">
        <f t="shared" si="305"/>
        <v>118723</v>
      </c>
      <c r="N374" s="62"/>
      <c r="O374" s="62">
        <f t="shared" si="306"/>
        <v>118723</v>
      </c>
      <c r="P374" s="62"/>
      <c r="Q374" s="62">
        <f t="shared" si="307"/>
        <v>118723</v>
      </c>
      <c r="R374" s="62"/>
      <c r="S374" s="62">
        <f t="shared" si="308"/>
        <v>118723</v>
      </c>
      <c r="T374" s="62"/>
      <c r="U374" s="62">
        <f t="shared" si="309"/>
        <v>118723</v>
      </c>
      <c r="V374" s="62"/>
      <c r="W374" s="62">
        <f t="shared" si="310"/>
        <v>118723</v>
      </c>
      <c r="X374" s="62"/>
      <c r="Y374" s="62">
        <f t="shared" si="311"/>
        <v>118723</v>
      </c>
      <c r="Z374" s="62"/>
      <c r="AA374" s="62">
        <f t="shared" si="312"/>
        <v>118723</v>
      </c>
      <c r="AB374" s="62">
        <v>-4000</v>
      </c>
      <c r="AC374" s="62">
        <f t="shared" si="313"/>
        <v>114723</v>
      </c>
      <c r="AD374" s="79"/>
      <c r="AE374" s="79"/>
    </row>
    <row r="375" spans="1:31" s="25" customFormat="1" ht="21" customHeight="1">
      <c r="A375" s="49"/>
      <c r="B375" s="63"/>
      <c r="C375" s="66">
        <v>4120</v>
      </c>
      <c r="D375" s="36" t="s">
        <v>82</v>
      </c>
      <c r="E375" s="62">
        <f>768+11250+4399+1578</f>
        <v>17995</v>
      </c>
      <c r="F375" s="62"/>
      <c r="G375" s="62">
        <f t="shared" si="296"/>
        <v>17995</v>
      </c>
      <c r="H375" s="62"/>
      <c r="I375" s="62">
        <f t="shared" si="303"/>
        <v>17995</v>
      </c>
      <c r="J375" s="62"/>
      <c r="K375" s="62">
        <f t="shared" si="304"/>
        <v>17995</v>
      </c>
      <c r="L375" s="62">
        <v>320</v>
      </c>
      <c r="M375" s="62">
        <f t="shared" si="305"/>
        <v>18315</v>
      </c>
      <c r="N375" s="62"/>
      <c r="O375" s="62">
        <f t="shared" si="306"/>
        <v>18315</v>
      </c>
      <c r="P375" s="62"/>
      <c r="Q375" s="62">
        <f t="shared" si="307"/>
        <v>18315</v>
      </c>
      <c r="R375" s="62"/>
      <c r="S375" s="62">
        <f t="shared" si="308"/>
        <v>18315</v>
      </c>
      <c r="T375" s="62"/>
      <c r="U375" s="62">
        <f t="shared" si="309"/>
        <v>18315</v>
      </c>
      <c r="V375" s="62"/>
      <c r="W375" s="62">
        <f t="shared" si="310"/>
        <v>18315</v>
      </c>
      <c r="X375" s="62"/>
      <c r="Y375" s="62">
        <f t="shared" si="311"/>
        <v>18315</v>
      </c>
      <c r="Z375" s="62"/>
      <c r="AA375" s="62">
        <f t="shared" si="312"/>
        <v>18315</v>
      </c>
      <c r="AB375" s="62">
        <v>-800</v>
      </c>
      <c r="AC375" s="62">
        <f t="shared" si="313"/>
        <v>17515</v>
      </c>
      <c r="AD375" s="79"/>
      <c r="AE375" s="79"/>
    </row>
    <row r="376" spans="1:31" s="25" customFormat="1" ht="21" customHeight="1">
      <c r="A376" s="49"/>
      <c r="B376" s="63"/>
      <c r="C376" s="66">
        <v>4170</v>
      </c>
      <c r="D376" s="36" t="s">
        <v>161</v>
      </c>
      <c r="E376" s="62">
        <f>13200+6240</f>
        <v>19440</v>
      </c>
      <c r="F376" s="62"/>
      <c r="G376" s="62">
        <f t="shared" si="296"/>
        <v>19440</v>
      </c>
      <c r="H376" s="62"/>
      <c r="I376" s="62">
        <f t="shared" si="303"/>
        <v>19440</v>
      </c>
      <c r="J376" s="62"/>
      <c r="K376" s="62">
        <f t="shared" si="304"/>
        <v>19440</v>
      </c>
      <c r="L376" s="62"/>
      <c r="M376" s="62">
        <f t="shared" si="305"/>
        <v>19440</v>
      </c>
      <c r="N376" s="62"/>
      <c r="O376" s="62">
        <f t="shared" si="306"/>
        <v>19440</v>
      </c>
      <c r="P376" s="62"/>
      <c r="Q376" s="62">
        <f t="shared" si="307"/>
        <v>19440</v>
      </c>
      <c r="R376" s="62">
        <v>-12200</v>
      </c>
      <c r="S376" s="62">
        <f t="shared" si="308"/>
        <v>7240</v>
      </c>
      <c r="T376" s="62"/>
      <c r="U376" s="62">
        <f t="shared" si="309"/>
        <v>7240</v>
      </c>
      <c r="V376" s="62"/>
      <c r="W376" s="62">
        <f t="shared" si="310"/>
        <v>7240</v>
      </c>
      <c r="X376" s="62"/>
      <c r="Y376" s="62">
        <f t="shared" si="311"/>
        <v>7240</v>
      </c>
      <c r="Z376" s="62"/>
      <c r="AA376" s="62">
        <f t="shared" si="312"/>
        <v>7240</v>
      </c>
      <c r="AB376" s="62"/>
      <c r="AC376" s="62">
        <f t="shared" si="313"/>
        <v>7240</v>
      </c>
      <c r="AD376" s="79"/>
      <c r="AE376" s="79"/>
    </row>
    <row r="377" spans="1:29" s="25" customFormat="1" ht="21" customHeight="1">
      <c r="A377" s="49"/>
      <c r="B377" s="63"/>
      <c r="C377" s="66">
        <v>4210</v>
      </c>
      <c r="D377" s="36" t="s">
        <v>86</v>
      </c>
      <c r="E377" s="62">
        <f>2800+22500+11100</f>
        <v>36400</v>
      </c>
      <c r="F377" s="62"/>
      <c r="G377" s="62">
        <f t="shared" si="296"/>
        <v>36400</v>
      </c>
      <c r="H377" s="62"/>
      <c r="I377" s="62">
        <f t="shared" si="303"/>
        <v>36400</v>
      </c>
      <c r="J377" s="62"/>
      <c r="K377" s="62">
        <f t="shared" si="304"/>
        <v>36400</v>
      </c>
      <c r="L377" s="62"/>
      <c r="M377" s="62">
        <f t="shared" si="305"/>
        <v>36400</v>
      </c>
      <c r="N377" s="62"/>
      <c r="O377" s="62">
        <f t="shared" si="306"/>
        <v>36400</v>
      </c>
      <c r="P377" s="62"/>
      <c r="Q377" s="62">
        <f t="shared" si="307"/>
        <v>36400</v>
      </c>
      <c r="R377" s="62"/>
      <c r="S377" s="62">
        <f t="shared" si="308"/>
        <v>36400</v>
      </c>
      <c r="T377" s="62"/>
      <c r="U377" s="62">
        <f t="shared" si="309"/>
        <v>36400</v>
      </c>
      <c r="V377" s="62"/>
      <c r="W377" s="62">
        <f t="shared" si="310"/>
        <v>36400</v>
      </c>
      <c r="X377" s="62"/>
      <c r="Y377" s="62">
        <f t="shared" si="311"/>
        <v>36400</v>
      </c>
      <c r="Z377" s="62">
        <v>1014</v>
      </c>
      <c r="AA377" s="62">
        <f t="shared" si="312"/>
        <v>37414</v>
      </c>
      <c r="AB377" s="62"/>
      <c r="AC377" s="62">
        <f t="shared" si="313"/>
        <v>37414</v>
      </c>
    </row>
    <row r="378" spans="1:29" s="25" customFormat="1" ht="21" customHeight="1">
      <c r="A378" s="49"/>
      <c r="B378" s="63"/>
      <c r="C378" s="66">
        <v>4220</v>
      </c>
      <c r="D378" s="36" t="s">
        <v>149</v>
      </c>
      <c r="E378" s="62">
        <v>150000</v>
      </c>
      <c r="F378" s="62"/>
      <c r="G378" s="62">
        <f t="shared" si="296"/>
        <v>150000</v>
      </c>
      <c r="H378" s="62"/>
      <c r="I378" s="62">
        <f t="shared" si="303"/>
        <v>150000</v>
      </c>
      <c r="J378" s="62"/>
      <c r="K378" s="62">
        <f t="shared" si="304"/>
        <v>150000</v>
      </c>
      <c r="L378" s="62"/>
      <c r="M378" s="62">
        <f t="shared" si="305"/>
        <v>150000</v>
      </c>
      <c r="N378" s="62"/>
      <c r="O378" s="62">
        <f t="shared" si="306"/>
        <v>150000</v>
      </c>
      <c r="P378" s="62"/>
      <c r="Q378" s="62">
        <f t="shared" si="307"/>
        <v>150000</v>
      </c>
      <c r="R378" s="62"/>
      <c r="S378" s="62">
        <f t="shared" si="308"/>
        <v>150000</v>
      </c>
      <c r="T378" s="62"/>
      <c r="U378" s="62">
        <f t="shared" si="309"/>
        <v>150000</v>
      </c>
      <c r="V378" s="62"/>
      <c r="W378" s="62">
        <f t="shared" si="310"/>
        <v>150000</v>
      </c>
      <c r="X378" s="62"/>
      <c r="Y378" s="62">
        <f t="shared" si="311"/>
        <v>150000</v>
      </c>
      <c r="Z378" s="62"/>
      <c r="AA378" s="62">
        <f t="shared" si="312"/>
        <v>150000</v>
      </c>
      <c r="AB378" s="62"/>
      <c r="AC378" s="62">
        <f t="shared" si="313"/>
        <v>150000</v>
      </c>
    </row>
    <row r="379" spans="1:29" s="25" customFormat="1" ht="21" customHeight="1">
      <c r="A379" s="49"/>
      <c r="B379" s="63"/>
      <c r="C379" s="66">
        <v>4260</v>
      </c>
      <c r="D379" s="36" t="s">
        <v>88</v>
      </c>
      <c r="E379" s="62">
        <f>4700+9855</f>
        <v>14555</v>
      </c>
      <c r="F379" s="62"/>
      <c r="G379" s="62">
        <f t="shared" si="296"/>
        <v>14555</v>
      </c>
      <c r="H379" s="62"/>
      <c r="I379" s="62">
        <f t="shared" si="303"/>
        <v>14555</v>
      </c>
      <c r="J379" s="62"/>
      <c r="K379" s="62">
        <f t="shared" si="304"/>
        <v>14555</v>
      </c>
      <c r="L379" s="62"/>
      <c r="M379" s="62">
        <f t="shared" si="305"/>
        <v>14555</v>
      </c>
      <c r="N379" s="62"/>
      <c r="O379" s="62">
        <f t="shared" si="306"/>
        <v>14555</v>
      </c>
      <c r="P379" s="62"/>
      <c r="Q379" s="62">
        <f t="shared" si="307"/>
        <v>14555</v>
      </c>
      <c r="R379" s="62"/>
      <c r="S379" s="62">
        <f t="shared" si="308"/>
        <v>14555</v>
      </c>
      <c r="T379" s="62"/>
      <c r="U379" s="62">
        <f t="shared" si="309"/>
        <v>14555</v>
      </c>
      <c r="V379" s="62"/>
      <c r="W379" s="62">
        <f t="shared" si="310"/>
        <v>14555</v>
      </c>
      <c r="X379" s="62"/>
      <c r="Y379" s="62">
        <f t="shared" si="311"/>
        <v>14555</v>
      </c>
      <c r="Z379" s="62">
        <v>800</v>
      </c>
      <c r="AA379" s="62">
        <f t="shared" si="312"/>
        <v>15355</v>
      </c>
      <c r="AB379" s="62"/>
      <c r="AC379" s="62">
        <f t="shared" si="313"/>
        <v>15355</v>
      </c>
    </row>
    <row r="380" spans="1:29" s="25" customFormat="1" ht="21" customHeight="1">
      <c r="A380" s="49"/>
      <c r="B380" s="63"/>
      <c r="C380" s="66">
        <v>4270</v>
      </c>
      <c r="D380" s="36" t="s">
        <v>74</v>
      </c>
      <c r="E380" s="62">
        <f>2000+2000</f>
        <v>4000</v>
      </c>
      <c r="F380" s="62"/>
      <c r="G380" s="62">
        <f t="shared" si="296"/>
        <v>4000</v>
      </c>
      <c r="H380" s="62"/>
      <c r="I380" s="62">
        <f t="shared" si="303"/>
        <v>4000</v>
      </c>
      <c r="J380" s="62"/>
      <c r="K380" s="62">
        <f t="shared" si="304"/>
        <v>4000</v>
      </c>
      <c r="L380" s="62"/>
      <c r="M380" s="62">
        <f t="shared" si="305"/>
        <v>4000</v>
      </c>
      <c r="N380" s="62"/>
      <c r="O380" s="62">
        <f t="shared" si="306"/>
        <v>4000</v>
      </c>
      <c r="P380" s="62"/>
      <c r="Q380" s="62">
        <f t="shared" si="307"/>
        <v>4000</v>
      </c>
      <c r="R380" s="62"/>
      <c r="S380" s="62">
        <f t="shared" si="308"/>
        <v>4000</v>
      </c>
      <c r="T380" s="62"/>
      <c r="U380" s="62">
        <f t="shared" si="309"/>
        <v>4000</v>
      </c>
      <c r="V380" s="62"/>
      <c r="W380" s="62">
        <f t="shared" si="310"/>
        <v>4000</v>
      </c>
      <c r="X380" s="62"/>
      <c r="Y380" s="62">
        <f t="shared" si="311"/>
        <v>4000</v>
      </c>
      <c r="Z380" s="62"/>
      <c r="AA380" s="62">
        <f t="shared" si="312"/>
        <v>4000</v>
      </c>
      <c r="AB380" s="62"/>
      <c r="AC380" s="62">
        <f t="shared" si="313"/>
        <v>4000</v>
      </c>
    </row>
    <row r="381" spans="1:29" s="25" customFormat="1" ht="21" customHeight="1">
      <c r="A381" s="49"/>
      <c r="B381" s="63"/>
      <c r="C381" s="66">
        <v>4280</v>
      </c>
      <c r="D381" s="36" t="s">
        <v>432</v>
      </c>
      <c r="E381" s="62">
        <f>1000+350</f>
        <v>1350</v>
      </c>
      <c r="F381" s="62"/>
      <c r="G381" s="62">
        <f t="shared" si="296"/>
        <v>1350</v>
      </c>
      <c r="H381" s="62"/>
      <c r="I381" s="62">
        <f t="shared" si="303"/>
        <v>1350</v>
      </c>
      <c r="J381" s="62"/>
      <c r="K381" s="62">
        <f t="shared" si="304"/>
        <v>1350</v>
      </c>
      <c r="L381" s="62"/>
      <c r="M381" s="62">
        <f t="shared" si="305"/>
        <v>1350</v>
      </c>
      <c r="N381" s="62"/>
      <c r="O381" s="62">
        <f t="shared" si="306"/>
        <v>1350</v>
      </c>
      <c r="P381" s="62"/>
      <c r="Q381" s="62">
        <f t="shared" si="307"/>
        <v>1350</v>
      </c>
      <c r="R381" s="62"/>
      <c r="S381" s="62">
        <f t="shared" si="308"/>
        <v>1350</v>
      </c>
      <c r="T381" s="62"/>
      <c r="U381" s="62">
        <f t="shared" si="309"/>
        <v>1350</v>
      </c>
      <c r="V381" s="62"/>
      <c r="W381" s="62">
        <f t="shared" si="310"/>
        <v>1350</v>
      </c>
      <c r="X381" s="62"/>
      <c r="Y381" s="62">
        <f t="shared" si="311"/>
        <v>1350</v>
      </c>
      <c r="Z381" s="62"/>
      <c r="AA381" s="62">
        <f t="shared" si="312"/>
        <v>1350</v>
      </c>
      <c r="AB381" s="62"/>
      <c r="AC381" s="62">
        <f t="shared" si="313"/>
        <v>1350</v>
      </c>
    </row>
    <row r="382" spans="1:29" s="25" customFormat="1" ht="21" customHeight="1">
      <c r="A382" s="49"/>
      <c r="B382" s="63"/>
      <c r="C382" s="66">
        <v>4300</v>
      </c>
      <c r="D382" s="36" t="s">
        <v>75</v>
      </c>
      <c r="E382" s="62">
        <f>42600+32639+10790</f>
        <v>86029</v>
      </c>
      <c r="F382" s="62"/>
      <c r="G382" s="62">
        <f t="shared" si="296"/>
        <v>86029</v>
      </c>
      <c r="H382" s="62"/>
      <c r="I382" s="62">
        <f t="shared" si="303"/>
        <v>86029</v>
      </c>
      <c r="J382" s="62"/>
      <c r="K382" s="62">
        <f t="shared" si="304"/>
        <v>86029</v>
      </c>
      <c r="L382" s="62"/>
      <c r="M382" s="62">
        <f t="shared" si="305"/>
        <v>86029</v>
      </c>
      <c r="N382" s="62"/>
      <c r="O382" s="62">
        <f t="shared" si="306"/>
        <v>86029</v>
      </c>
      <c r="P382" s="62"/>
      <c r="Q382" s="62">
        <f t="shared" si="307"/>
        <v>86029</v>
      </c>
      <c r="R382" s="62">
        <v>12200</v>
      </c>
      <c r="S382" s="62">
        <f t="shared" si="308"/>
        <v>98229</v>
      </c>
      <c r="T382" s="62"/>
      <c r="U382" s="62">
        <f t="shared" si="309"/>
        <v>98229</v>
      </c>
      <c r="V382" s="62"/>
      <c r="W382" s="62">
        <f t="shared" si="310"/>
        <v>98229</v>
      </c>
      <c r="X382" s="62"/>
      <c r="Y382" s="62">
        <f t="shared" si="311"/>
        <v>98229</v>
      </c>
      <c r="Z382" s="207"/>
      <c r="AA382" s="62">
        <f t="shared" si="312"/>
        <v>98229</v>
      </c>
      <c r="AB382" s="207"/>
      <c r="AC382" s="62">
        <f t="shared" si="313"/>
        <v>98229</v>
      </c>
    </row>
    <row r="383" spans="1:29" s="25" customFormat="1" ht="21" customHeight="1">
      <c r="A383" s="49"/>
      <c r="B383" s="63"/>
      <c r="C383" s="66">
        <v>4350</v>
      </c>
      <c r="D383" s="36" t="s">
        <v>169</v>
      </c>
      <c r="E383" s="62">
        <f>550+627</f>
        <v>1177</v>
      </c>
      <c r="F383" s="62"/>
      <c r="G383" s="62">
        <f t="shared" si="296"/>
        <v>1177</v>
      </c>
      <c r="H383" s="62"/>
      <c r="I383" s="62">
        <f t="shared" si="303"/>
        <v>1177</v>
      </c>
      <c r="J383" s="62"/>
      <c r="K383" s="62">
        <f t="shared" si="304"/>
        <v>1177</v>
      </c>
      <c r="L383" s="62"/>
      <c r="M383" s="62">
        <f t="shared" si="305"/>
        <v>1177</v>
      </c>
      <c r="N383" s="62"/>
      <c r="O383" s="62">
        <f t="shared" si="306"/>
        <v>1177</v>
      </c>
      <c r="P383" s="62"/>
      <c r="Q383" s="62">
        <f t="shared" si="307"/>
        <v>1177</v>
      </c>
      <c r="R383" s="62"/>
      <c r="S383" s="62">
        <f t="shared" si="308"/>
        <v>1177</v>
      </c>
      <c r="T383" s="62"/>
      <c r="U383" s="62">
        <f t="shared" si="309"/>
        <v>1177</v>
      </c>
      <c r="V383" s="62"/>
      <c r="W383" s="62">
        <f t="shared" si="310"/>
        <v>1177</v>
      </c>
      <c r="X383" s="62"/>
      <c r="Y383" s="62">
        <f t="shared" si="311"/>
        <v>1177</v>
      </c>
      <c r="Z383" s="62"/>
      <c r="AA383" s="62">
        <f t="shared" si="312"/>
        <v>1177</v>
      </c>
      <c r="AB383" s="62"/>
      <c r="AC383" s="62">
        <f t="shared" si="313"/>
        <v>1177</v>
      </c>
    </row>
    <row r="384" spans="1:29" s="25" customFormat="1" ht="27" customHeight="1">
      <c r="A384" s="49"/>
      <c r="B384" s="63"/>
      <c r="C384" s="66">
        <v>4360</v>
      </c>
      <c r="D384" s="36" t="s">
        <v>413</v>
      </c>
      <c r="E384" s="62">
        <v>732</v>
      </c>
      <c r="F384" s="62"/>
      <c r="G384" s="62">
        <f t="shared" si="296"/>
        <v>732</v>
      </c>
      <c r="H384" s="62"/>
      <c r="I384" s="62">
        <f t="shared" si="303"/>
        <v>732</v>
      </c>
      <c r="J384" s="62"/>
      <c r="K384" s="62">
        <f t="shared" si="304"/>
        <v>732</v>
      </c>
      <c r="L384" s="62"/>
      <c r="M384" s="62">
        <f t="shared" si="305"/>
        <v>732</v>
      </c>
      <c r="N384" s="62"/>
      <c r="O384" s="62">
        <f t="shared" si="306"/>
        <v>732</v>
      </c>
      <c r="P384" s="62"/>
      <c r="Q384" s="62">
        <f t="shared" si="307"/>
        <v>732</v>
      </c>
      <c r="R384" s="62"/>
      <c r="S384" s="62">
        <f t="shared" si="308"/>
        <v>732</v>
      </c>
      <c r="T384" s="62"/>
      <c r="U384" s="62">
        <f t="shared" si="309"/>
        <v>732</v>
      </c>
      <c r="V384" s="62"/>
      <c r="W384" s="62">
        <f t="shared" si="310"/>
        <v>732</v>
      </c>
      <c r="X384" s="62"/>
      <c r="Y384" s="62">
        <f t="shared" si="311"/>
        <v>732</v>
      </c>
      <c r="Z384" s="62"/>
      <c r="AA384" s="62">
        <f t="shared" si="312"/>
        <v>732</v>
      </c>
      <c r="AB384" s="62"/>
      <c r="AC384" s="62">
        <f t="shared" si="313"/>
        <v>732</v>
      </c>
    </row>
    <row r="385" spans="1:29" s="25" customFormat="1" ht="27" customHeight="1">
      <c r="A385" s="49"/>
      <c r="B385" s="63"/>
      <c r="C385" s="66">
        <v>4370</v>
      </c>
      <c r="D385" s="36" t="s">
        <v>182</v>
      </c>
      <c r="E385" s="62">
        <f>2500+7800+480</f>
        <v>10780</v>
      </c>
      <c r="F385" s="62"/>
      <c r="G385" s="62">
        <f t="shared" si="296"/>
        <v>10780</v>
      </c>
      <c r="H385" s="62"/>
      <c r="I385" s="62">
        <f t="shared" si="303"/>
        <v>10780</v>
      </c>
      <c r="J385" s="62"/>
      <c r="K385" s="62">
        <f t="shared" si="304"/>
        <v>10780</v>
      </c>
      <c r="L385" s="62"/>
      <c r="M385" s="62">
        <f t="shared" si="305"/>
        <v>10780</v>
      </c>
      <c r="N385" s="62"/>
      <c r="O385" s="62">
        <f t="shared" si="306"/>
        <v>10780</v>
      </c>
      <c r="P385" s="62"/>
      <c r="Q385" s="62">
        <f t="shared" si="307"/>
        <v>10780</v>
      </c>
      <c r="R385" s="62"/>
      <c r="S385" s="62">
        <f t="shared" si="308"/>
        <v>10780</v>
      </c>
      <c r="T385" s="62"/>
      <c r="U385" s="62">
        <f t="shared" si="309"/>
        <v>10780</v>
      </c>
      <c r="V385" s="62"/>
      <c r="W385" s="62">
        <f t="shared" si="310"/>
        <v>10780</v>
      </c>
      <c r="X385" s="62"/>
      <c r="Y385" s="62">
        <f t="shared" si="311"/>
        <v>10780</v>
      </c>
      <c r="Z385" s="62"/>
      <c r="AA385" s="62">
        <f t="shared" si="312"/>
        <v>10780</v>
      </c>
      <c r="AB385" s="62"/>
      <c r="AC385" s="62">
        <f t="shared" si="313"/>
        <v>10780</v>
      </c>
    </row>
    <row r="386" spans="1:29" s="25" customFormat="1" ht="27" customHeight="1">
      <c r="A386" s="49"/>
      <c r="B386" s="63"/>
      <c r="C386" s="66">
        <v>4400</v>
      </c>
      <c r="D386" s="36" t="s">
        <v>217</v>
      </c>
      <c r="E386" s="62">
        <f>2104+58671+12501</f>
        <v>73276</v>
      </c>
      <c r="F386" s="62"/>
      <c r="G386" s="62">
        <f t="shared" si="296"/>
        <v>73276</v>
      </c>
      <c r="H386" s="62"/>
      <c r="I386" s="62">
        <f t="shared" si="303"/>
        <v>73276</v>
      </c>
      <c r="J386" s="62"/>
      <c r="K386" s="62">
        <f t="shared" si="304"/>
        <v>73276</v>
      </c>
      <c r="L386" s="62"/>
      <c r="M386" s="62">
        <f t="shared" si="305"/>
        <v>73276</v>
      </c>
      <c r="N386" s="62"/>
      <c r="O386" s="62">
        <f t="shared" si="306"/>
        <v>73276</v>
      </c>
      <c r="P386" s="62"/>
      <c r="Q386" s="62">
        <f t="shared" si="307"/>
        <v>73276</v>
      </c>
      <c r="R386" s="62"/>
      <c r="S386" s="62">
        <f t="shared" si="308"/>
        <v>73276</v>
      </c>
      <c r="T386" s="62"/>
      <c r="U386" s="62">
        <f t="shared" si="309"/>
        <v>73276</v>
      </c>
      <c r="V386" s="62"/>
      <c r="W386" s="62">
        <f t="shared" si="310"/>
        <v>73276</v>
      </c>
      <c r="X386" s="62"/>
      <c r="Y386" s="62">
        <f t="shared" si="311"/>
        <v>73276</v>
      </c>
      <c r="Z386" s="62">
        <v>-1200</v>
      </c>
      <c r="AA386" s="62">
        <f t="shared" si="312"/>
        <v>72076</v>
      </c>
      <c r="AB386" s="62"/>
      <c r="AC386" s="62">
        <f t="shared" si="313"/>
        <v>72076</v>
      </c>
    </row>
    <row r="387" spans="1:29" s="25" customFormat="1" ht="21" customHeight="1">
      <c r="A387" s="49"/>
      <c r="B387" s="63"/>
      <c r="C387" s="66">
        <v>4410</v>
      </c>
      <c r="D387" s="36" t="s">
        <v>85</v>
      </c>
      <c r="E387" s="62">
        <f>447+11015</f>
        <v>11462</v>
      </c>
      <c r="F387" s="62"/>
      <c r="G387" s="62">
        <f t="shared" si="296"/>
        <v>11462</v>
      </c>
      <c r="H387" s="62"/>
      <c r="I387" s="62">
        <f t="shared" si="303"/>
        <v>11462</v>
      </c>
      <c r="J387" s="62"/>
      <c r="K387" s="62">
        <f t="shared" si="304"/>
        <v>11462</v>
      </c>
      <c r="L387" s="62"/>
      <c r="M387" s="62">
        <f t="shared" si="305"/>
        <v>11462</v>
      </c>
      <c r="N387" s="62"/>
      <c r="O387" s="62">
        <f t="shared" si="306"/>
        <v>11462</v>
      </c>
      <c r="P387" s="62"/>
      <c r="Q387" s="62">
        <f t="shared" si="307"/>
        <v>11462</v>
      </c>
      <c r="R387" s="62"/>
      <c r="S387" s="62">
        <f t="shared" si="308"/>
        <v>11462</v>
      </c>
      <c r="T387" s="62"/>
      <c r="U387" s="62">
        <f t="shared" si="309"/>
        <v>11462</v>
      </c>
      <c r="V387" s="62"/>
      <c r="W387" s="62">
        <f t="shared" si="310"/>
        <v>11462</v>
      </c>
      <c r="X387" s="62"/>
      <c r="Y387" s="62">
        <f t="shared" si="311"/>
        <v>11462</v>
      </c>
      <c r="Z387" s="62"/>
      <c r="AA387" s="62">
        <f t="shared" si="312"/>
        <v>11462</v>
      </c>
      <c r="AB387" s="62"/>
      <c r="AC387" s="62">
        <f t="shared" si="313"/>
        <v>11462</v>
      </c>
    </row>
    <row r="388" spans="1:29" s="25" customFormat="1" ht="21" customHeight="1">
      <c r="A388" s="49"/>
      <c r="B388" s="63"/>
      <c r="C388" s="66">
        <v>4430</v>
      </c>
      <c r="D388" s="36" t="s">
        <v>87</v>
      </c>
      <c r="E388" s="62">
        <f>2430</f>
        <v>2430</v>
      </c>
      <c r="F388" s="62"/>
      <c r="G388" s="62">
        <f t="shared" si="296"/>
        <v>2430</v>
      </c>
      <c r="H388" s="62"/>
      <c r="I388" s="62">
        <f t="shared" si="303"/>
        <v>2430</v>
      </c>
      <c r="J388" s="62"/>
      <c r="K388" s="62">
        <f t="shared" si="304"/>
        <v>2430</v>
      </c>
      <c r="L388" s="62"/>
      <c r="M388" s="62">
        <f t="shared" si="305"/>
        <v>2430</v>
      </c>
      <c r="N388" s="62"/>
      <c r="O388" s="62">
        <f t="shared" si="306"/>
        <v>2430</v>
      </c>
      <c r="P388" s="62"/>
      <c r="Q388" s="62">
        <f t="shared" si="307"/>
        <v>2430</v>
      </c>
      <c r="R388" s="62"/>
      <c r="S388" s="62">
        <f t="shared" si="308"/>
        <v>2430</v>
      </c>
      <c r="T388" s="62"/>
      <c r="U388" s="62">
        <f t="shared" si="309"/>
        <v>2430</v>
      </c>
      <c r="V388" s="62"/>
      <c r="W388" s="62">
        <f t="shared" si="310"/>
        <v>2430</v>
      </c>
      <c r="X388" s="62"/>
      <c r="Y388" s="62">
        <f t="shared" si="311"/>
        <v>2430</v>
      </c>
      <c r="Z388" s="62"/>
      <c r="AA388" s="62">
        <f t="shared" si="312"/>
        <v>2430</v>
      </c>
      <c r="AB388" s="62"/>
      <c r="AC388" s="62">
        <f t="shared" si="313"/>
        <v>2430</v>
      </c>
    </row>
    <row r="389" spans="1:29" s="25" customFormat="1" ht="21" customHeight="1">
      <c r="A389" s="49"/>
      <c r="B389" s="63"/>
      <c r="C389" s="66">
        <v>4440</v>
      </c>
      <c r="D389" s="36" t="s">
        <v>83</v>
      </c>
      <c r="E389" s="62">
        <f>1138+15000+5171+3007</f>
        <v>24316</v>
      </c>
      <c r="F389" s="62"/>
      <c r="G389" s="62">
        <f t="shared" si="296"/>
        <v>24316</v>
      </c>
      <c r="H389" s="62"/>
      <c r="I389" s="62">
        <f t="shared" si="303"/>
        <v>24316</v>
      </c>
      <c r="J389" s="62"/>
      <c r="K389" s="62">
        <f t="shared" si="304"/>
        <v>24316</v>
      </c>
      <c r="L389" s="62"/>
      <c r="M389" s="62">
        <f t="shared" si="305"/>
        <v>24316</v>
      </c>
      <c r="N389" s="62"/>
      <c r="O389" s="62">
        <f t="shared" si="306"/>
        <v>24316</v>
      </c>
      <c r="P389" s="62"/>
      <c r="Q389" s="62">
        <f t="shared" si="307"/>
        <v>24316</v>
      </c>
      <c r="R389" s="62"/>
      <c r="S389" s="62">
        <f t="shared" si="308"/>
        <v>24316</v>
      </c>
      <c r="T389" s="62"/>
      <c r="U389" s="62">
        <f t="shared" si="309"/>
        <v>24316</v>
      </c>
      <c r="V389" s="62"/>
      <c r="W389" s="62">
        <f t="shared" si="310"/>
        <v>24316</v>
      </c>
      <c r="X389" s="62"/>
      <c r="Y389" s="62">
        <f t="shared" si="311"/>
        <v>24316</v>
      </c>
      <c r="Z389" s="62"/>
      <c r="AA389" s="62">
        <f t="shared" si="312"/>
        <v>24316</v>
      </c>
      <c r="AB389" s="62"/>
      <c r="AC389" s="62">
        <f t="shared" si="313"/>
        <v>24316</v>
      </c>
    </row>
    <row r="390" spans="1:29" s="25" customFormat="1" ht="21" customHeight="1">
      <c r="A390" s="49"/>
      <c r="B390" s="63"/>
      <c r="C390" s="66">
        <v>4610</v>
      </c>
      <c r="D390" s="36" t="s">
        <v>151</v>
      </c>
      <c r="E390" s="62">
        <v>800</v>
      </c>
      <c r="F390" s="62"/>
      <c r="G390" s="62">
        <f t="shared" si="296"/>
        <v>800</v>
      </c>
      <c r="H390" s="62"/>
      <c r="I390" s="62">
        <f t="shared" si="303"/>
        <v>800</v>
      </c>
      <c r="J390" s="62"/>
      <c r="K390" s="62">
        <f t="shared" si="304"/>
        <v>800</v>
      </c>
      <c r="L390" s="62"/>
      <c r="M390" s="62">
        <f t="shared" si="305"/>
        <v>800</v>
      </c>
      <c r="N390" s="62"/>
      <c r="O390" s="62">
        <f t="shared" si="306"/>
        <v>800</v>
      </c>
      <c r="P390" s="62"/>
      <c r="Q390" s="62">
        <f t="shared" si="307"/>
        <v>800</v>
      </c>
      <c r="R390" s="62"/>
      <c r="S390" s="62">
        <f t="shared" si="308"/>
        <v>800</v>
      </c>
      <c r="T390" s="62"/>
      <c r="U390" s="62">
        <f t="shared" si="309"/>
        <v>800</v>
      </c>
      <c r="V390" s="62"/>
      <c r="W390" s="62">
        <f t="shared" si="310"/>
        <v>800</v>
      </c>
      <c r="X390" s="62"/>
      <c r="Y390" s="62">
        <f t="shared" si="311"/>
        <v>800</v>
      </c>
      <c r="Z390" s="62">
        <v>400</v>
      </c>
      <c r="AA390" s="62">
        <f t="shared" si="312"/>
        <v>1200</v>
      </c>
      <c r="AB390" s="62"/>
      <c r="AC390" s="62">
        <f t="shared" si="313"/>
        <v>1200</v>
      </c>
    </row>
    <row r="391" spans="1:29" s="25" customFormat="1" ht="27" customHeight="1">
      <c r="A391" s="49"/>
      <c r="B391" s="63"/>
      <c r="C391" s="66">
        <v>4700</v>
      </c>
      <c r="D391" s="36" t="s">
        <v>225</v>
      </c>
      <c r="E391" s="62">
        <v>6000</v>
      </c>
      <c r="F391" s="62"/>
      <c r="G391" s="62">
        <f t="shared" si="296"/>
        <v>6000</v>
      </c>
      <c r="H391" s="62"/>
      <c r="I391" s="62">
        <f t="shared" si="303"/>
        <v>6000</v>
      </c>
      <c r="J391" s="62"/>
      <c r="K391" s="62">
        <f t="shared" si="304"/>
        <v>6000</v>
      </c>
      <c r="L391" s="62"/>
      <c r="M391" s="62">
        <f t="shared" si="305"/>
        <v>6000</v>
      </c>
      <c r="N391" s="62"/>
      <c r="O391" s="62">
        <f t="shared" si="306"/>
        <v>6000</v>
      </c>
      <c r="P391" s="62"/>
      <c r="Q391" s="62">
        <f t="shared" si="307"/>
        <v>6000</v>
      </c>
      <c r="R391" s="62"/>
      <c r="S391" s="62">
        <f t="shared" si="308"/>
        <v>6000</v>
      </c>
      <c r="T391" s="62"/>
      <c r="U391" s="62">
        <f t="shared" si="309"/>
        <v>6000</v>
      </c>
      <c r="V391" s="62"/>
      <c r="W391" s="62">
        <f t="shared" si="310"/>
        <v>6000</v>
      </c>
      <c r="X391" s="62"/>
      <c r="Y391" s="62">
        <f t="shared" si="311"/>
        <v>6000</v>
      </c>
      <c r="Z391" s="62"/>
      <c r="AA391" s="62">
        <f t="shared" si="312"/>
        <v>6000</v>
      </c>
      <c r="AB391" s="62"/>
      <c r="AC391" s="62">
        <f t="shared" si="313"/>
        <v>6000</v>
      </c>
    </row>
    <row r="392" spans="1:29" s="25" customFormat="1" ht="36">
      <c r="A392" s="49"/>
      <c r="B392" s="63"/>
      <c r="C392" s="66">
        <v>4740</v>
      </c>
      <c r="D392" s="36" t="s">
        <v>183</v>
      </c>
      <c r="E392" s="62">
        <f>300+1804</f>
        <v>2104</v>
      </c>
      <c r="F392" s="62"/>
      <c r="G392" s="62">
        <f t="shared" si="296"/>
        <v>2104</v>
      </c>
      <c r="H392" s="62"/>
      <c r="I392" s="62">
        <f t="shared" si="303"/>
        <v>2104</v>
      </c>
      <c r="J392" s="62"/>
      <c r="K392" s="62">
        <f t="shared" si="304"/>
        <v>2104</v>
      </c>
      <c r="L392" s="62"/>
      <c r="M392" s="62">
        <f t="shared" si="305"/>
        <v>2104</v>
      </c>
      <c r="N392" s="62"/>
      <c r="O392" s="62">
        <f t="shared" si="306"/>
        <v>2104</v>
      </c>
      <c r="P392" s="62"/>
      <c r="Q392" s="62">
        <f t="shared" si="307"/>
        <v>2104</v>
      </c>
      <c r="R392" s="62"/>
      <c r="S392" s="62">
        <f t="shared" si="308"/>
        <v>2104</v>
      </c>
      <c r="T392" s="62"/>
      <c r="U392" s="62">
        <f t="shared" si="309"/>
        <v>2104</v>
      </c>
      <c r="V392" s="62"/>
      <c r="W392" s="62">
        <f t="shared" si="310"/>
        <v>2104</v>
      </c>
      <c r="X392" s="62"/>
      <c r="Y392" s="62">
        <f t="shared" si="311"/>
        <v>2104</v>
      </c>
      <c r="Z392" s="62"/>
      <c r="AA392" s="62">
        <f t="shared" si="312"/>
        <v>2104</v>
      </c>
      <c r="AB392" s="62"/>
      <c r="AC392" s="62">
        <f t="shared" si="313"/>
        <v>2104</v>
      </c>
    </row>
    <row r="393" spans="1:29" s="25" customFormat="1" ht="24">
      <c r="A393" s="49"/>
      <c r="B393" s="63"/>
      <c r="C393" s="66">
        <v>4750</v>
      </c>
      <c r="D393" s="36" t="s">
        <v>230</v>
      </c>
      <c r="E393" s="62">
        <v>5000</v>
      </c>
      <c r="F393" s="62"/>
      <c r="G393" s="62">
        <f t="shared" si="296"/>
        <v>5000</v>
      </c>
      <c r="H393" s="62"/>
      <c r="I393" s="62">
        <f t="shared" si="303"/>
        <v>5000</v>
      </c>
      <c r="J393" s="62"/>
      <c r="K393" s="62">
        <f t="shared" si="304"/>
        <v>5000</v>
      </c>
      <c r="L393" s="62"/>
      <c r="M393" s="62">
        <f t="shared" si="305"/>
        <v>5000</v>
      </c>
      <c r="N393" s="62"/>
      <c r="O393" s="62">
        <f t="shared" si="306"/>
        <v>5000</v>
      </c>
      <c r="P393" s="62"/>
      <c r="Q393" s="62">
        <f t="shared" si="307"/>
        <v>5000</v>
      </c>
      <c r="R393" s="62"/>
      <c r="S393" s="62">
        <f t="shared" si="308"/>
        <v>5000</v>
      </c>
      <c r="T393" s="62"/>
      <c r="U393" s="62">
        <f t="shared" si="309"/>
        <v>5000</v>
      </c>
      <c r="V393" s="62"/>
      <c r="W393" s="62">
        <f t="shared" si="310"/>
        <v>5000</v>
      </c>
      <c r="X393" s="62"/>
      <c r="Y393" s="62">
        <f t="shared" si="311"/>
        <v>5000</v>
      </c>
      <c r="Z393" s="62"/>
      <c r="AA393" s="62">
        <f t="shared" si="312"/>
        <v>5000</v>
      </c>
      <c r="AB393" s="62"/>
      <c r="AC393" s="62">
        <f t="shared" si="313"/>
        <v>5000</v>
      </c>
    </row>
    <row r="394" spans="1:29" s="25" customFormat="1" ht="24">
      <c r="A394" s="49"/>
      <c r="B394" s="63">
        <v>85228</v>
      </c>
      <c r="C394" s="66"/>
      <c r="D394" s="36" t="s">
        <v>445</v>
      </c>
      <c r="E394" s="62">
        <f aca="true" t="shared" si="314" ref="E394:AC394">SUM(E395)</f>
        <v>150000</v>
      </c>
      <c r="F394" s="62">
        <f t="shared" si="314"/>
        <v>0</v>
      </c>
      <c r="G394" s="62">
        <f t="shared" si="314"/>
        <v>150000</v>
      </c>
      <c r="H394" s="62">
        <f t="shared" si="314"/>
        <v>0</v>
      </c>
      <c r="I394" s="62">
        <f t="shared" si="314"/>
        <v>150000</v>
      </c>
      <c r="J394" s="62">
        <f t="shared" si="314"/>
        <v>0</v>
      </c>
      <c r="K394" s="62">
        <f t="shared" si="314"/>
        <v>150000</v>
      </c>
      <c r="L394" s="62">
        <f t="shared" si="314"/>
        <v>0</v>
      </c>
      <c r="M394" s="62">
        <f t="shared" si="314"/>
        <v>150000</v>
      </c>
      <c r="N394" s="62">
        <f t="shared" si="314"/>
        <v>0</v>
      </c>
      <c r="O394" s="62">
        <f t="shared" si="314"/>
        <v>150000</v>
      </c>
      <c r="P394" s="62">
        <f t="shared" si="314"/>
        <v>0</v>
      </c>
      <c r="Q394" s="62">
        <f t="shared" si="314"/>
        <v>150000</v>
      </c>
      <c r="R394" s="62">
        <f t="shared" si="314"/>
        <v>0</v>
      </c>
      <c r="S394" s="62">
        <f t="shared" si="314"/>
        <v>150000</v>
      </c>
      <c r="T394" s="62">
        <f t="shared" si="314"/>
        <v>0</v>
      </c>
      <c r="U394" s="62">
        <f t="shared" si="314"/>
        <v>150000</v>
      </c>
      <c r="V394" s="62">
        <f t="shared" si="314"/>
        <v>0</v>
      </c>
      <c r="W394" s="62">
        <f t="shared" si="314"/>
        <v>150000</v>
      </c>
      <c r="X394" s="62">
        <f t="shared" si="314"/>
        <v>0</v>
      </c>
      <c r="Y394" s="62">
        <f t="shared" si="314"/>
        <v>150000</v>
      </c>
      <c r="Z394" s="62">
        <f t="shared" si="314"/>
        <v>0</v>
      </c>
      <c r="AA394" s="62">
        <f t="shared" si="314"/>
        <v>150000</v>
      </c>
      <c r="AB394" s="62">
        <f t="shared" si="314"/>
        <v>0</v>
      </c>
      <c r="AC394" s="62">
        <f t="shared" si="314"/>
        <v>150000</v>
      </c>
    </row>
    <row r="395" spans="1:29" s="25" customFormat="1" ht="21" customHeight="1">
      <c r="A395" s="49"/>
      <c r="B395" s="63"/>
      <c r="C395" s="66">
        <v>4300</v>
      </c>
      <c r="D395" s="36" t="s">
        <v>75</v>
      </c>
      <c r="E395" s="62">
        <v>150000</v>
      </c>
      <c r="F395" s="62"/>
      <c r="G395" s="62">
        <f t="shared" si="296"/>
        <v>150000</v>
      </c>
      <c r="H395" s="62"/>
      <c r="I395" s="62">
        <f>SUM(G395:H395)</f>
        <v>150000</v>
      </c>
      <c r="J395" s="62"/>
      <c r="K395" s="62">
        <f>SUM(I395:J395)</f>
        <v>150000</v>
      </c>
      <c r="L395" s="62"/>
      <c r="M395" s="62">
        <f>SUM(K395:L395)</f>
        <v>150000</v>
      </c>
      <c r="N395" s="62"/>
      <c r="O395" s="62">
        <f>SUM(M395:N395)</f>
        <v>150000</v>
      </c>
      <c r="P395" s="62"/>
      <c r="Q395" s="62">
        <f>SUM(O395:P395)</f>
        <v>150000</v>
      </c>
      <c r="R395" s="62"/>
      <c r="S395" s="62">
        <f>SUM(Q395:R395)</f>
        <v>150000</v>
      </c>
      <c r="T395" s="62"/>
      <c r="U395" s="62">
        <f>SUM(S395:T395)</f>
        <v>150000</v>
      </c>
      <c r="V395" s="62"/>
      <c r="W395" s="62">
        <f>SUM(U395:V395)</f>
        <v>150000</v>
      </c>
      <c r="X395" s="62"/>
      <c r="Y395" s="62">
        <f>SUM(W395:X395)</f>
        <v>150000</v>
      </c>
      <c r="Z395" s="62"/>
      <c r="AA395" s="62">
        <f>SUM(Y395:Z395)</f>
        <v>150000</v>
      </c>
      <c r="AB395" s="62"/>
      <c r="AC395" s="62">
        <f>SUM(AA395:AB395)</f>
        <v>150000</v>
      </c>
    </row>
    <row r="396" spans="1:29" s="25" customFormat="1" ht="21" customHeight="1">
      <c r="A396" s="49"/>
      <c r="B396" s="63" t="s">
        <v>446</v>
      </c>
      <c r="C396" s="66"/>
      <c r="D396" s="36" t="s">
        <v>6</v>
      </c>
      <c r="E396" s="62">
        <f aca="true" t="shared" si="315" ref="E396:W396">SUM(E397:E398)</f>
        <v>763820</v>
      </c>
      <c r="F396" s="62">
        <f t="shared" si="315"/>
        <v>0</v>
      </c>
      <c r="G396" s="62">
        <f t="shared" si="315"/>
        <v>763820</v>
      </c>
      <c r="H396" s="62">
        <f t="shared" si="315"/>
        <v>0</v>
      </c>
      <c r="I396" s="62">
        <f t="shared" si="315"/>
        <v>763820</v>
      </c>
      <c r="J396" s="62">
        <f t="shared" si="315"/>
        <v>0</v>
      </c>
      <c r="K396" s="62">
        <f t="shared" si="315"/>
        <v>763820</v>
      </c>
      <c r="L396" s="62">
        <f t="shared" si="315"/>
        <v>0</v>
      </c>
      <c r="M396" s="62">
        <f t="shared" si="315"/>
        <v>763820</v>
      </c>
      <c r="N396" s="62">
        <f t="shared" si="315"/>
        <v>75000</v>
      </c>
      <c r="O396" s="62">
        <f t="shared" si="315"/>
        <v>838820</v>
      </c>
      <c r="P396" s="62">
        <f t="shared" si="315"/>
        <v>0</v>
      </c>
      <c r="Q396" s="62">
        <f t="shared" si="315"/>
        <v>838820</v>
      </c>
      <c r="R396" s="62">
        <f t="shared" si="315"/>
        <v>0</v>
      </c>
      <c r="S396" s="62">
        <f t="shared" si="315"/>
        <v>838820</v>
      </c>
      <c r="T396" s="62">
        <f t="shared" si="315"/>
        <v>0</v>
      </c>
      <c r="U396" s="62">
        <f t="shared" si="315"/>
        <v>838820</v>
      </c>
      <c r="V396" s="62">
        <f t="shared" si="315"/>
        <v>10000</v>
      </c>
      <c r="W396" s="62">
        <f t="shared" si="315"/>
        <v>848820</v>
      </c>
      <c r="X396" s="62">
        <f aca="true" t="shared" si="316" ref="X396:AC396">SUM(X397:X398)</f>
        <v>75000</v>
      </c>
      <c r="Y396" s="62">
        <f t="shared" si="316"/>
        <v>923820</v>
      </c>
      <c r="Z396" s="62">
        <f t="shared" si="316"/>
        <v>28000</v>
      </c>
      <c r="AA396" s="62">
        <f t="shared" si="316"/>
        <v>951820</v>
      </c>
      <c r="AB396" s="62">
        <f t="shared" si="316"/>
        <v>0</v>
      </c>
      <c r="AC396" s="62">
        <f t="shared" si="316"/>
        <v>951820</v>
      </c>
    </row>
    <row r="397" spans="1:29" s="25" customFormat="1" ht="21" customHeight="1">
      <c r="A397" s="49"/>
      <c r="B397" s="63"/>
      <c r="C397" s="66">
        <v>3110</v>
      </c>
      <c r="D397" s="36" t="s">
        <v>97</v>
      </c>
      <c r="E397" s="52">
        <f>541300+217000</f>
        <v>758300</v>
      </c>
      <c r="F397" s="52"/>
      <c r="G397" s="62">
        <f t="shared" si="296"/>
        <v>758300</v>
      </c>
      <c r="H397" s="52"/>
      <c r="I397" s="62">
        <f>SUM(G397:H397)</f>
        <v>758300</v>
      </c>
      <c r="J397" s="52"/>
      <c r="K397" s="62">
        <f>SUM(I397:J397)</f>
        <v>758300</v>
      </c>
      <c r="L397" s="52"/>
      <c r="M397" s="62">
        <f>SUM(K397:L397)</f>
        <v>758300</v>
      </c>
      <c r="N397" s="52">
        <v>75000</v>
      </c>
      <c r="O397" s="62">
        <f>SUM(M397:N397)</f>
        <v>833300</v>
      </c>
      <c r="P397" s="52"/>
      <c r="Q397" s="62">
        <f>SUM(O397:P397)</f>
        <v>833300</v>
      </c>
      <c r="R397" s="52"/>
      <c r="S397" s="62">
        <f>SUM(Q397:R397)</f>
        <v>833300</v>
      </c>
      <c r="T397" s="52"/>
      <c r="U397" s="62">
        <f>SUM(S397:T397)</f>
        <v>833300</v>
      </c>
      <c r="V397" s="52">
        <v>10000</v>
      </c>
      <c r="W397" s="62">
        <f>SUM(U397:V397)</f>
        <v>843300</v>
      </c>
      <c r="X397" s="52">
        <v>75000</v>
      </c>
      <c r="Y397" s="62">
        <f>SUM(W397:X397)</f>
        <v>918300</v>
      </c>
      <c r="Z397" s="52">
        <v>28000</v>
      </c>
      <c r="AA397" s="62">
        <f>SUM(Y397:Z397)</f>
        <v>946300</v>
      </c>
      <c r="AB397" s="52"/>
      <c r="AC397" s="62">
        <f>SUM(AA397:AB397)</f>
        <v>946300</v>
      </c>
    </row>
    <row r="398" spans="1:29" s="25" customFormat="1" ht="21" customHeight="1">
      <c r="A398" s="49"/>
      <c r="B398" s="63"/>
      <c r="C398" s="66">
        <v>4430</v>
      </c>
      <c r="D398" s="36" t="s">
        <v>87</v>
      </c>
      <c r="E398" s="62">
        <v>5520</v>
      </c>
      <c r="F398" s="62"/>
      <c r="G398" s="62">
        <f t="shared" si="296"/>
        <v>5520</v>
      </c>
      <c r="H398" s="62"/>
      <c r="I398" s="62">
        <f>SUM(G398:H398)</f>
        <v>5520</v>
      </c>
      <c r="J398" s="62"/>
      <c r="K398" s="62">
        <f>SUM(I398:J398)</f>
        <v>5520</v>
      </c>
      <c r="L398" s="62"/>
      <c r="M398" s="62">
        <f>SUM(K398:L398)</f>
        <v>5520</v>
      </c>
      <c r="N398" s="62"/>
      <c r="O398" s="62">
        <f>SUM(M398:N398)</f>
        <v>5520</v>
      </c>
      <c r="P398" s="62"/>
      <c r="Q398" s="62">
        <f>SUM(O398:P398)</f>
        <v>5520</v>
      </c>
      <c r="R398" s="62"/>
      <c r="S398" s="62">
        <f>SUM(Q398:R398)</f>
        <v>5520</v>
      </c>
      <c r="T398" s="62"/>
      <c r="U398" s="62">
        <f>SUM(S398:T398)</f>
        <v>5520</v>
      </c>
      <c r="V398" s="62"/>
      <c r="W398" s="62">
        <f>SUM(U398:V398)</f>
        <v>5520</v>
      </c>
      <c r="X398" s="62"/>
      <c r="Y398" s="62">
        <f>SUM(W398:X398)</f>
        <v>5520</v>
      </c>
      <c r="Z398" s="62"/>
      <c r="AA398" s="62">
        <f>SUM(Y398:Z398)</f>
        <v>5520</v>
      </c>
      <c r="AB398" s="62"/>
      <c r="AC398" s="62">
        <f>SUM(AA398:AB398)</f>
        <v>5520</v>
      </c>
    </row>
    <row r="399" spans="1:29" s="98" customFormat="1" ht="24">
      <c r="A399" s="209">
        <v>853</v>
      </c>
      <c r="B399" s="210"/>
      <c r="C399" s="211"/>
      <c r="D399" s="212" t="s">
        <v>241</v>
      </c>
      <c r="E399" s="213">
        <f aca="true" t="shared" si="317" ref="E399:AB400">E400</f>
        <v>10800</v>
      </c>
      <c r="F399" s="213">
        <f t="shared" si="317"/>
        <v>0</v>
      </c>
      <c r="G399" s="213">
        <f t="shared" si="317"/>
        <v>10800</v>
      </c>
      <c r="H399" s="213">
        <f t="shared" si="317"/>
        <v>0</v>
      </c>
      <c r="I399" s="213">
        <f t="shared" si="317"/>
        <v>10800</v>
      </c>
      <c r="J399" s="213">
        <f t="shared" si="317"/>
        <v>0</v>
      </c>
      <c r="K399" s="213">
        <f t="shared" si="317"/>
        <v>10800</v>
      </c>
      <c r="L399" s="213">
        <f t="shared" si="317"/>
        <v>0</v>
      </c>
      <c r="M399" s="213">
        <f t="shared" si="317"/>
        <v>10800</v>
      </c>
      <c r="N399" s="213">
        <f t="shared" si="317"/>
        <v>0</v>
      </c>
      <c r="O399" s="213">
        <f t="shared" si="317"/>
        <v>10800</v>
      </c>
      <c r="P399" s="213">
        <f t="shared" si="317"/>
        <v>0</v>
      </c>
      <c r="Q399" s="213">
        <f t="shared" si="317"/>
        <v>10800</v>
      </c>
      <c r="R399" s="213">
        <f t="shared" si="317"/>
        <v>0</v>
      </c>
      <c r="S399" s="213">
        <f t="shared" si="317"/>
        <v>10800</v>
      </c>
      <c r="T399" s="213">
        <f t="shared" si="317"/>
        <v>0</v>
      </c>
      <c r="U399" s="213">
        <f aca="true" t="shared" si="318" ref="U399:AA399">U400+U402</f>
        <v>10800</v>
      </c>
      <c r="V399" s="213">
        <f t="shared" si="318"/>
        <v>196185</v>
      </c>
      <c r="W399" s="213">
        <f t="shared" si="318"/>
        <v>206985</v>
      </c>
      <c r="X399" s="213">
        <f t="shared" si="318"/>
        <v>0</v>
      </c>
      <c r="Y399" s="213">
        <f t="shared" si="318"/>
        <v>206985</v>
      </c>
      <c r="Z399" s="213">
        <f t="shared" si="318"/>
        <v>0</v>
      </c>
      <c r="AA399" s="213">
        <f t="shared" si="318"/>
        <v>206985</v>
      </c>
      <c r="AB399" s="213">
        <f>AB400+AB402</f>
        <v>0</v>
      </c>
      <c r="AC399" s="213">
        <f>AC400+AC402</f>
        <v>206985</v>
      </c>
    </row>
    <row r="400" spans="1:29" s="25" customFormat="1" ht="21" customHeight="1">
      <c r="A400" s="49"/>
      <c r="B400" s="63">
        <v>85311</v>
      </c>
      <c r="C400" s="66"/>
      <c r="D400" s="36" t="s">
        <v>447</v>
      </c>
      <c r="E400" s="62">
        <f t="shared" si="317"/>
        <v>10800</v>
      </c>
      <c r="F400" s="62">
        <f t="shared" si="317"/>
        <v>0</v>
      </c>
      <c r="G400" s="62">
        <f t="shared" si="317"/>
        <v>10800</v>
      </c>
      <c r="H400" s="62">
        <f t="shared" si="317"/>
        <v>0</v>
      </c>
      <c r="I400" s="62">
        <f t="shared" si="317"/>
        <v>10800</v>
      </c>
      <c r="J400" s="62">
        <f t="shared" si="317"/>
        <v>0</v>
      </c>
      <c r="K400" s="62">
        <f t="shared" si="317"/>
        <v>10800</v>
      </c>
      <c r="L400" s="62">
        <f t="shared" si="317"/>
        <v>0</v>
      </c>
      <c r="M400" s="62">
        <f t="shared" si="317"/>
        <v>10800</v>
      </c>
      <c r="N400" s="62">
        <f t="shared" si="317"/>
        <v>0</v>
      </c>
      <c r="O400" s="62">
        <f t="shared" si="317"/>
        <v>10800</v>
      </c>
      <c r="P400" s="62">
        <f t="shared" si="317"/>
        <v>0</v>
      </c>
      <c r="Q400" s="62">
        <f t="shared" si="317"/>
        <v>10800</v>
      </c>
      <c r="R400" s="62">
        <f t="shared" si="317"/>
        <v>0</v>
      </c>
      <c r="S400" s="62">
        <f t="shared" si="317"/>
        <v>10800</v>
      </c>
      <c r="T400" s="62">
        <f t="shared" si="317"/>
        <v>0</v>
      </c>
      <c r="U400" s="62">
        <f t="shared" si="317"/>
        <v>10800</v>
      </c>
      <c r="V400" s="62">
        <f t="shared" si="317"/>
        <v>0</v>
      </c>
      <c r="W400" s="62">
        <f t="shared" si="317"/>
        <v>10800</v>
      </c>
      <c r="X400" s="62">
        <f t="shared" si="317"/>
        <v>0</v>
      </c>
      <c r="Y400" s="62">
        <f t="shared" si="317"/>
        <v>10800</v>
      </c>
      <c r="Z400" s="62">
        <f t="shared" si="317"/>
        <v>0</v>
      </c>
      <c r="AA400" s="62">
        <f>AA401</f>
        <v>10800</v>
      </c>
      <c r="AB400" s="62">
        <f t="shared" si="317"/>
        <v>0</v>
      </c>
      <c r="AC400" s="62">
        <f>AC401</f>
        <v>10800</v>
      </c>
    </row>
    <row r="401" spans="1:35" s="25" customFormat="1" ht="48">
      <c r="A401" s="49"/>
      <c r="B401" s="63"/>
      <c r="C401" s="66">
        <v>2710</v>
      </c>
      <c r="D401" s="36" t="s">
        <v>448</v>
      </c>
      <c r="E401" s="62">
        <v>10800</v>
      </c>
      <c r="F401" s="62"/>
      <c r="G401" s="62">
        <f t="shared" si="296"/>
        <v>10800</v>
      </c>
      <c r="H401" s="62"/>
      <c r="I401" s="62">
        <f>SUM(G401:H401)</f>
        <v>10800</v>
      </c>
      <c r="J401" s="62"/>
      <c r="K401" s="62">
        <f>SUM(I401:J401)</f>
        <v>10800</v>
      </c>
      <c r="L401" s="62"/>
      <c r="M401" s="62">
        <f>SUM(K401:L401)</f>
        <v>10800</v>
      </c>
      <c r="N401" s="62"/>
      <c r="O401" s="62">
        <f>SUM(M401:N401)</f>
        <v>10800</v>
      </c>
      <c r="P401" s="62"/>
      <c r="Q401" s="62">
        <f>SUM(O401:P401)</f>
        <v>10800</v>
      </c>
      <c r="R401" s="62"/>
      <c r="S401" s="62">
        <f>SUM(Q401:R401)</f>
        <v>10800</v>
      </c>
      <c r="T401" s="62"/>
      <c r="U401" s="62">
        <f>SUM(S401:T401)</f>
        <v>10800</v>
      </c>
      <c r="V401" s="62"/>
      <c r="W401" s="62">
        <f>SUM(U401:V401)</f>
        <v>10800</v>
      </c>
      <c r="X401" s="62"/>
      <c r="Y401" s="62">
        <f>SUM(W401:X401)</f>
        <v>10800</v>
      </c>
      <c r="Z401" s="62"/>
      <c r="AA401" s="62">
        <f>SUM(Y401:Z401)</f>
        <v>10800</v>
      </c>
      <c r="AB401" s="62"/>
      <c r="AC401" s="62">
        <f>SUM(AA401:AB401)</f>
        <v>10800</v>
      </c>
      <c r="AH401" s="79"/>
      <c r="AI401" s="79"/>
    </row>
    <row r="402" spans="1:29" s="25" customFormat="1" ht="23.25" customHeight="1">
      <c r="A402" s="49"/>
      <c r="B402" s="63">
        <v>85395</v>
      </c>
      <c r="C402" s="66"/>
      <c r="D402" s="36" t="s">
        <v>6</v>
      </c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>
        <f aca="true" t="shared" si="319" ref="U402:AA402">SUM(U403:U412)</f>
        <v>0</v>
      </c>
      <c r="V402" s="62">
        <f t="shared" si="319"/>
        <v>196185</v>
      </c>
      <c r="W402" s="62">
        <f t="shared" si="319"/>
        <v>196185</v>
      </c>
      <c r="X402" s="62">
        <f t="shared" si="319"/>
        <v>0</v>
      </c>
      <c r="Y402" s="62">
        <f t="shared" si="319"/>
        <v>196185</v>
      </c>
      <c r="Z402" s="62">
        <f t="shared" si="319"/>
        <v>0</v>
      </c>
      <c r="AA402" s="62">
        <f t="shared" si="319"/>
        <v>196185</v>
      </c>
      <c r="AB402" s="62">
        <f>SUM(AB403:AB412)</f>
        <v>0</v>
      </c>
      <c r="AC402" s="62">
        <f>SUM(AC403:AC412)</f>
        <v>196185</v>
      </c>
    </row>
    <row r="403" spans="1:29" s="25" customFormat="1" ht="23.25" customHeight="1">
      <c r="A403" s="49"/>
      <c r="B403" s="63"/>
      <c r="C403" s="66">
        <v>3119</v>
      </c>
      <c r="D403" s="36" t="s">
        <v>97</v>
      </c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>
        <v>0</v>
      </c>
      <c r="V403" s="62">
        <v>20600</v>
      </c>
      <c r="W403" s="62">
        <f>SUM(U403:V403)</f>
        <v>20600</v>
      </c>
      <c r="X403" s="62"/>
      <c r="Y403" s="62">
        <f>SUM(W403:X403)</f>
        <v>20600</v>
      </c>
      <c r="Z403" s="62"/>
      <c r="AA403" s="62">
        <f>SUM(Y403:Z403)</f>
        <v>20600</v>
      </c>
      <c r="AB403" s="62"/>
      <c r="AC403" s="62">
        <f>SUM(AA403:AB403)</f>
        <v>20600</v>
      </c>
    </row>
    <row r="404" spans="1:31" s="25" customFormat="1" ht="23.25" customHeight="1">
      <c r="A404" s="49"/>
      <c r="B404" s="63"/>
      <c r="C404" s="66">
        <v>4018</v>
      </c>
      <c r="D404" s="36" t="s">
        <v>79</v>
      </c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>
        <v>0</v>
      </c>
      <c r="V404" s="62">
        <v>25481</v>
      </c>
      <c r="W404" s="62">
        <f aca="true" t="shared" si="320" ref="W404:W412">SUM(U404:V404)</f>
        <v>25481</v>
      </c>
      <c r="X404" s="62"/>
      <c r="Y404" s="62">
        <f aca="true" t="shared" si="321" ref="Y404:Y412">SUM(W404:X404)</f>
        <v>25481</v>
      </c>
      <c r="Z404" s="62"/>
      <c r="AA404" s="62">
        <f aca="true" t="shared" si="322" ref="AA404:AA412">SUM(Y404:Z404)</f>
        <v>25481</v>
      </c>
      <c r="AB404" s="62"/>
      <c r="AC404" s="62">
        <f aca="true" t="shared" si="323" ref="AC404:AC412">SUM(AA404:AB404)</f>
        <v>25481</v>
      </c>
      <c r="AD404" s="79"/>
      <c r="AE404" s="79"/>
    </row>
    <row r="405" spans="1:31" s="25" customFormat="1" ht="23.25" customHeight="1">
      <c r="A405" s="49"/>
      <c r="B405" s="63"/>
      <c r="C405" s="66">
        <v>4118</v>
      </c>
      <c r="D405" s="36" t="s">
        <v>81</v>
      </c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>
        <v>0</v>
      </c>
      <c r="V405" s="62">
        <v>4415</v>
      </c>
      <c r="W405" s="62">
        <f t="shared" si="320"/>
        <v>4415</v>
      </c>
      <c r="X405" s="62"/>
      <c r="Y405" s="62">
        <f t="shared" si="321"/>
        <v>4415</v>
      </c>
      <c r="Z405" s="62"/>
      <c r="AA405" s="62">
        <f t="shared" si="322"/>
        <v>4415</v>
      </c>
      <c r="AB405" s="62"/>
      <c r="AC405" s="62">
        <f t="shared" si="323"/>
        <v>4415</v>
      </c>
      <c r="AD405" s="79"/>
      <c r="AE405" s="79"/>
    </row>
    <row r="406" spans="1:31" s="25" customFormat="1" ht="23.25" customHeight="1">
      <c r="A406" s="49"/>
      <c r="B406" s="63"/>
      <c r="C406" s="66">
        <v>4128</v>
      </c>
      <c r="D406" s="36" t="s">
        <v>82</v>
      </c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>
        <v>0</v>
      </c>
      <c r="V406" s="62">
        <v>708</v>
      </c>
      <c r="W406" s="62">
        <f t="shared" si="320"/>
        <v>708</v>
      </c>
      <c r="X406" s="62"/>
      <c r="Y406" s="62">
        <f t="shared" si="321"/>
        <v>708</v>
      </c>
      <c r="Z406" s="62"/>
      <c r="AA406" s="62">
        <f t="shared" si="322"/>
        <v>708</v>
      </c>
      <c r="AB406" s="62"/>
      <c r="AC406" s="62">
        <f t="shared" si="323"/>
        <v>708</v>
      </c>
      <c r="AD406" s="79"/>
      <c r="AE406" s="79"/>
    </row>
    <row r="407" spans="1:31" s="25" customFormat="1" ht="18" customHeight="1">
      <c r="A407" s="49"/>
      <c r="B407" s="63"/>
      <c r="C407" s="66">
        <v>4178</v>
      </c>
      <c r="D407" s="36" t="s">
        <v>161</v>
      </c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>
        <v>0</v>
      </c>
      <c r="V407" s="62">
        <v>13109</v>
      </c>
      <c r="W407" s="62">
        <f t="shared" si="320"/>
        <v>13109</v>
      </c>
      <c r="X407" s="62"/>
      <c r="Y407" s="62">
        <f t="shared" si="321"/>
        <v>13109</v>
      </c>
      <c r="Z407" s="62"/>
      <c r="AA407" s="62">
        <f t="shared" si="322"/>
        <v>13109</v>
      </c>
      <c r="AB407" s="62"/>
      <c r="AC407" s="62">
        <f t="shared" si="323"/>
        <v>13109</v>
      </c>
      <c r="AD407" s="79"/>
      <c r="AE407" s="79"/>
    </row>
    <row r="408" spans="1:31" s="25" customFormat="1" ht="18" customHeight="1">
      <c r="A408" s="49"/>
      <c r="B408" s="63"/>
      <c r="C408" s="66">
        <v>4179</v>
      </c>
      <c r="D408" s="36" t="s">
        <v>161</v>
      </c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>
        <v>0</v>
      </c>
      <c r="V408" s="62">
        <v>8828</v>
      </c>
      <c r="W408" s="62">
        <f t="shared" si="320"/>
        <v>8828</v>
      </c>
      <c r="X408" s="62"/>
      <c r="Y408" s="62">
        <f t="shared" si="321"/>
        <v>8828</v>
      </c>
      <c r="Z408" s="62"/>
      <c r="AA408" s="62">
        <f t="shared" si="322"/>
        <v>8828</v>
      </c>
      <c r="AB408" s="62"/>
      <c r="AC408" s="62">
        <f t="shared" si="323"/>
        <v>8828</v>
      </c>
      <c r="AD408" s="79"/>
      <c r="AE408" s="79"/>
    </row>
    <row r="409" spans="1:29" s="25" customFormat="1" ht="18" customHeight="1">
      <c r="A409" s="49"/>
      <c r="B409" s="63"/>
      <c r="C409" s="66">
        <v>4218</v>
      </c>
      <c r="D409" s="36" t="s">
        <v>86</v>
      </c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>
        <v>0</v>
      </c>
      <c r="V409" s="62">
        <v>14572</v>
      </c>
      <c r="W409" s="62">
        <f t="shared" si="320"/>
        <v>14572</v>
      </c>
      <c r="X409" s="62"/>
      <c r="Y409" s="62">
        <f t="shared" si="321"/>
        <v>14572</v>
      </c>
      <c r="Z409" s="62"/>
      <c r="AA409" s="62">
        <f t="shared" si="322"/>
        <v>14572</v>
      </c>
      <c r="AB409" s="62"/>
      <c r="AC409" s="62">
        <f t="shared" si="323"/>
        <v>14572</v>
      </c>
    </row>
    <row r="410" spans="1:29" s="25" customFormat="1" ht="18" customHeight="1">
      <c r="A410" s="49"/>
      <c r="B410" s="63"/>
      <c r="C410" s="66">
        <v>4308</v>
      </c>
      <c r="D410" s="36" t="s">
        <v>75</v>
      </c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>
        <v>0</v>
      </c>
      <c r="V410" s="62">
        <v>107372</v>
      </c>
      <c r="W410" s="62">
        <f t="shared" si="320"/>
        <v>107372</v>
      </c>
      <c r="X410" s="62"/>
      <c r="Y410" s="62">
        <f t="shared" si="321"/>
        <v>107372</v>
      </c>
      <c r="Z410" s="62"/>
      <c r="AA410" s="62">
        <f t="shared" si="322"/>
        <v>107372</v>
      </c>
      <c r="AB410" s="62"/>
      <c r="AC410" s="62">
        <f t="shared" si="323"/>
        <v>107372</v>
      </c>
    </row>
    <row r="411" spans="1:29" s="25" customFormat="1" ht="37.5" customHeight="1">
      <c r="A411" s="49"/>
      <c r="B411" s="63"/>
      <c r="C411" s="66">
        <v>4748</v>
      </c>
      <c r="D411" s="36" t="s">
        <v>183</v>
      </c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>
        <v>0</v>
      </c>
      <c r="V411" s="62">
        <v>100</v>
      </c>
      <c r="W411" s="62">
        <f t="shared" si="320"/>
        <v>100</v>
      </c>
      <c r="X411" s="62"/>
      <c r="Y411" s="62">
        <f t="shared" si="321"/>
        <v>100</v>
      </c>
      <c r="Z411" s="62"/>
      <c r="AA411" s="62">
        <f t="shared" si="322"/>
        <v>100</v>
      </c>
      <c r="AB411" s="62"/>
      <c r="AC411" s="62">
        <f t="shared" si="323"/>
        <v>100</v>
      </c>
    </row>
    <row r="412" spans="1:29" s="25" customFormat="1" ht="27.75" customHeight="1">
      <c r="A412" s="49"/>
      <c r="B412" s="63"/>
      <c r="C412" s="66">
        <v>4758</v>
      </c>
      <c r="D412" s="36" t="s">
        <v>230</v>
      </c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>
        <v>0</v>
      </c>
      <c r="V412" s="62">
        <v>1000</v>
      </c>
      <c r="W412" s="62">
        <f t="shared" si="320"/>
        <v>1000</v>
      </c>
      <c r="X412" s="62"/>
      <c r="Y412" s="62">
        <f t="shared" si="321"/>
        <v>1000</v>
      </c>
      <c r="Z412" s="62"/>
      <c r="AA412" s="62">
        <f t="shared" si="322"/>
        <v>1000</v>
      </c>
      <c r="AB412" s="62"/>
      <c r="AC412" s="62">
        <f t="shared" si="323"/>
        <v>1000</v>
      </c>
    </row>
    <row r="413" spans="1:29" s="7" customFormat="1" ht="21" customHeight="1">
      <c r="A413" s="32" t="s">
        <v>100</v>
      </c>
      <c r="B413" s="33"/>
      <c r="C413" s="34"/>
      <c r="D413" s="35" t="s">
        <v>58</v>
      </c>
      <c r="E413" s="200">
        <f aca="true" t="shared" si="324" ref="E413:W413">SUM(E414,E424,E436,E432,E429)</f>
        <v>995031</v>
      </c>
      <c r="F413" s="200">
        <f t="shared" si="324"/>
        <v>-35000</v>
      </c>
      <c r="G413" s="200">
        <f t="shared" si="324"/>
        <v>960031</v>
      </c>
      <c r="H413" s="200">
        <f t="shared" si="324"/>
        <v>252163</v>
      </c>
      <c r="I413" s="200">
        <f t="shared" si="324"/>
        <v>1212194</v>
      </c>
      <c r="J413" s="200">
        <f t="shared" si="324"/>
        <v>4462</v>
      </c>
      <c r="K413" s="200">
        <f t="shared" si="324"/>
        <v>1216656</v>
      </c>
      <c r="L413" s="200">
        <f t="shared" si="324"/>
        <v>0</v>
      </c>
      <c r="M413" s="200">
        <f t="shared" si="324"/>
        <v>1216656</v>
      </c>
      <c r="N413" s="200">
        <f t="shared" si="324"/>
        <v>0</v>
      </c>
      <c r="O413" s="200">
        <f t="shared" si="324"/>
        <v>1216656</v>
      </c>
      <c r="P413" s="200">
        <f t="shared" si="324"/>
        <v>0</v>
      </c>
      <c r="Q413" s="200">
        <f t="shared" si="324"/>
        <v>1216656</v>
      </c>
      <c r="R413" s="200">
        <f t="shared" si="324"/>
        <v>0</v>
      </c>
      <c r="S413" s="200">
        <f t="shared" si="324"/>
        <v>1216656</v>
      </c>
      <c r="T413" s="200">
        <f t="shared" si="324"/>
        <v>0</v>
      </c>
      <c r="U413" s="200">
        <f t="shared" si="324"/>
        <v>1216656</v>
      </c>
      <c r="V413" s="200">
        <f t="shared" si="324"/>
        <v>0</v>
      </c>
      <c r="W413" s="200">
        <f t="shared" si="324"/>
        <v>1306846</v>
      </c>
      <c r="X413" s="200">
        <f aca="true" t="shared" si="325" ref="X413:AC413">SUM(X414,X424,X436,X432,X429)</f>
        <v>0</v>
      </c>
      <c r="Y413" s="200">
        <f t="shared" si="325"/>
        <v>1306846</v>
      </c>
      <c r="Z413" s="200">
        <f t="shared" si="325"/>
        <v>6879</v>
      </c>
      <c r="AA413" s="200">
        <f t="shared" si="325"/>
        <v>1313725</v>
      </c>
      <c r="AB413" s="200">
        <f t="shared" si="325"/>
        <v>1355</v>
      </c>
      <c r="AC413" s="200">
        <f t="shared" si="325"/>
        <v>1315080</v>
      </c>
    </row>
    <row r="414" spans="1:29" s="25" customFormat="1" ht="21" customHeight="1">
      <c r="A414" s="49"/>
      <c r="B414" s="63">
        <v>85401</v>
      </c>
      <c r="C414" s="66"/>
      <c r="D414" s="36" t="s">
        <v>449</v>
      </c>
      <c r="E414" s="62">
        <f aca="true" t="shared" si="326" ref="E414:W414">SUM(E415:E423)</f>
        <v>522477</v>
      </c>
      <c r="F414" s="62">
        <f t="shared" si="326"/>
        <v>0</v>
      </c>
      <c r="G414" s="62">
        <f t="shared" si="326"/>
        <v>522477</v>
      </c>
      <c r="H414" s="62">
        <f t="shared" si="326"/>
        <v>0</v>
      </c>
      <c r="I414" s="62">
        <f t="shared" si="326"/>
        <v>522477</v>
      </c>
      <c r="J414" s="62">
        <f t="shared" si="326"/>
        <v>4462</v>
      </c>
      <c r="K414" s="62">
        <f t="shared" si="326"/>
        <v>526939</v>
      </c>
      <c r="L414" s="62">
        <f t="shared" si="326"/>
        <v>0</v>
      </c>
      <c r="M414" s="62">
        <f t="shared" si="326"/>
        <v>526939</v>
      </c>
      <c r="N414" s="62">
        <f t="shared" si="326"/>
        <v>0</v>
      </c>
      <c r="O414" s="62">
        <f t="shared" si="326"/>
        <v>526939</v>
      </c>
      <c r="P414" s="62">
        <f t="shared" si="326"/>
        <v>0</v>
      </c>
      <c r="Q414" s="62">
        <f t="shared" si="326"/>
        <v>526939</v>
      </c>
      <c r="R414" s="62">
        <f t="shared" si="326"/>
        <v>0</v>
      </c>
      <c r="S414" s="62">
        <f t="shared" si="326"/>
        <v>526939</v>
      </c>
      <c r="T414" s="62">
        <f t="shared" si="326"/>
        <v>0</v>
      </c>
      <c r="U414" s="62">
        <f t="shared" si="326"/>
        <v>526939</v>
      </c>
      <c r="V414" s="62">
        <f t="shared" si="326"/>
        <v>0</v>
      </c>
      <c r="W414" s="62">
        <f t="shared" si="326"/>
        <v>526939</v>
      </c>
      <c r="X414" s="62">
        <f aca="true" t="shared" si="327" ref="X414:AC414">SUM(X415:X423)</f>
        <v>0</v>
      </c>
      <c r="Y414" s="62">
        <f t="shared" si="327"/>
        <v>526939</v>
      </c>
      <c r="Z414" s="62">
        <f t="shared" si="327"/>
        <v>6879</v>
      </c>
      <c r="AA414" s="62">
        <f t="shared" si="327"/>
        <v>533818</v>
      </c>
      <c r="AB414" s="62">
        <f t="shared" si="327"/>
        <v>1355</v>
      </c>
      <c r="AC414" s="62">
        <f t="shared" si="327"/>
        <v>535173</v>
      </c>
    </row>
    <row r="415" spans="1:29" s="25" customFormat="1" ht="21" customHeight="1">
      <c r="A415" s="49"/>
      <c r="B415" s="63"/>
      <c r="C415" s="66">
        <v>3020</v>
      </c>
      <c r="D415" s="36" t="s">
        <v>430</v>
      </c>
      <c r="E415" s="62">
        <v>10339</v>
      </c>
      <c r="F415" s="62"/>
      <c r="G415" s="62">
        <f t="shared" si="296"/>
        <v>10339</v>
      </c>
      <c r="H415" s="62"/>
      <c r="I415" s="62">
        <f aca="true" t="shared" si="328" ref="I415:I423">SUM(G415:H415)</f>
        <v>10339</v>
      </c>
      <c r="J415" s="62"/>
      <c r="K415" s="62">
        <f aca="true" t="shared" si="329" ref="K415:K423">SUM(I415:J415)</f>
        <v>10339</v>
      </c>
      <c r="L415" s="62"/>
      <c r="M415" s="62">
        <f aca="true" t="shared" si="330" ref="M415:M423">SUM(K415:L415)</f>
        <v>10339</v>
      </c>
      <c r="N415" s="62"/>
      <c r="O415" s="62">
        <f aca="true" t="shared" si="331" ref="O415:O423">SUM(M415:N415)</f>
        <v>10339</v>
      </c>
      <c r="P415" s="62"/>
      <c r="Q415" s="62">
        <f aca="true" t="shared" si="332" ref="Q415:Q423">SUM(O415:P415)</f>
        <v>10339</v>
      </c>
      <c r="R415" s="62"/>
      <c r="S415" s="62">
        <f aca="true" t="shared" si="333" ref="S415:S423">SUM(Q415:R415)</f>
        <v>10339</v>
      </c>
      <c r="T415" s="62"/>
      <c r="U415" s="62">
        <f aca="true" t="shared" si="334" ref="U415:U423">SUM(S415:T415)</f>
        <v>10339</v>
      </c>
      <c r="V415" s="62"/>
      <c r="W415" s="62">
        <f aca="true" t="shared" si="335" ref="W415:W423">SUM(U415:V415)</f>
        <v>10339</v>
      </c>
      <c r="X415" s="62"/>
      <c r="Y415" s="62">
        <f aca="true" t="shared" si="336" ref="Y415:Y423">SUM(W415:X415)</f>
        <v>10339</v>
      </c>
      <c r="Z415" s="62"/>
      <c r="AA415" s="62">
        <f aca="true" t="shared" si="337" ref="AA415:AA423">SUM(Y415:Z415)</f>
        <v>10339</v>
      </c>
      <c r="AB415" s="62"/>
      <c r="AC415" s="62">
        <f aca="true" t="shared" si="338" ref="AC415:AC423">SUM(AA415:AB415)</f>
        <v>10339</v>
      </c>
    </row>
    <row r="416" spans="1:31" s="25" customFormat="1" ht="21" customHeight="1">
      <c r="A416" s="49"/>
      <c r="B416" s="63"/>
      <c r="C416" s="66">
        <v>4010</v>
      </c>
      <c r="D416" s="36" t="s">
        <v>79</v>
      </c>
      <c r="E416" s="62">
        <v>371545</v>
      </c>
      <c r="F416" s="62"/>
      <c r="G416" s="62">
        <f t="shared" si="296"/>
        <v>371545</v>
      </c>
      <c r="H416" s="62"/>
      <c r="I416" s="62">
        <f t="shared" si="328"/>
        <v>371545</v>
      </c>
      <c r="J416" s="62">
        <v>613</v>
      </c>
      <c r="K416" s="62">
        <f t="shared" si="329"/>
        <v>372158</v>
      </c>
      <c r="L416" s="62"/>
      <c r="M416" s="62">
        <f t="shared" si="330"/>
        <v>372158</v>
      </c>
      <c r="N416" s="62"/>
      <c r="O416" s="62">
        <f t="shared" si="331"/>
        <v>372158</v>
      </c>
      <c r="P416" s="62"/>
      <c r="Q416" s="62">
        <f t="shared" si="332"/>
        <v>372158</v>
      </c>
      <c r="R416" s="62"/>
      <c r="S416" s="62">
        <f t="shared" si="333"/>
        <v>372158</v>
      </c>
      <c r="T416" s="62"/>
      <c r="U416" s="62">
        <f t="shared" si="334"/>
        <v>372158</v>
      </c>
      <c r="V416" s="62"/>
      <c r="W416" s="62">
        <f t="shared" si="335"/>
        <v>372158</v>
      </c>
      <c r="X416" s="62"/>
      <c r="Y416" s="62">
        <f t="shared" si="336"/>
        <v>372158</v>
      </c>
      <c r="Z416" s="62">
        <v>6314</v>
      </c>
      <c r="AA416" s="62">
        <f t="shared" si="337"/>
        <v>378472</v>
      </c>
      <c r="AB416" s="62">
        <v>1150</v>
      </c>
      <c r="AC416" s="62">
        <f t="shared" si="338"/>
        <v>379622</v>
      </c>
      <c r="AD416" s="79"/>
      <c r="AE416" s="79"/>
    </row>
    <row r="417" spans="1:31" s="25" customFormat="1" ht="21" customHeight="1">
      <c r="A417" s="49"/>
      <c r="B417" s="63"/>
      <c r="C417" s="66">
        <v>4040</v>
      </c>
      <c r="D417" s="36" t="s">
        <v>80</v>
      </c>
      <c r="E417" s="62">
        <v>23840</v>
      </c>
      <c r="F417" s="62"/>
      <c r="G417" s="62">
        <f t="shared" si="296"/>
        <v>23840</v>
      </c>
      <c r="H417" s="62"/>
      <c r="I417" s="62">
        <f t="shared" si="328"/>
        <v>23840</v>
      </c>
      <c r="J417" s="62">
        <v>3849</v>
      </c>
      <c r="K417" s="62">
        <f t="shared" si="329"/>
        <v>27689</v>
      </c>
      <c r="L417" s="62"/>
      <c r="M417" s="62">
        <f t="shared" si="330"/>
        <v>27689</v>
      </c>
      <c r="N417" s="62"/>
      <c r="O417" s="62">
        <f t="shared" si="331"/>
        <v>27689</v>
      </c>
      <c r="P417" s="62"/>
      <c r="Q417" s="62">
        <f t="shared" si="332"/>
        <v>27689</v>
      </c>
      <c r="R417" s="62"/>
      <c r="S417" s="62">
        <f t="shared" si="333"/>
        <v>27689</v>
      </c>
      <c r="T417" s="62"/>
      <c r="U417" s="62">
        <f t="shared" si="334"/>
        <v>27689</v>
      </c>
      <c r="V417" s="62"/>
      <c r="W417" s="62">
        <f t="shared" si="335"/>
        <v>27689</v>
      </c>
      <c r="X417" s="62"/>
      <c r="Y417" s="62">
        <f t="shared" si="336"/>
        <v>27689</v>
      </c>
      <c r="Z417" s="62"/>
      <c r="AA417" s="62">
        <f t="shared" si="337"/>
        <v>27689</v>
      </c>
      <c r="AB417" s="62"/>
      <c r="AC417" s="62">
        <f t="shared" si="338"/>
        <v>27689</v>
      </c>
      <c r="AD417" s="79"/>
      <c r="AE417" s="79"/>
    </row>
    <row r="418" spans="1:31" s="25" customFormat="1" ht="21" customHeight="1">
      <c r="A418" s="49"/>
      <c r="B418" s="63"/>
      <c r="C418" s="66">
        <v>4110</v>
      </c>
      <c r="D418" s="36" t="s">
        <v>81</v>
      </c>
      <c r="E418" s="62">
        <v>58485</v>
      </c>
      <c r="F418" s="62"/>
      <c r="G418" s="62">
        <f t="shared" si="296"/>
        <v>58485</v>
      </c>
      <c r="H418" s="62"/>
      <c r="I418" s="62">
        <f t="shared" si="328"/>
        <v>58485</v>
      </c>
      <c r="J418" s="62"/>
      <c r="K418" s="62">
        <f t="shared" si="329"/>
        <v>58485</v>
      </c>
      <c r="L418" s="62"/>
      <c r="M418" s="62">
        <f t="shared" si="330"/>
        <v>58485</v>
      </c>
      <c r="N418" s="62"/>
      <c r="O418" s="62">
        <f t="shared" si="331"/>
        <v>58485</v>
      </c>
      <c r="P418" s="62"/>
      <c r="Q418" s="62">
        <f t="shared" si="332"/>
        <v>58485</v>
      </c>
      <c r="R418" s="62"/>
      <c r="S418" s="62">
        <f t="shared" si="333"/>
        <v>58485</v>
      </c>
      <c r="T418" s="62"/>
      <c r="U418" s="62">
        <f t="shared" si="334"/>
        <v>58485</v>
      </c>
      <c r="V418" s="62"/>
      <c r="W418" s="62">
        <f t="shared" si="335"/>
        <v>58485</v>
      </c>
      <c r="X418" s="62"/>
      <c r="Y418" s="62">
        <f t="shared" si="336"/>
        <v>58485</v>
      </c>
      <c r="Z418" s="62">
        <v>486</v>
      </c>
      <c r="AA418" s="62">
        <f t="shared" si="337"/>
        <v>58971</v>
      </c>
      <c r="AB418" s="62">
        <v>175</v>
      </c>
      <c r="AC418" s="62">
        <f t="shared" si="338"/>
        <v>59146</v>
      </c>
      <c r="AD418" s="79"/>
      <c r="AE418" s="79"/>
    </row>
    <row r="419" spans="1:31" s="25" customFormat="1" ht="21" customHeight="1">
      <c r="A419" s="49"/>
      <c r="B419" s="63"/>
      <c r="C419" s="66">
        <v>4120</v>
      </c>
      <c r="D419" s="36" t="s">
        <v>82</v>
      </c>
      <c r="E419" s="62">
        <v>10075</v>
      </c>
      <c r="F419" s="62"/>
      <c r="G419" s="62">
        <f t="shared" si="296"/>
        <v>10075</v>
      </c>
      <c r="H419" s="62"/>
      <c r="I419" s="62">
        <f t="shared" si="328"/>
        <v>10075</v>
      </c>
      <c r="J419" s="62"/>
      <c r="K419" s="62">
        <f t="shared" si="329"/>
        <v>10075</v>
      </c>
      <c r="L419" s="62"/>
      <c r="M419" s="62">
        <f t="shared" si="330"/>
        <v>10075</v>
      </c>
      <c r="N419" s="62"/>
      <c r="O419" s="62">
        <f t="shared" si="331"/>
        <v>10075</v>
      </c>
      <c r="P419" s="62"/>
      <c r="Q419" s="62">
        <f t="shared" si="332"/>
        <v>10075</v>
      </c>
      <c r="R419" s="62"/>
      <c r="S419" s="62">
        <f t="shared" si="333"/>
        <v>10075</v>
      </c>
      <c r="T419" s="62"/>
      <c r="U419" s="62">
        <f t="shared" si="334"/>
        <v>10075</v>
      </c>
      <c r="V419" s="62"/>
      <c r="W419" s="62">
        <f t="shared" si="335"/>
        <v>10075</v>
      </c>
      <c r="X419" s="62"/>
      <c r="Y419" s="62">
        <f t="shared" si="336"/>
        <v>10075</v>
      </c>
      <c r="Z419" s="62">
        <v>79</v>
      </c>
      <c r="AA419" s="62">
        <f t="shared" si="337"/>
        <v>10154</v>
      </c>
      <c r="AB419" s="62">
        <v>30</v>
      </c>
      <c r="AC419" s="62">
        <f t="shared" si="338"/>
        <v>10184</v>
      </c>
      <c r="AD419" s="79"/>
      <c r="AE419" s="79"/>
    </row>
    <row r="420" spans="1:29" s="25" customFormat="1" ht="21" customHeight="1">
      <c r="A420" s="49"/>
      <c r="B420" s="63"/>
      <c r="C420" s="66">
        <v>4210</v>
      </c>
      <c r="D420" s="36" t="s">
        <v>86</v>
      </c>
      <c r="E420" s="62">
        <v>9950</v>
      </c>
      <c r="F420" s="62"/>
      <c r="G420" s="62">
        <f t="shared" si="296"/>
        <v>9950</v>
      </c>
      <c r="H420" s="62"/>
      <c r="I420" s="62">
        <f t="shared" si="328"/>
        <v>9950</v>
      </c>
      <c r="J420" s="62"/>
      <c r="K420" s="62">
        <f t="shared" si="329"/>
        <v>9950</v>
      </c>
      <c r="L420" s="62"/>
      <c r="M420" s="62">
        <f t="shared" si="330"/>
        <v>9950</v>
      </c>
      <c r="N420" s="62"/>
      <c r="O420" s="62">
        <f t="shared" si="331"/>
        <v>9950</v>
      </c>
      <c r="P420" s="62"/>
      <c r="Q420" s="62">
        <f t="shared" si="332"/>
        <v>9950</v>
      </c>
      <c r="R420" s="62"/>
      <c r="S420" s="62">
        <f t="shared" si="333"/>
        <v>9950</v>
      </c>
      <c r="T420" s="62"/>
      <c r="U420" s="62">
        <f t="shared" si="334"/>
        <v>9950</v>
      </c>
      <c r="V420" s="62"/>
      <c r="W420" s="62">
        <f t="shared" si="335"/>
        <v>9950</v>
      </c>
      <c r="X420" s="62"/>
      <c r="Y420" s="62">
        <f t="shared" si="336"/>
        <v>9950</v>
      </c>
      <c r="Z420" s="62"/>
      <c r="AA420" s="62">
        <f t="shared" si="337"/>
        <v>9950</v>
      </c>
      <c r="AB420" s="62"/>
      <c r="AC420" s="62">
        <f t="shared" si="338"/>
        <v>9950</v>
      </c>
    </row>
    <row r="421" spans="1:29" s="25" customFormat="1" ht="24">
      <c r="A421" s="49"/>
      <c r="B421" s="63"/>
      <c r="C421" s="66">
        <v>4240</v>
      </c>
      <c r="D421" s="36" t="s">
        <v>101</v>
      </c>
      <c r="E421" s="62">
        <v>8000</v>
      </c>
      <c r="F421" s="62"/>
      <c r="G421" s="62">
        <f t="shared" si="296"/>
        <v>8000</v>
      </c>
      <c r="H421" s="62"/>
      <c r="I421" s="62">
        <f t="shared" si="328"/>
        <v>8000</v>
      </c>
      <c r="J421" s="62"/>
      <c r="K421" s="62">
        <f t="shared" si="329"/>
        <v>8000</v>
      </c>
      <c r="L421" s="62"/>
      <c r="M421" s="62">
        <f t="shared" si="330"/>
        <v>8000</v>
      </c>
      <c r="N421" s="62"/>
      <c r="O421" s="62">
        <f t="shared" si="331"/>
        <v>8000</v>
      </c>
      <c r="P421" s="62"/>
      <c r="Q421" s="62">
        <f t="shared" si="332"/>
        <v>8000</v>
      </c>
      <c r="R421" s="62"/>
      <c r="S421" s="62">
        <f t="shared" si="333"/>
        <v>8000</v>
      </c>
      <c r="T421" s="62"/>
      <c r="U421" s="62">
        <f t="shared" si="334"/>
        <v>8000</v>
      </c>
      <c r="V421" s="62"/>
      <c r="W421" s="62">
        <f t="shared" si="335"/>
        <v>8000</v>
      </c>
      <c r="X421" s="62"/>
      <c r="Y421" s="62">
        <f t="shared" si="336"/>
        <v>8000</v>
      </c>
      <c r="Z421" s="62"/>
      <c r="AA421" s="62">
        <f t="shared" si="337"/>
        <v>8000</v>
      </c>
      <c r="AB421" s="62"/>
      <c r="AC421" s="62">
        <f t="shared" si="338"/>
        <v>8000</v>
      </c>
    </row>
    <row r="422" spans="1:29" s="25" customFormat="1" ht="21" customHeight="1">
      <c r="A422" s="49"/>
      <c r="B422" s="63"/>
      <c r="C422" s="66">
        <v>4280</v>
      </c>
      <c r="D422" s="36" t="s">
        <v>432</v>
      </c>
      <c r="E422" s="62">
        <v>600</v>
      </c>
      <c r="F422" s="62"/>
      <c r="G422" s="62">
        <f t="shared" si="296"/>
        <v>600</v>
      </c>
      <c r="H422" s="62"/>
      <c r="I422" s="62">
        <f t="shared" si="328"/>
        <v>600</v>
      </c>
      <c r="J422" s="62"/>
      <c r="K422" s="62">
        <f t="shared" si="329"/>
        <v>600</v>
      </c>
      <c r="L422" s="62"/>
      <c r="M422" s="62">
        <f t="shared" si="330"/>
        <v>600</v>
      </c>
      <c r="N422" s="62"/>
      <c r="O422" s="62">
        <f t="shared" si="331"/>
        <v>600</v>
      </c>
      <c r="P422" s="62"/>
      <c r="Q422" s="62">
        <f t="shared" si="332"/>
        <v>600</v>
      </c>
      <c r="R422" s="62"/>
      <c r="S422" s="62">
        <f t="shared" si="333"/>
        <v>600</v>
      </c>
      <c r="T422" s="62"/>
      <c r="U422" s="62">
        <f t="shared" si="334"/>
        <v>600</v>
      </c>
      <c r="V422" s="62"/>
      <c r="W422" s="62">
        <f t="shared" si="335"/>
        <v>600</v>
      </c>
      <c r="X422" s="62"/>
      <c r="Y422" s="62">
        <f t="shared" si="336"/>
        <v>600</v>
      </c>
      <c r="Z422" s="62"/>
      <c r="AA422" s="62">
        <f t="shared" si="337"/>
        <v>600</v>
      </c>
      <c r="AB422" s="62"/>
      <c r="AC422" s="62">
        <f t="shared" si="338"/>
        <v>600</v>
      </c>
    </row>
    <row r="423" spans="1:29" s="25" customFormat="1" ht="24">
      <c r="A423" s="49"/>
      <c r="B423" s="63"/>
      <c r="C423" s="66">
        <v>4440</v>
      </c>
      <c r="D423" s="36" t="s">
        <v>83</v>
      </c>
      <c r="E423" s="62">
        <v>29643</v>
      </c>
      <c r="F423" s="62"/>
      <c r="G423" s="62">
        <f t="shared" si="296"/>
        <v>29643</v>
      </c>
      <c r="H423" s="62"/>
      <c r="I423" s="62">
        <f t="shared" si="328"/>
        <v>29643</v>
      </c>
      <c r="J423" s="62"/>
      <c r="K423" s="62">
        <f t="shared" si="329"/>
        <v>29643</v>
      </c>
      <c r="L423" s="62"/>
      <c r="M423" s="62">
        <f t="shared" si="330"/>
        <v>29643</v>
      </c>
      <c r="N423" s="62"/>
      <c r="O423" s="62">
        <f t="shared" si="331"/>
        <v>29643</v>
      </c>
      <c r="P423" s="62"/>
      <c r="Q423" s="62">
        <f t="shared" si="332"/>
        <v>29643</v>
      </c>
      <c r="R423" s="62"/>
      <c r="S423" s="62">
        <f t="shared" si="333"/>
        <v>29643</v>
      </c>
      <c r="T423" s="62"/>
      <c r="U423" s="62">
        <f t="shared" si="334"/>
        <v>29643</v>
      </c>
      <c r="V423" s="62"/>
      <c r="W423" s="62">
        <f t="shared" si="335"/>
        <v>29643</v>
      </c>
      <c r="X423" s="62"/>
      <c r="Y423" s="62">
        <f t="shared" si="336"/>
        <v>29643</v>
      </c>
      <c r="Z423" s="62"/>
      <c r="AA423" s="62">
        <f t="shared" si="337"/>
        <v>29643</v>
      </c>
      <c r="AB423" s="62"/>
      <c r="AC423" s="62">
        <f t="shared" si="338"/>
        <v>29643</v>
      </c>
    </row>
    <row r="424" spans="1:29" s="25" customFormat="1" ht="36">
      <c r="A424" s="49"/>
      <c r="B424" s="63" t="s">
        <v>103</v>
      </c>
      <c r="C424" s="66"/>
      <c r="D424" s="36" t="s">
        <v>128</v>
      </c>
      <c r="E424" s="62">
        <f aca="true" t="shared" si="339" ref="E424:W424">SUM(E425:E428)</f>
        <v>140890</v>
      </c>
      <c r="F424" s="62">
        <f t="shared" si="339"/>
        <v>-35000</v>
      </c>
      <c r="G424" s="62">
        <f t="shared" si="339"/>
        <v>105890</v>
      </c>
      <c r="H424" s="62">
        <f t="shared" si="339"/>
        <v>0</v>
      </c>
      <c r="I424" s="62">
        <f t="shared" si="339"/>
        <v>105890</v>
      </c>
      <c r="J424" s="62">
        <f t="shared" si="339"/>
        <v>0</v>
      </c>
      <c r="K424" s="62">
        <f t="shared" si="339"/>
        <v>105890</v>
      </c>
      <c r="L424" s="62">
        <f t="shared" si="339"/>
        <v>0</v>
      </c>
      <c r="M424" s="62">
        <f t="shared" si="339"/>
        <v>105890</v>
      </c>
      <c r="N424" s="62">
        <f t="shared" si="339"/>
        <v>0</v>
      </c>
      <c r="O424" s="62">
        <f t="shared" si="339"/>
        <v>105890</v>
      </c>
      <c r="P424" s="62">
        <f t="shared" si="339"/>
        <v>0</v>
      </c>
      <c r="Q424" s="62">
        <f t="shared" si="339"/>
        <v>105890</v>
      </c>
      <c r="R424" s="62">
        <f t="shared" si="339"/>
        <v>0</v>
      </c>
      <c r="S424" s="62">
        <f t="shared" si="339"/>
        <v>105890</v>
      </c>
      <c r="T424" s="62">
        <f t="shared" si="339"/>
        <v>0</v>
      </c>
      <c r="U424" s="62">
        <f t="shared" si="339"/>
        <v>105890</v>
      </c>
      <c r="V424" s="62">
        <f t="shared" si="339"/>
        <v>0</v>
      </c>
      <c r="W424" s="62">
        <f t="shared" si="339"/>
        <v>144140</v>
      </c>
      <c r="X424" s="62">
        <f aca="true" t="shared" si="340" ref="X424:AC424">SUM(X425:X428)</f>
        <v>0</v>
      </c>
      <c r="Y424" s="62">
        <f t="shared" si="340"/>
        <v>144140</v>
      </c>
      <c r="Z424" s="62">
        <f t="shared" si="340"/>
        <v>0</v>
      </c>
      <c r="AA424" s="62">
        <f t="shared" si="340"/>
        <v>144140</v>
      </c>
      <c r="AB424" s="62">
        <f t="shared" si="340"/>
        <v>0</v>
      </c>
      <c r="AC424" s="62">
        <f t="shared" si="340"/>
        <v>144140</v>
      </c>
    </row>
    <row r="425" spans="1:35" s="25" customFormat="1" ht="60">
      <c r="A425" s="49"/>
      <c r="B425" s="63"/>
      <c r="C425" s="66">
        <v>2830</v>
      </c>
      <c r="D425" s="36" t="s">
        <v>296</v>
      </c>
      <c r="E425" s="62">
        <v>65000</v>
      </c>
      <c r="F425" s="62">
        <v>-65000</v>
      </c>
      <c r="G425" s="62">
        <f t="shared" si="296"/>
        <v>0</v>
      </c>
      <c r="H425" s="62"/>
      <c r="I425" s="62">
        <f>SUM(G425:H425)</f>
        <v>0</v>
      </c>
      <c r="J425" s="62"/>
      <c r="K425" s="62">
        <f>SUM(I425:J425)</f>
        <v>0</v>
      </c>
      <c r="L425" s="62"/>
      <c r="M425" s="62">
        <f>SUM(K425:L425)</f>
        <v>0</v>
      </c>
      <c r="N425" s="62"/>
      <c r="O425" s="62">
        <f>SUM(M425:N425)</f>
        <v>0</v>
      </c>
      <c r="P425" s="62"/>
      <c r="Q425" s="62">
        <f>SUM(O425:P425)</f>
        <v>0</v>
      </c>
      <c r="R425" s="62"/>
      <c r="S425" s="62">
        <f>SUM(Q425:R425)</f>
        <v>0</v>
      </c>
      <c r="T425" s="62"/>
      <c r="U425" s="62">
        <f>SUM(S425:T425)</f>
        <v>0</v>
      </c>
      <c r="V425" s="62"/>
      <c r="W425" s="62">
        <v>38250</v>
      </c>
      <c r="X425" s="62"/>
      <c r="Y425" s="62">
        <f>SUM(W425:X425)</f>
        <v>38250</v>
      </c>
      <c r="Z425" s="62"/>
      <c r="AA425" s="62">
        <f>SUM(Y425:Z425)</f>
        <v>38250</v>
      </c>
      <c r="AB425" s="62"/>
      <c r="AC425" s="62">
        <f>SUM(AA425:AB425)</f>
        <v>38250</v>
      </c>
      <c r="AH425" s="79"/>
      <c r="AI425" s="79"/>
    </row>
    <row r="426" spans="1:29" s="25" customFormat="1" ht="21" customHeight="1">
      <c r="A426" s="49"/>
      <c r="B426" s="63"/>
      <c r="C426" s="66">
        <v>4210</v>
      </c>
      <c r="D426" s="36" t="s">
        <v>86</v>
      </c>
      <c r="E426" s="62">
        <v>2390</v>
      </c>
      <c r="F426" s="62"/>
      <c r="G426" s="62">
        <f t="shared" si="296"/>
        <v>2390</v>
      </c>
      <c r="H426" s="62"/>
      <c r="I426" s="62">
        <f>SUM(G426:H426)</f>
        <v>2390</v>
      </c>
      <c r="J426" s="62"/>
      <c r="K426" s="62">
        <f>SUM(I426:J426)</f>
        <v>2390</v>
      </c>
      <c r="L426" s="62"/>
      <c r="M426" s="62">
        <f>SUM(K426:L426)</f>
        <v>2390</v>
      </c>
      <c r="N426" s="62"/>
      <c r="O426" s="62">
        <f>SUM(M426:N426)</f>
        <v>2390</v>
      </c>
      <c r="P426" s="62"/>
      <c r="Q426" s="62">
        <f>SUM(O426:P426)</f>
        <v>2390</v>
      </c>
      <c r="R426" s="62"/>
      <c r="S426" s="62">
        <f>SUM(Q426:R426)</f>
        <v>2390</v>
      </c>
      <c r="T426" s="62"/>
      <c r="U426" s="62">
        <f>SUM(S426:T426)</f>
        <v>2390</v>
      </c>
      <c r="V426" s="62"/>
      <c r="W426" s="62">
        <f>SUM(U426:V426)</f>
        <v>2390</v>
      </c>
      <c r="X426" s="62"/>
      <c r="Y426" s="62">
        <f>SUM(W426:X426)</f>
        <v>2390</v>
      </c>
      <c r="Z426" s="62"/>
      <c r="AA426" s="62">
        <f>SUM(Y426:Z426)</f>
        <v>2390</v>
      </c>
      <c r="AB426" s="62"/>
      <c r="AC426" s="62">
        <f>SUM(AA426:AB426)</f>
        <v>2390</v>
      </c>
    </row>
    <row r="427" spans="1:29" s="25" customFormat="1" ht="21" customHeight="1">
      <c r="A427" s="66"/>
      <c r="B427" s="206"/>
      <c r="C427" s="66">
        <v>4300</v>
      </c>
      <c r="D427" s="36" t="s">
        <v>75</v>
      </c>
      <c r="E427" s="62">
        <v>7500</v>
      </c>
      <c r="F427" s="62">
        <v>30000</v>
      </c>
      <c r="G427" s="62">
        <f t="shared" si="296"/>
        <v>37500</v>
      </c>
      <c r="H427" s="62"/>
      <c r="I427" s="62">
        <f>SUM(G427:H427)</f>
        <v>37500</v>
      </c>
      <c r="J427" s="62"/>
      <c r="K427" s="62">
        <f>SUM(I427:J427)</f>
        <v>37500</v>
      </c>
      <c r="L427" s="62"/>
      <c r="M427" s="62">
        <f>SUM(K427:L427)</f>
        <v>37500</v>
      </c>
      <c r="N427" s="62"/>
      <c r="O427" s="62">
        <f>SUM(M427:N427)</f>
        <v>37500</v>
      </c>
      <c r="P427" s="62"/>
      <c r="Q427" s="62">
        <f>SUM(O427:P427)</f>
        <v>37500</v>
      </c>
      <c r="R427" s="62"/>
      <c r="S427" s="62">
        <f>SUM(Q427:R427)</f>
        <v>37500</v>
      </c>
      <c r="T427" s="62"/>
      <c r="U427" s="62">
        <f>SUM(S427:T427)</f>
        <v>37500</v>
      </c>
      <c r="V427" s="62"/>
      <c r="W427" s="62">
        <f>SUM(U427:V427)</f>
        <v>37500</v>
      </c>
      <c r="X427" s="62"/>
      <c r="Y427" s="62">
        <f>SUM(W427:X427)</f>
        <v>37500</v>
      </c>
      <c r="Z427" s="62"/>
      <c r="AA427" s="62">
        <f>SUM(Y427:Z427)</f>
        <v>37500</v>
      </c>
      <c r="AB427" s="62"/>
      <c r="AC427" s="62">
        <f>SUM(AA427:AB427)</f>
        <v>37500</v>
      </c>
    </row>
    <row r="428" spans="1:33" s="25" customFormat="1" ht="21" customHeight="1">
      <c r="A428" s="66"/>
      <c r="B428" s="206"/>
      <c r="C428" s="66">
        <v>6050</v>
      </c>
      <c r="D428" s="36" t="s">
        <v>69</v>
      </c>
      <c r="E428" s="62">
        <f>50000+16000</f>
        <v>66000</v>
      </c>
      <c r="F428" s="62"/>
      <c r="G428" s="62">
        <f t="shared" si="296"/>
        <v>66000</v>
      </c>
      <c r="H428" s="62"/>
      <c r="I428" s="62">
        <f>SUM(G428:H428)</f>
        <v>66000</v>
      </c>
      <c r="J428" s="62"/>
      <c r="K428" s="62">
        <f>SUM(I428:J428)</f>
        <v>66000</v>
      </c>
      <c r="L428" s="62"/>
      <c r="M428" s="62">
        <f>SUM(K428:L428)</f>
        <v>66000</v>
      </c>
      <c r="N428" s="62"/>
      <c r="O428" s="62">
        <f>SUM(M428:N428)</f>
        <v>66000</v>
      </c>
      <c r="P428" s="62"/>
      <c r="Q428" s="62">
        <f>SUM(O428:P428)</f>
        <v>66000</v>
      </c>
      <c r="R428" s="62"/>
      <c r="S428" s="62">
        <f>SUM(Q428:R428)</f>
        <v>66000</v>
      </c>
      <c r="T428" s="62"/>
      <c r="U428" s="62">
        <f>SUM(S428:T428)</f>
        <v>66000</v>
      </c>
      <c r="V428" s="62"/>
      <c r="W428" s="62">
        <f>SUM(U428:V428)</f>
        <v>66000</v>
      </c>
      <c r="X428" s="62"/>
      <c r="Y428" s="62">
        <f>SUM(W428:X428)</f>
        <v>66000</v>
      </c>
      <c r="Z428" s="62"/>
      <c r="AA428" s="62">
        <f>SUM(Y428:Z428)</f>
        <v>66000</v>
      </c>
      <c r="AB428" s="62"/>
      <c r="AC428" s="62">
        <f>SUM(AA428:AB428)</f>
        <v>66000</v>
      </c>
      <c r="AF428" s="79"/>
      <c r="AG428" s="79"/>
    </row>
    <row r="429" spans="1:29" s="25" customFormat="1" ht="21" customHeight="1">
      <c r="A429" s="66"/>
      <c r="B429" s="206">
        <v>85415</v>
      </c>
      <c r="C429" s="66"/>
      <c r="D429" s="36" t="s">
        <v>184</v>
      </c>
      <c r="E429" s="62">
        <f aca="true" t="shared" si="341" ref="E429:V429">SUM(E430)</f>
        <v>100000</v>
      </c>
      <c r="F429" s="62">
        <f t="shared" si="341"/>
        <v>0</v>
      </c>
      <c r="G429" s="62">
        <f t="shared" si="341"/>
        <v>100000</v>
      </c>
      <c r="H429" s="62">
        <f t="shared" si="341"/>
        <v>252163</v>
      </c>
      <c r="I429" s="62">
        <f t="shared" si="341"/>
        <v>352163</v>
      </c>
      <c r="J429" s="62">
        <f t="shared" si="341"/>
        <v>0</v>
      </c>
      <c r="K429" s="62">
        <f t="shared" si="341"/>
        <v>352163</v>
      </c>
      <c r="L429" s="62">
        <f t="shared" si="341"/>
        <v>0</v>
      </c>
      <c r="M429" s="62">
        <f t="shared" si="341"/>
        <v>352163</v>
      </c>
      <c r="N429" s="62">
        <f t="shared" si="341"/>
        <v>0</v>
      </c>
      <c r="O429" s="62">
        <f t="shared" si="341"/>
        <v>352163</v>
      </c>
      <c r="P429" s="62">
        <f t="shared" si="341"/>
        <v>0</v>
      </c>
      <c r="Q429" s="62">
        <f t="shared" si="341"/>
        <v>352163</v>
      </c>
      <c r="R429" s="62">
        <f t="shared" si="341"/>
        <v>0</v>
      </c>
      <c r="S429" s="62">
        <f t="shared" si="341"/>
        <v>352163</v>
      </c>
      <c r="T429" s="62">
        <f t="shared" si="341"/>
        <v>0</v>
      </c>
      <c r="U429" s="62">
        <f t="shared" si="341"/>
        <v>352163</v>
      </c>
      <c r="V429" s="62">
        <f t="shared" si="341"/>
        <v>0</v>
      </c>
      <c r="W429" s="62">
        <f aca="true" t="shared" si="342" ref="W429:AC429">SUM(W430,W431)</f>
        <v>404103</v>
      </c>
      <c r="X429" s="62">
        <f t="shared" si="342"/>
        <v>0</v>
      </c>
      <c r="Y429" s="62">
        <f t="shared" si="342"/>
        <v>404103</v>
      </c>
      <c r="Z429" s="62">
        <f t="shared" si="342"/>
        <v>0</v>
      </c>
      <c r="AA429" s="62">
        <f t="shared" si="342"/>
        <v>404103</v>
      </c>
      <c r="AB429" s="62">
        <f t="shared" si="342"/>
        <v>0</v>
      </c>
      <c r="AC429" s="62">
        <f t="shared" si="342"/>
        <v>404103</v>
      </c>
    </row>
    <row r="430" spans="1:29" s="25" customFormat="1" ht="21" customHeight="1">
      <c r="A430" s="66"/>
      <c r="B430" s="206"/>
      <c r="C430" s="66">
        <v>3240</v>
      </c>
      <c r="D430" s="36" t="s">
        <v>450</v>
      </c>
      <c r="E430" s="62">
        <v>100000</v>
      </c>
      <c r="F430" s="62"/>
      <c r="G430" s="62">
        <f t="shared" si="296"/>
        <v>100000</v>
      </c>
      <c r="H430" s="62">
        <v>252163</v>
      </c>
      <c r="I430" s="62">
        <f>SUM(G430:H430)</f>
        <v>352163</v>
      </c>
      <c r="J430" s="62"/>
      <c r="K430" s="62">
        <f>SUM(I430:J430)</f>
        <v>352163</v>
      </c>
      <c r="L430" s="62"/>
      <c r="M430" s="62">
        <f>SUM(K430:L430)</f>
        <v>352163</v>
      </c>
      <c r="N430" s="62"/>
      <c r="O430" s="62">
        <f>SUM(M430:N430)</f>
        <v>352163</v>
      </c>
      <c r="P430" s="62"/>
      <c r="Q430" s="62">
        <f>SUM(O430:P430)</f>
        <v>352163</v>
      </c>
      <c r="R430" s="62"/>
      <c r="S430" s="62">
        <f>SUM(Q430:R430)</f>
        <v>352163</v>
      </c>
      <c r="T430" s="62"/>
      <c r="U430" s="62">
        <f>SUM(S430:T430)</f>
        <v>352163</v>
      </c>
      <c r="V430" s="62"/>
      <c r="W430" s="62">
        <f>SUM(U430:V430)</f>
        <v>352163</v>
      </c>
      <c r="X430" s="62"/>
      <c r="Y430" s="62">
        <f>SUM(W430:X430)</f>
        <v>352163</v>
      </c>
      <c r="Z430" s="62"/>
      <c r="AA430" s="62">
        <f>SUM(Y430:Z430)</f>
        <v>352163</v>
      </c>
      <c r="AB430" s="62"/>
      <c r="AC430" s="62">
        <f>SUM(AA430:AB430)</f>
        <v>352163</v>
      </c>
    </row>
    <row r="431" spans="1:29" s="25" customFormat="1" ht="15.75" customHeight="1">
      <c r="A431" s="66"/>
      <c r="B431" s="206"/>
      <c r="C431" s="66">
        <v>3260</v>
      </c>
      <c r="D431" s="36" t="s">
        <v>451</v>
      </c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>
        <v>51940</v>
      </c>
      <c r="X431" s="62"/>
      <c r="Y431" s="62">
        <f>SUM(W431:X431)</f>
        <v>51940</v>
      </c>
      <c r="Z431" s="62"/>
      <c r="AA431" s="62">
        <f>SUM(Y431:Z431)</f>
        <v>51940</v>
      </c>
      <c r="AB431" s="62"/>
      <c r="AC431" s="62">
        <f>SUM(AA431:AB431)</f>
        <v>51940</v>
      </c>
    </row>
    <row r="432" spans="1:29" s="25" customFormat="1" ht="21" customHeight="1">
      <c r="A432" s="66"/>
      <c r="B432" s="206">
        <v>85446</v>
      </c>
      <c r="C432" s="66"/>
      <c r="D432" s="36" t="s">
        <v>120</v>
      </c>
      <c r="E432" s="62">
        <f>SUM(E433:E433)</f>
        <v>3813</v>
      </c>
      <c r="F432" s="62">
        <f>SUM(F433:F433)</f>
        <v>0</v>
      </c>
      <c r="G432" s="62">
        <f>SUM(G433:G433)</f>
        <v>3813</v>
      </c>
      <c r="H432" s="62">
        <f>SUM(H433:H433)</f>
        <v>0</v>
      </c>
      <c r="I432" s="62">
        <f aca="true" t="shared" si="343" ref="I432:U432">SUM(I433:I435)</f>
        <v>3813</v>
      </c>
      <c r="J432" s="62">
        <f t="shared" si="343"/>
        <v>0</v>
      </c>
      <c r="K432" s="62">
        <f t="shared" si="343"/>
        <v>3813</v>
      </c>
      <c r="L432" s="62">
        <f t="shared" si="343"/>
        <v>0</v>
      </c>
      <c r="M432" s="62">
        <f t="shared" si="343"/>
        <v>3813</v>
      </c>
      <c r="N432" s="62">
        <f t="shared" si="343"/>
        <v>0</v>
      </c>
      <c r="O432" s="62">
        <f t="shared" si="343"/>
        <v>3813</v>
      </c>
      <c r="P432" s="62">
        <f t="shared" si="343"/>
        <v>0</v>
      </c>
      <c r="Q432" s="62">
        <f t="shared" si="343"/>
        <v>3813</v>
      </c>
      <c r="R432" s="62">
        <f t="shared" si="343"/>
        <v>0</v>
      </c>
      <c r="S432" s="62">
        <f t="shared" si="343"/>
        <v>3813</v>
      </c>
      <c r="T432" s="62">
        <f t="shared" si="343"/>
        <v>0</v>
      </c>
      <c r="U432" s="62">
        <f t="shared" si="343"/>
        <v>3813</v>
      </c>
      <c r="V432" s="62">
        <f aca="true" t="shared" si="344" ref="V432:AA432">SUM(V433:V435)</f>
        <v>0</v>
      </c>
      <c r="W432" s="62">
        <f t="shared" si="344"/>
        <v>3813</v>
      </c>
      <c r="X432" s="62">
        <f t="shared" si="344"/>
        <v>0</v>
      </c>
      <c r="Y432" s="62">
        <f t="shared" si="344"/>
        <v>3813</v>
      </c>
      <c r="Z432" s="62">
        <f t="shared" si="344"/>
        <v>0</v>
      </c>
      <c r="AA432" s="62">
        <f t="shared" si="344"/>
        <v>3813</v>
      </c>
      <c r="AB432" s="62">
        <f>SUM(AB433:AB435)</f>
        <v>0</v>
      </c>
      <c r="AC432" s="62">
        <f>SUM(AC433:AC435)</f>
        <v>3813</v>
      </c>
    </row>
    <row r="433" spans="1:29" s="25" customFormat="1" ht="15.75" customHeight="1">
      <c r="A433" s="66"/>
      <c r="B433" s="206"/>
      <c r="C433" s="66">
        <v>4300</v>
      </c>
      <c r="D433" s="36" t="s">
        <v>75</v>
      </c>
      <c r="E433" s="62">
        <v>3813</v>
      </c>
      <c r="F433" s="62"/>
      <c r="G433" s="62">
        <f t="shared" si="296"/>
        <v>3813</v>
      </c>
      <c r="H433" s="62"/>
      <c r="I433" s="62">
        <f>SUM(G433:H433)</f>
        <v>3813</v>
      </c>
      <c r="J433" s="62">
        <f>-1825-1158</f>
        <v>-2983</v>
      </c>
      <c r="K433" s="62">
        <f>SUM(I433:J433)</f>
        <v>830</v>
      </c>
      <c r="L433" s="62"/>
      <c r="M433" s="62">
        <f>SUM(K433:L433)</f>
        <v>830</v>
      </c>
      <c r="N433" s="62"/>
      <c r="O433" s="62">
        <f>SUM(M433:N433)</f>
        <v>830</v>
      </c>
      <c r="P433" s="62"/>
      <c r="Q433" s="62">
        <f>SUM(O433:P433)</f>
        <v>830</v>
      </c>
      <c r="R433" s="62"/>
      <c r="S433" s="62">
        <f>SUM(Q433:R433)</f>
        <v>830</v>
      </c>
      <c r="T433" s="62"/>
      <c r="U433" s="62">
        <f>SUM(S433:T433)</f>
        <v>830</v>
      </c>
      <c r="V433" s="62"/>
      <c r="W433" s="62">
        <f>SUM(U433:V433)</f>
        <v>830</v>
      </c>
      <c r="X433" s="62"/>
      <c r="Y433" s="62">
        <f>SUM(W433:X433)</f>
        <v>830</v>
      </c>
      <c r="Z433" s="62"/>
      <c r="AA433" s="62">
        <f>SUM(Y433:Z433)</f>
        <v>830</v>
      </c>
      <c r="AB433" s="62"/>
      <c r="AC433" s="62">
        <f>SUM(AA433:AB433)</f>
        <v>830</v>
      </c>
    </row>
    <row r="434" spans="1:29" s="25" customFormat="1" ht="21" customHeight="1">
      <c r="A434" s="66"/>
      <c r="B434" s="206"/>
      <c r="C434" s="66">
        <v>4410</v>
      </c>
      <c r="D434" s="36" t="s">
        <v>85</v>
      </c>
      <c r="E434" s="62"/>
      <c r="F434" s="62"/>
      <c r="G434" s="62"/>
      <c r="H434" s="62"/>
      <c r="I434" s="62">
        <v>0</v>
      </c>
      <c r="J434" s="62">
        <v>1158</v>
      </c>
      <c r="K434" s="62">
        <f>SUM(I434:J434)</f>
        <v>1158</v>
      </c>
      <c r="L434" s="62"/>
      <c r="M434" s="62">
        <f>SUM(K434:L434)</f>
        <v>1158</v>
      </c>
      <c r="N434" s="62"/>
      <c r="O434" s="62">
        <f>SUM(M434:N434)</f>
        <v>1158</v>
      </c>
      <c r="P434" s="62"/>
      <c r="Q434" s="62">
        <f>SUM(O434:P434)</f>
        <v>1158</v>
      </c>
      <c r="R434" s="62"/>
      <c r="S434" s="62">
        <f>SUM(Q434:R434)</f>
        <v>1158</v>
      </c>
      <c r="T434" s="62"/>
      <c r="U434" s="62">
        <f>SUM(S434:T434)</f>
        <v>1158</v>
      </c>
      <c r="V434" s="62"/>
      <c r="W434" s="62">
        <f>SUM(U434:V434)</f>
        <v>1158</v>
      </c>
      <c r="X434" s="62"/>
      <c r="Y434" s="62">
        <f>SUM(W434:X434)</f>
        <v>1158</v>
      </c>
      <c r="Z434" s="62"/>
      <c r="AA434" s="62">
        <f>SUM(Y434:Z434)</f>
        <v>1158</v>
      </c>
      <c r="AB434" s="62"/>
      <c r="AC434" s="62">
        <f>SUM(AA434:AB434)</f>
        <v>1158</v>
      </c>
    </row>
    <row r="435" spans="1:29" s="25" customFormat="1" ht="24">
      <c r="A435" s="66"/>
      <c r="B435" s="206"/>
      <c r="C435" s="66">
        <v>4700</v>
      </c>
      <c r="D435" s="36" t="s">
        <v>225</v>
      </c>
      <c r="E435" s="62"/>
      <c r="F435" s="62"/>
      <c r="G435" s="62"/>
      <c r="H435" s="62"/>
      <c r="I435" s="62">
        <v>0</v>
      </c>
      <c r="J435" s="62">
        <v>1825</v>
      </c>
      <c r="K435" s="62">
        <f>SUM(I435:J435)</f>
        <v>1825</v>
      </c>
      <c r="L435" s="62"/>
      <c r="M435" s="62">
        <f>SUM(K435:L435)</f>
        <v>1825</v>
      </c>
      <c r="N435" s="62"/>
      <c r="O435" s="62">
        <f>SUM(M435:N435)</f>
        <v>1825</v>
      </c>
      <c r="P435" s="62"/>
      <c r="Q435" s="62">
        <f>SUM(O435:P435)</f>
        <v>1825</v>
      </c>
      <c r="R435" s="62"/>
      <c r="S435" s="62">
        <f>SUM(Q435:R435)</f>
        <v>1825</v>
      </c>
      <c r="T435" s="62"/>
      <c r="U435" s="62">
        <f>SUM(S435:T435)</f>
        <v>1825</v>
      </c>
      <c r="V435" s="62"/>
      <c r="W435" s="62">
        <f>SUM(U435:V435)</f>
        <v>1825</v>
      </c>
      <c r="X435" s="62"/>
      <c r="Y435" s="62">
        <f>SUM(W435:X435)</f>
        <v>1825</v>
      </c>
      <c r="Z435" s="62"/>
      <c r="AA435" s="62">
        <f>SUM(Y435:Z435)</f>
        <v>1825</v>
      </c>
      <c r="AB435" s="62"/>
      <c r="AC435" s="62">
        <f>SUM(AA435:AB435)</f>
        <v>1825</v>
      </c>
    </row>
    <row r="436" spans="1:29" s="25" customFormat="1" ht="21" customHeight="1">
      <c r="A436" s="66"/>
      <c r="B436" s="206">
        <v>85495</v>
      </c>
      <c r="C436" s="66"/>
      <c r="D436" s="36" t="s">
        <v>6</v>
      </c>
      <c r="E436" s="62">
        <f aca="true" t="shared" si="345" ref="E436:AC436">SUM(E437:E437)</f>
        <v>227851</v>
      </c>
      <c r="F436" s="62">
        <f t="shared" si="345"/>
        <v>0</v>
      </c>
      <c r="G436" s="62">
        <f t="shared" si="345"/>
        <v>227851</v>
      </c>
      <c r="H436" s="62">
        <f t="shared" si="345"/>
        <v>0</v>
      </c>
      <c r="I436" s="62">
        <f t="shared" si="345"/>
        <v>227851</v>
      </c>
      <c r="J436" s="62">
        <f t="shared" si="345"/>
        <v>0</v>
      </c>
      <c r="K436" s="62">
        <f t="shared" si="345"/>
        <v>227851</v>
      </c>
      <c r="L436" s="62">
        <f t="shared" si="345"/>
        <v>0</v>
      </c>
      <c r="M436" s="62">
        <f t="shared" si="345"/>
        <v>227851</v>
      </c>
      <c r="N436" s="62">
        <f t="shared" si="345"/>
        <v>0</v>
      </c>
      <c r="O436" s="62">
        <f t="shared" si="345"/>
        <v>227851</v>
      </c>
      <c r="P436" s="62">
        <f t="shared" si="345"/>
        <v>0</v>
      </c>
      <c r="Q436" s="62">
        <f t="shared" si="345"/>
        <v>227851</v>
      </c>
      <c r="R436" s="62">
        <f t="shared" si="345"/>
        <v>0</v>
      </c>
      <c r="S436" s="62">
        <f t="shared" si="345"/>
        <v>227851</v>
      </c>
      <c r="T436" s="62">
        <f t="shared" si="345"/>
        <v>0</v>
      </c>
      <c r="U436" s="62">
        <f t="shared" si="345"/>
        <v>227851</v>
      </c>
      <c r="V436" s="62">
        <f t="shared" si="345"/>
        <v>0</v>
      </c>
      <c r="W436" s="62">
        <f t="shared" si="345"/>
        <v>227851</v>
      </c>
      <c r="X436" s="62">
        <f t="shared" si="345"/>
        <v>0</v>
      </c>
      <c r="Y436" s="62">
        <f t="shared" si="345"/>
        <v>227851</v>
      </c>
      <c r="Z436" s="62">
        <f t="shared" si="345"/>
        <v>0</v>
      </c>
      <c r="AA436" s="62">
        <f t="shared" si="345"/>
        <v>227851</v>
      </c>
      <c r="AB436" s="62">
        <f t="shared" si="345"/>
        <v>0</v>
      </c>
      <c r="AC436" s="62">
        <f t="shared" si="345"/>
        <v>227851</v>
      </c>
    </row>
    <row r="437" spans="1:35" s="25" customFormat="1" ht="48">
      <c r="A437" s="66"/>
      <c r="B437" s="206"/>
      <c r="C437" s="66">
        <v>2320</v>
      </c>
      <c r="D437" s="36" t="s">
        <v>452</v>
      </c>
      <c r="E437" s="62">
        <v>227851</v>
      </c>
      <c r="F437" s="62"/>
      <c r="G437" s="62">
        <f t="shared" si="296"/>
        <v>227851</v>
      </c>
      <c r="H437" s="62"/>
      <c r="I437" s="62">
        <f>SUM(G437:H437)</f>
        <v>227851</v>
      </c>
      <c r="J437" s="62"/>
      <c r="K437" s="62">
        <f>SUM(I437:J437)</f>
        <v>227851</v>
      </c>
      <c r="L437" s="62"/>
      <c r="M437" s="62">
        <f>SUM(K437:L437)</f>
        <v>227851</v>
      </c>
      <c r="N437" s="62"/>
      <c r="O437" s="62">
        <f>SUM(M437:N437)</f>
        <v>227851</v>
      </c>
      <c r="P437" s="62"/>
      <c r="Q437" s="62">
        <f>SUM(O437:P437)</f>
        <v>227851</v>
      </c>
      <c r="R437" s="62"/>
      <c r="S437" s="62">
        <f>SUM(Q437:R437)</f>
        <v>227851</v>
      </c>
      <c r="T437" s="62"/>
      <c r="U437" s="62">
        <f>SUM(S437:T437)</f>
        <v>227851</v>
      </c>
      <c r="V437" s="62"/>
      <c r="W437" s="62">
        <f>SUM(U437:V437)</f>
        <v>227851</v>
      </c>
      <c r="X437" s="62"/>
      <c r="Y437" s="62">
        <f>SUM(W437:X437)</f>
        <v>227851</v>
      </c>
      <c r="Z437" s="62"/>
      <c r="AA437" s="62">
        <f>SUM(Y437:Z437)</f>
        <v>227851</v>
      </c>
      <c r="AB437" s="62"/>
      <c r="AC437" s="62">
        <f>SUM(AA437:AB437)</f>
        <v>227851</v>
      </c>
      <c r="AH437" s="79"/>
      <c r="AI437" s="79"/>
    </row>
    <row r="438" spans="1:29" s="7" customFormat="1" ht="24">
      <c r="A438" s="32" t="s">
        <v>104</v>
      </c>
      <c r="B438" s="33"/>
      <c r="C438" s="34"/>
      <c r="D438" s="35" t="s">
        <v>59</v>
      </c>
      <c r="E438" s="200">
        <f aca="true" t="shared" si="346" ref="E438:W438">SUM(E439,E446,E448,E452,E454,E460,E444)</f>
        <v>5872910</v>
      </c>
      <c r="F438" s="200">
        <f t="shared" si="346"/>
        <v>-2310000</v>
      </c>
      <c r="G438" s="200">
        <f t="shared" si="346"/>
        <v>3562910</v>
      </c>
      <c r="H438" s="200">
        <f t="shared" si="346"/>
        <v>0</v>
      </c>
      <c r="I438" s="200">
        <f t="shared" si="346"/>
        <v>3562910</v>
      </c>
      <c r="J438" s="200">
        <f t="shared" si="346"/>
        <v>-44881</v>
      </c>
      <c r="K438" s="200">
        <f t="shared" si="346"/>
        <v>3518029</v>
      </c>
      <c r="L438" s="200">
        <f t="shared" si="346"/>
        <v>-50500</v>
      </c>
      <c r="M438" s="200">
        <f t="shared" si="346"/>
        <v>3467529</v>
      </c>
      <c r="N438" s="200">
        <f t="shared" si="346"/>
        <v>0</v>
      </c>
      <c r="O438" s="200">
        <f t="shared" si="346"/>
        <v>3467529</v>
      </c>
      <c r="P438" s="200">
        <f t="shared" si="346"/>
        <v>0</v>
      </c>
      <c r="Q438" s="200">
        <f t="shared" si="346"/>
        <v>3467529</v>
      </c>
      <c r="R438" s="200">
        <f t="shared" si="346"/>
        <v>-31500</v>
      </c>
      <c r="S438" s="200">
        <f t="shared" si="346"/>
        <v>3436029</v>
      </c>
      <c r="T438" s="200">
        <f t="shared" si="346"/>
        <v>0</v>
      </c>
      <c r="U438" s="200">
        <f t="shared" si="346"/>
        <v>3436029</v>
      </c>
      <c r="V438" s="200">
        <f t="shared" si="346"/>
        <v>300</v>
      </c>
      <c r="W438" s="200">
        <f t="shared" si="346"/>
        <v>3436329</v>
      </c>
      <c r="X438" s="200">
        <f aca="true" t="shared" si="347" ref="X438:AC438">SUM(X439,X446,X448,X452,X454,X460,X444)</f>
        <v>0</v>
      </c>
      <c r="Y438" s="200">
        <f t="shared" si="347"/>
        <v>3436329</v>
      </c>
      <c r="Z438" s="200">
        <f t="shared" si="347"/>
        <v>950327</v>
      </c>
      <c r="AA438" s="200">
        <f t="shared" si="347"/>
        <v>4386656</v>
      </c>
      <c r="AB438" s="200">
        <f t="shared" si="347"/>
        <v>0</v>
      </c>
      <c r="AC438" s="200">
        <f t="shared" si="347"/>
        <v>4386656</v>
      </c>
    </row>
    <row r="439" spans="1:29" s="25" customFormat="1" ht="21" customHeight="1">
      <c r="A439" s="49"/>
      <c r="B439" s="63" t="s">
        <v>105</v>
      </c>
      <c r="C439" s="66"/>
      <c r="D439" s="36" t="s">
        <v>60</v>
      </c>
      <c r="E439" s="62">
        <f aca="true" t="shared" si="348" ref="E439:W439">SUM(E440:E443)</f>
        <v>2615000</v>
      </c>
      <c r="F439" s="62">
        <f t="shared" si="348"/>
        <v>-1320000</v>
      </c>
      <c r="G439" s="62">
        <f t="shared" si="348"/>
        <v>1295000</v>
      </c>
      <c r="H439" s="62">
        <f t="shared" si="348"/>
        <v>0</v>
      </c>
      <c r="I439" s="62">
        <f t="shared" si="348"/>
        <v>1295000</v>
      </c>
      <c r="J439" s="62">
        <f t="shared" si="348"/>
        <v>119</v>
      </c>
      <c r="K439" s="62">
        <f t="shared" si="348"/>
        <v>1295119</v>
      </c>
      <c r="L439" s="62">
        <f t="shared" si="348"/>
        <v>-71500</v>
      </c>
      <c r="M439" s="62">
        <f t="shared" si="348"/>
        <v>1223619</v>
      </c>
      <c r="N439" s="62">
        <f t="shared" si="348"/>
        <v>0</v>
      </c>
      <c r="O439" s="62">
        <f t="shared" si="348"/>
        <v>1223619</v>
      </c>
      <c r="P439" s="62">
        <f t="shared" si="348"/>
        <v>0</v>
      </c>
      <c r="Q439" s="62">
        <f t="shared" si="348"/>
        <v>1223619</v>
      </c>
      <c r="R439" s="62">
        <f t="shared" si="348"/>
        <v>-32000</v>
      </c>
      <c r="S439" s="62">
        <f t="shared" si="348"/>
        <v>1191619</v>
      </c>
      <c r="T439" s="62">
        <f t="shared" si="348"/>
        <v>0</v>
      </c>
      <c r="U439" s="62">
        <f t="shared" si="348"/>
        <v>1191619</v>
      </c>
      <c r="V439" s="62">
        <f t="shared" si="348"/>
        <v>-11800</v>
      </c>
      <c r="W439" s="62">
        <f t="shared" si="348"/>
        <v>1179819</v>
      </c>
      <c r="X439" s="62">
        <f aca="true" t="shared" si="349" ref="X439:AC439">SUM(X440:X443)</f>
        <v>0</v>
      </c>
      <c r="Y439" s="62">
        <f t="shared" si="349"/>
        <v>1179819</v>
      </c>
      <c r="Z439" s="62">
        <f t="shared" si="349"/>
        <v>0</v>
      </c>
      <c r="AA439" s="62">
        <f t="shared" si="349"/>
        <v>1179819</v>
      </c>
      <c r="AB439" s="62">
        <f t="shared" si="349"/>
        <v>0</v>
      </c>
      <c r="AC439" s="62">
        <f t="shared" si="349"/>
        <v>1179819</v>
      </c>
    </row>
    <row r="440" spans="1:29" s="25" customFormat="1" ht="21" customHeight="1">
      <c r="A440" s="49"/>
      <c r="B440" s="63"/>
      <c r="C440" s="49">
        <v>4300</v>
      </c>
      <c r="D440" s="36" t="s">
        <v>75</v>
      </c>
      <c r="E440" s="62">
        <v>145000</v>
      </c>
      <c r="F440" s="62"/>
      <c r="G440" s="62">
        <f aca="true" t="shared" si="350" ref="G440:G498">SUM(E440:F440)</f>
        <v>145000</v>
      </c>
      <c r="H440" s="62">
        <v>-150</v>
      </c>
      <c r="I440" s="62">
        <f>SUM(G440:H440)</f>
        <v>144850</v>
      </c>
      <c r="J440" s="62"/>
      <c r="K440" s="62">
        <f>SUM(I440:J440)</f>
        <v>144850</v>
      </c>
      <c r="L440" s="62"/>
      <c r="M440" s="62">
        <f>SUM(K440:L440)</f>
        <v>144850</v>
      </c>
      <c r="N440" s="62"/>
      <c r="O440" s="62">
        <f>SUM(M440:N440)</f>
        <v>144850</v>
      </c>
      <c r="P440" s="62"/>
      <c r="Q440" s="62">
        <f>SUM(O440:P440)</f>
        <v>144850</v>
      </c>
      <c r="R440" s="62"/>
      <c r="S440" s="62">
        <f>SUM(Q440:R440)</f>
        <v>144850</v>
      </c>
      <c r="T440" s="62"/>
      <c r="U440" s="62">
        <f>SUM(S440:T440)</f>
        <v>144850</v>
      </c>
      <c r="V440" s="62"/>
      <c r="W440" s="62">
        <f>SUM(U440:V440)</f>
        <v>144850</v>
      </c>
      <c r="X440" s="62"/>
      <c r="Y440" s="62">
        <f>SUM(W440:X440)</f>
        <v>144850</v>
      </c>
      <c r="Z440" s="62"/>
      <c r="AA440" s="62">
        <f>SUM(Y440:Z440)</f>
        <v>144850</v>
      </c>
      <c r="AB440" s="62"/>
      <c r="AC440" s="62">
        <f>SUM(AA440:AB440)</f>
        <v>144850</v>
      </c>
    </row>
    <row r="441" spans="1:29" s="25" customFormat="1" ht="21" customHeight="1">
      <c r="A441" s="49"/>
      <c r="B441" s="63"/>
      <c r="C441" s="49">
        <v>4430</v>
      </c>
      <c r="D441" s="36" t="s">
        <v>453</v>
      </c>
      <c r="E441" s="62"/>
      <c r="F441" s="62"/>
      <c r="G441" s="62">
        <v>0</v>
      </c>
      <c r="H441" s="62">
        <v>150</v>
      </c>
      <c r="I441" s="62">
        <f>SUM(G441:H441)</f>
        <v>150</v>
      </c>
      <c r="J441" s="62"/>
      <c r="K441" s="62">
        <f>SUM(I441:J441)</f>
        <v>150</v>
      </c>
      <c r="L441" s="62"/>
      <c r="M441" s="62">
        <f>SUM(K441:L441)</f>
        <v>150</v>
      </c>
      <c r="N441" s="62"/>
      <c r="O441" s="62">
        <f>SUM(M441:N441)</f>
        <v>150</v>
      </c>
      <c r="P441" s="62"/>
      <c r="Q441" s="62">
        <f>SUM(O441:P441)</f>
        <v>150</v>
      </c>
      <c r="R441" s="62"/>
      <c r="S441" s="62">
        <f>SUM(Q441:R441)</f>
        <v>150</v>
      </c>
      <c r="T441" s="62"/>
      <c r="U441" s="62">
        <f>SUM(S441:T441)</f>
        <v>150</v>
      </c>
      <c r="V441" s="62"/>
      <c r="W441" s="62">
        <f>SUM(U441:V441)</f>
        <v>150</v>
      </c>
      <c r="X441" s="62"/>
      <c r="Y441" s="62">
        <f>SUM(W441:X441)</f>
        <v>150</v>
      </c>
      <c r="Z441" s="62"/>
      <c r="AA441" s="62">
        <f>SUM(Y441:Z441)</f>
        <v>150</v>
      </c>
      <c r="AB441" s="62"/>
      <c r="AC441" s="62">
        <f>SUM(AA441:AB441)</f>
        <v>150</v>
      </c>
    </row>
    <row r="442" spans="1:33" s="25" customFormat="1" ht="57" customHeight="1">
      <c r="A442" s="49"/>
      <c r="B442" s="63"/>
      <c r="C442" s="49">
        <v>6010</v>
      </c>
      <c r="D442" s="36" t="s">
        <v>242</v>
      </c>
      <c r="E442" s="62"/>
      <c r="F442" s="62"/>
      <c r="G442" s="62"/>
      <c r="H442" s="62"/>
      <c r="I442" s="62">
        <v>0</v>
      </c>
      <c r="J442" s="62">
        <v>119</v>
      </c>
      <c r="K442" s="62">
        <f>SUM(I442:J442)</f>
        <v>119</v>
      </c>
      <c r="L442" s="62"/>
      <c r="M442" s="62">
        <f>SUM(K442:L442)</f>
        <v>119</v>
      </c>
      <c r="N442" s="62"/>
      <c r="O442" s="62">
        <f>SUM(M442:N442)</f>
        <v>119</v>
      </c>
      <c r="P442" s="62"/>
      <c r="Q442" s="62">
        <f>SUM(O442:P442)</f>
        <v>119</v>
      </c>
      <c r="R442" s="62"/>
      <c r="S442" s="62">
        <f>SUM(Q442:R442)</f>
        <v>119</v>
      </c>
      <c r="T442" s="62"/>
      <c r="U442" s="62">
        <f>SUM(S442:T442)</f>
        <v>119</v>
      </c>
      <c r="V442" s="62"/>
      <c r="W442" s="62">
        <f>SUM(U442:V442)</f>
        <v>119</v>
      </c>
      <c r="X442" s="62"/>
      <c r="Y442" s="62">
        <f>SUM(W442:X442)</f>
        <v>119</v>
      </c>
      <c r="Z442" s="62"/>
      <c r="AA442" s="62">
        <f>SUM(Y442:Z442)</f>
        <v>119</v>
      </c>
      <c r="AB442" s="62"/>
      <c r="AC442" s="62">
        <f>SUM(AA442:AB442)</f>
        <v>119</v>
      </c>
      <c r="AF442" s="79"/>
      <c r="AG442" s="79"/>
    </row>
    <row r="443" spans="1:33" s="25" customFormat="1" ht="21" customHeight="1">
      <c r="A443" s="49"/>
      <c r="B443" s="63"/>
      <c r="C443" s="49">
        <v>6050</v>
      </c>
      <c r="D443" s="36" t="s">
        <v>69</v>
      </c>
      <c r="E443" s="62">
        <v>2470000</v>
      </c>
      <c r="F443" s="62">
        <f>-760000-290000-280000+10000</f>
        <v>-1320000</v>
      </c>
      <c r="G443" s="62">
        <f t="shared" si="350"/>
        <v>1150000</v>
      </c>
      <c r="H443" s="62"/>
      <c r="I443" s="62">
        <f>SUM(G443:H443)</f>
        <v>1150000</v>
      </c>
      <c r="J443" s="62"/>
      <c r="K443" s="62">
        <f>SUM(I443:J443)</f>
        <v>1150000</v>
      </c>
      <c r="L443" s="62">
        <f>-87000+15500</f>
        <v>-71500</v>
      </c>
      <c r="M443" s="62">
        <f>SUM(K443:L443)</f>
        <v>1078500</v>
      </c>
      <c r="N443" s="62"/>
      <c r="O443" s="62">
        <f>SUM(M443:N443)</f>
        <v>1078500</v>
      </c>
      <c r="P443" s="62"/>
      <c r="Q443" s="62">
        <f>SUM(O443:P443)</f>
        <v>1078500</v>
      </c>
      <c r="R443" s="62">
        <v>-32000</v>
      </c>
      <c r="S443" s="62">
        <f>SUM(Q443:R443)</f>
        <v>1046500</v>
      </c>
      <c r="T443" s="62"/>
      <c r="U443" s="62">
        <f>SUM(S443:T443)</f>
        <v>1046500</v>
      </c>
      <c r="V443" s="62">
        <v>-11800</v>
      </c>
      <c r="W443" s="62">
        <f>SUM(U443:V443)</f>
        <v>1034700</v>
      </c>
      <c r="X443" s="62"/>
      <c r="Y443" s="62">
        <f>SUM(W443:X443)</f>
        <v>1034700</v>
      </c>
      <c r="Z443" s="62"/>
      <c r="AA443" s="62">
        <f>SUM(Y443:Z443)</f>
        <v>1034700</v>
      </c>
      <c r="AB443" s="62"/>
      <c r="AC443" s="62">
        <f>SUM(AA443:AB443)</f>
        <v>1034700</v>
      </c>
      <c r="AF443" s="79"/>
      <c r="AG443" s="79"/>
    </row>
    <row r="444" spans="1:29" s="25" customFormat="1" ht="21" customHeight="1">
      <c r="A444" s="49"/>
      <c r="B444" s="63">
        <v>90002</v>
      </c>
      <c r="C444" s="49"/>
      <c r="D444" s="36" t="s">
        <v>454</v>
      </c>
      <c r="E444" s="62">
        <f aca="true" t="shared" si="351" ref="E444:AC444">SUM(E445)</f>
        <v>90000</v>
      </c>
      <c r="F444" s="62">
        <f t="shared" si="351"/>
        <v>0</v>
      </c>
      <c r="G444" s="62">
        <f t="shared" si="351"/>
        <v>90000</v>
      </c>
      <c r="H444" s="62">
        <f t="shared" si="351"/>
        <v>0</v>
      </c>
      <c r="I444" s="62">
        <f t="shared" si="351"/>
        <v>90000</v>
      </c>
      <c r="J444" s="62">
        <f t="shared" si="351"/>
        <v>0</v>
      </c>
      <c r="K444" s="62">
        <f t="shared" si="351"/>
        <v>90000</v>
      </c>
      <c r="L444" s="62">
        <f t="shared" si="351"/>
        <v>0</v>
      </c>
      <c r="M444" s="62">
        <f t="shared" si="351"/>
        <v>90000</v>
      </c>
      <c r="N444" s="62">
        <f t="shared" si="351"/>
        <v>0</v>
      </c>
      <c r="O444" s="62">
        <f t="shared" si="351"/>
        <v>90000</v>
      </c>
      <c r="P444" s="62">
        <f t="shared" si="351"/>
        <v>0</v>
      </c>
      <c r="Q444" s="62">
        <f t="shared" si="351"/>
        <v>90000</v>
      </c>
      <c r="R444" s="62">
        <f t="shared" si="351"/>
        <v>0</v>
      </c>
      <c r="S444" s="62">
        <f t="shared" si="351"/>
        <v>90000</v>
      </c>
      <c r="T444" s="62">
        <f t="shared" si="351"/>
        <v>0</v>
      </c>
      <c r="U444" s="62">
        <f t="shared" si="351"/>
        <v>90000</v>
      </c>
      <c r="V444" s="62">
        <f t="shared" si="351"/>
        <v>0</v>
      </c>
      <c r="W444" s="62">
        <f t="shared" si="351"/>
        <v>90000</v>
      </c>
      <c r="X444" s="62">
        <f t="shared" si="351"/>
        <v>0</v>
      </c>
      <c r="Y444" s="62">
        <f t="shared" si="351"/>
        <v>90000</v>
      </c>
      <c r="Z444" s="62">
        <f t="shared" si="351"/>
        <v>0</v>
      </c>
      <c r="AA444" s="62">
        <f t="shared" si="351"/>
        <v>90000</v>
      </c>
      <c r="AB444" s="62">
        <f t="shared" si="351"/>
        <v>0</v>
      </c>
      <c r="AC444" s="62">
        <f t="shared" si="351"/>
        <v>90000</v>
      </c>
    </row>
    <row r="445" spans="1:33" s="25" customFormat="1" ht="21" customHeight="1">
      <c r="A445" s="49"/>
      <c r="B445" s="63"/>
      <c r="C445" s="49">
        <v>6050</v>
      </c>
      <c r="D445" s="36" t="s">
        <v>69</v>
      </c>
      <c r="E445" s="62">
        <v>90000</v>
      </c>
      <c r="F445" s="62"/>
      <c r="G445" s="62">
        <f t="shared" si="350"/>
        <v>90000</v>
      </c>
      <c r="H445" s="62"/>
      <c r="I445" s="62">
        <f>SUM(G445:H445)</f>
        <v>90000</v>
      </c>
      <c r="J445" s="62"/>
      <c r="K445" s="62">
        <f>SUM(I445:J445)</f>
        <v>90000</v>
      </c>
      <c r="L445" s="62"/>
      <c r="M445" s="62">
        <f>SUM(K445:L445)</f>
        <v>90000</v>
      </c>
      <c r="N445" s="62"/>
      <c r="O445" s="62">
        <f>SUM(M445:N445)</f>
        <v>90000</v>
      </c>
      <c r="P445" s="62"/>
      <c r="Q445" s="62">
        <f>SUM(O445:P445)</f>
        <v>90000</v>
      </c>
      <c r="R445" s="62"/>
      <c r="S445" s="62">
        <f>SUM(Q445:R445)</f>
        <v>90000</v>
      </c>
      <c r="T445" s="62"/>
      <c r="U445" s="62">
        <f>SUM(S445:T445)</f>
        <v>90000</v>
      </c>
      <c r="V445" s="62"/>
      <c r="W445" s="62">
        <f>SUM(U445:V445)</f>
        <v>90000</v>
      </c>
      <c r="X445" s="62"/>
      <c r="Y445" s="62">
        <f>SUM(W445:X445)</f>
        <v>90000</v>
      </c>
      <c r="Z445" s="62"/>
      <c r="AA445" s="62">
        <f>SUM(Y445:Z445)</f>
        <v>90000</v>
      </c>
      <c r="AB445" s="62"/>
      <c r="AC445" s="62">
        <f>SUM(AA445:AB445)</f>
        <v>90000</v>
      </c>
      <c r="AF445" s="79"/>
      <c r="AG445" s="79"/>
    </row>
    <row r="446" spans="1:29" s="25" customFormat="1" ht="21" customHeight="1">
      <c r="A446" s="49"/>
      <c r="B446" s="63" t="s">
        <v>106</v>
      </c>
      <c r="C446" s="66"/>
      <c r="D446" s="36" t="s">
        <v>107</v>
      </c>
      <c r="E446" s="62">
        <f aca="true" t="shared" si="352" ref="E446:AC446">SUM(E447:E447)</f>
        <v>744670</v>
      </c>
      <c r="F446" s="62">
        <f t="shared" si="352"/>
        <v>0</v>
      </c>
      <c r="G446" s="62">
        <f t="shared" si="352"/>
        <v>744670</v>
      </c>
      <c r="H446" s="62">
        <f t="shared" si="352"/>
        <v>0</v>
      </c>
      <c r="I446" s="62">
        <f t="shared" si="352"/>
        <v>744670</v>
      </c>
      <c r="J446" s="62">
        <f t="shared" si="352"/>
        <v>0</v>
      </c>
      <c r="K446" s="62">
        <f t="shared" si="352"/>
        <v>744670</v>
      </c>
      <c r="L446" s="62">
        <f t="shared" si="352"/>
        <v>0</v>
      </c>
      <c r="M446" s="62">
        <f t="shared" si="352"/>
        <v>744670</v>
      </c>
      <c r="N446" s="62">
        <f t="shared" si="352"/>
        <v>250</v>
      </c>
      <c r="O446" s="62">
        <f t="shared" si="352"/>
        <v>744920</v>
      </c>
      <c r="P446" s="62">
        <f t="shared" si="352"/>
        <v>0</v>
      </c>
      <c r="Q446" s="62">
        <f t="shared" si="352"/>
        <v>744920</v>
      </c>
      <c r="R446" s="62">
        <f t="shared" si="352"/>
        <v>0</v>
      </c>
      <c r="S446" s="62">
        <f t="shared" si="352"/>
        <v>744920</v>
      </c>
      <c r="T446" s="62">
        <f t="shared" si="352"/>
        <v>0</v>
      </c>
      <c r="U446" s="62">
        <f t="shared" si="352"/>
        <v>744920</v>
      </c>
      <c r="V446" s="62">
        <f t="shared" si="352"/>
        <v>0</v>
      </c>
      <c r="W446" s="62">
        <f t="shared" si="352"/>
        <v>744920</v>
      </c>
      <c r="X446" s="62">
        <f t="shared" si="352"/>
        <v>0</v>
      </c>
      <c r="Y446" s="62">
        <f t="shared" si="352"/>
        <v>744920</v>
      </c>
      <c r="Z446" s="62">
        <f t="shared" si="352"/>
        <v>0</v>
      </c>
      <c r="AA446" s="62">
        <f t="shared" si="352"/>
        <v>744920</v>
      </c>
      <c r="AB446" s="62">
        <f t="shared" si="352"/>
        <v>0</v>
      </c>
      <c r="AC446" s="62">
        <f t="shared" si="352"/>
        <v>744920</v>
      </c>
    </row>
    <row r="447" spans="1:29" s="25" customFormat="1" ht="21" customHeight="1">
      <c r="A447" s="49"/>
      <c r="B447" s="63"/>
      <c r="C447" s="66">
        <v>4300</v>
      </c>
      <c r="D447" s="214" t="s">
        <v>75</v>
      </c>
      <c r="E447" s="62">
        <f>2240+742430</f>
        <v>744670</v>
      </c>
      <c r="F447" s="62"/>
      <c r="G447" s="62">
        <f t="shared" si="350"/>
        <v>744670</v>
      </c>
      <c r="H447" s="62"/>
      <c r="I447" s="62">
        <f>SUM(G447:H447)</f>
        <v>744670</v>
      </c>
      <c r="J447" s="62"/>
      <c r="K447" s="62">
        <f>SUM(I447:J447)</f>
        <v>744670</v>
      </c>
      <c r="L447" s="62"/>
      <c r="M447" s="62">
        <f>SUM(K447:L447)</f>
        <v>744670</v>
      </c>
      <c r="N447" s="62">
        <v>250</v>
      </c>
      <c r="O447" s="62">
        <f>SUM(M447:N447)</f>
        <v>744920</v>
      </c>
      <c r="P447" s="62"/>
      <c r="Q447" s="62">
        <f>SUM(O447:P447)</f>
        <v>744920</v>
      </c>
      <c r="R447" s="62"/>
      <c r="S447" s="62">
        <f>SUM(Q447:R447)</f>
        <v>744920</v>
      </c>
      <c r="T447" s="62"/>
      <c r="U447" s="62">
        <f>SUM(S447:T447)</f>
        <v>744920</v>
      </c>
      <c r="V447" s="62"/>
      <c r="W447" s="62">
        <f>SUM(U447:V447)</f>
        <v>744920</v>
      </c>
      <c r="X447" s="62"/>
      <c r="Y447" s="62">
        <f>SUM(W447:X447)</f>
        <v>744920</v>
      </c>
      <c r="Z447" s="62"/>
      <c r="AA447" s="62">
        <f>SUM(Y447:Z447)</f>
        <v>744920</v>
      </c>
      <c r="AB447" s="62"/>
      <c r="AC447" s="62">
        <f>SUM(AA447:AB447)</f>
        <v>744920</v>
      </c>
    </row>
    <row r="448" spans="1:29" s="25" customFormat="1" ht="21" customHeight="1">
      <c r="A448" s="49"/>
      <c r="B448" s="63" t="s">
        <v>108</v>
      </c>
      <c r="C448" s="66"/>
      <c r="D448" s="36" t="s">
        <v>123</v>
      </c>
      <c r="E448" s="62">
        <f aca="true" t="shared" si="353" ref="E448:W448">SUM(E449:E451)</f>
        <v>249240</v>
      </c>
      <c r="F448" s="62">
        <f t="shared" si="353"/>
        <v>0</v>
      </c>
      <c r="G448" s="62">
        <f t="shared" si="353"/>
        <v>249240</v>
      </c>
      <c r="H448" s="62">
        <f t="shared" si="353"/>
        <v>0</v>
      </c>
      <c r="I448" s="62">
        <f t="shared" si="353"/>
        <v>249240</v>
      </c>
      <c r="J448" s="62">
        <f t="shared" si="353"/>
        <v>0</v>
      </c>
      <c r="K448" s="62">
        <f t="shared" si="353"/>
        <v>249240</v>
      </c>
      <c r="L448" s="62">
        <f t="shared" si="353"/>
        <v>0</v>
      </c>
      <c r="M448" s="62">
        <f t="shared" si="353"/>
        <v>249240</v>
      </c>
      <c r="N448" s="62">
        <f t="shared" si="353"/>
        <v>-250</v>
      </c>
      <c r="O448" s="62">
        <f t="shared" si="353"/>
        <v>248990</v>
      </c>
      <c r="P448" s="62">
        <f t="shared" si="353"/>
        <v>0</v>
      </c>
      <c r="Q448" s="62">
        <f t="shared" si="353"/>
        <v>248990</v>
      </c>
      <c r="R448" s="62">
        <f t="shared" si="353"/>
        <v>-500</v>
      </c>
      <c r="S448" s="62">
        <f t="shared" si="353"/>
        <v>248490</v>
      </c>
      <c r="T448" s="62">
        <f t="shared" si="353"/>
        <v>0</v>
      </c>
      <c r="U448" s="62">
        <f t="shared" si="353"/>
        <v>248490</v>
      </c>
      <c r="V448" s="62">
        <f t="shared" si="353"/>
        <v>300</v>
      </c>
      <c r="W448" s="62">
        <f t="shared" si="353"/>
        <v>248790</v>
      </c>
      <c r="X448" s="62">
        <f aca="true" t="shared" si="354" ref="X448:AC448">SUM(X449:X451)</f>
        <v>0</v>
      </c>
      <c r="Y448" s="62">
        <f t="shared" si="354"/>
        <v>248790</v>
      </c>
      <c r="Z448" s="62">
        <f t="shared" si="354"/>
        <v>31727</v>
      </c>
      <c r="AA448" s="62">
        <f t="shared" si="354"/>
        <v>280517</v>
      </c>
      <c r="AB448" s="62">
        <f t="shared" si="354"/>
        <v>0</v>
      </c>
      <c r="AC448" s="62">
        <f t="shared" si="354"/>
        <v>280517</v>
      </c>
    </row>
    <row r="449" spans="1:29" s="25" customFormat="1" ht="21" customHeight="1">
      <c r="A449" s="49"/>
      <c r="B449" s="63"/>
      <c r="C449" s="49">
        <v>4210</v>
      </c>
      <c r="D449" s="36" t="s">
        <v>86</v>
      </c>
      <c r="E449" s="62">
        <f>26220+18000+6000+12000</f>
        <v>62220</v>
      </c>
      <c r="F449" s="62"/>
      <c r="G449" s="62">
        <f t="shared" si="350"/>
        <v>62220</v>
      </c>
      <c r="H449" s="62"/>
      <c r="I449" s="62">
        <f>SUM(G449:H449)</f>
        <v>62220</v>
      </c>
      <c r="J449" s="62"/>
      <c r="K449" s="62">
        <f>SUM(I449:J449)</f>
        <v>62220</v>
      </c>
      <c r="L449" s="62"/>
      <c r="M449" s="62">
        <f>SUM(K449:L449)</f>
        <v>62220</v>
      </c>
      <c r="N449" s="62">
        <v>-250</v>
      </c>
      <c r="O449" s="62">
        <f>SUM(M449:N449)</f>
        <v>61970</v>
      </c>
      <c r="P449" s="62"/>
      <c r="Q449" s="62">
        <f>SUM(O449:P449)</f>
        <v>61970</v>
      </c>
      <c r="R449" s="62">
        <v>-200</v>
      </c>
      <c r="S449" s="62">
        <f>SUM(Q449:R449)</f>
        <v>61770</v>
      </c>
      <c r="T449" s="62"/>
      <c r="U449" s="62">
        <f>SUM(S449:T449)</f>
        <v>61770</v>
      </c>
      <c r="V449" s="62">
        <v>300</v>
      </c>
      <c r="W449" s="62">
        <f>SUM(U449:V449)</f>
        <v>62070</v>
      </c>
      <c r="X449" s="62">
        <v>2800</v>
      </c>
      <c r="Y449" s="62">
        <f>SUM(W449:X449)</f>
        <v>64870</v>
      </c>
      <c r="Z449" s="62">
        <f>-100+500+2100+29600</f>
        <v>32100</v>
      </c>
      <c r="AA449" s="62">
        <f>SUM(Y449:Z449)</f>
        <v>96970</v>
      </c>
      <c r="AB449" s="62"/>
      <c r="AC449" s="62">
        <f>SUM(AA449:AB449)</f>
        <v>96970</v>
      </c>
    </row>
    <row r="450" spans="1:29" s="25" customFormat="1" ht="21" customHeight="1">
      <c r="A450" s="49"/>
      <c r="B450" s="63"/>
      <c r="C450" s="49">
        <v>4270</v>
      </c>
      <c r="D450" s="36" t="s">
        <v>74</v>
      </c>
      <c r="E450" s="62">
        <v>5000</v>
      </c>
      <c r="F450" s="62"/>
      <c r="G450" s="62">
        <f t="shared" si="350"/>
        <v>5000</v>
      </c>
      <c r="H450" s="62"/>
      <c r="I450" s="62">
        <f>SUM(G450:H450)</f>
        <v>5000</v>
      </c>
      <c r="J450" s="62"/>
      <c r="K450" s="62">
        <f>SUM(I450:J450)</f>
        <v>5000</v>
      </c>
      <c r="L450" s="62"/>
      <c r="M450" s="62">
        <f>SUM(K450:L450)</f>
        <v>5000</v>
      </c>
      <c r="N450" s="62"/>
      <c r="O450" s="62">
        <f>SUM(M450:N450)</f>
        <v>5000</v>
      </c>
      <c r="P450" s="62"/>
      <c r="Q450" s="62">
        <f>SUM(O450:P450)</f>
        <v>5000</v>
      </c>
      <c r="R450" s="62"/>
      <c r="S450" s="62">
        <f>SUM(Q450:R450)</f>
        <v>5000</v>
      </c>
      <c r="T450" s="62"/>
      <c r="U450" s="62">
        <f>SUM(S450:T450)</f>
        <v>5000</v>
      </c>
      <c r="V450" s="62"/>
      <c r="W450" s="62">
        <f>SUM(U450:V450)</f>
        <v>5000</v>
      </c>
      <c r="X450" s="62">
        <v>-2800</v>
      </c>
      <c r="Y450" s="62">
        <f>SUM(W450:X450)</f>
        <v>2200</v>
      </c>
      <c r="Z450" s="62">
        <v>400</v>
      </c>
      <c r="AA450" s="62">
        <f>SUM(Y450:Z450)</f>
        <v>2600</v>
      </c>
      <c r="AB450" s="62"/>
      <c r="AC450" s="62">
        <f>SUM(AA450:AB450)</f>
        <v>2600</v>
      </c>
    </row>
    <row r="451" spans="1:29" s="25" customFormat="1" ht="21" customHeight="1">
      <c r="A451" s="49"/>
      <c r="B451" s="63"/>
      <c r="C451" s="49">
        <v>4300</v>
      </c>
      <c r="D451" s="36" t="s">
        <v>75</v>
      </c>
      <c r="E451" s="62">
        <f>6200+92820+32000+11000+20000+20000</f>
        <v>182020</v>
      </c>
      <c r="F451" s="62"/>
      <c r="G451" s="62">
        <f t="shared" si="350"/>
        <v>182020</v>
      </c>
      <c r="H451" s="62"/>
      <c r="I451" s="62">
        <f>SUM(G451:H451)</f>
        <v>182020</v>
      </c>
      <c r="J451" s="62"/>
      <c r="K451" s="62">
        <f>SUM(I451:J451)</f>
        <v>182020</v>
      </c>
      <c r="L451" s="62"/>
      <c r="M451" s="62">
        <f>SUM(K451:L451)</f>
        <v>182020</v>
      </c>
      <c r="N451" s="62"/>
      <c r="O451" s="62">
        <f>SUM(M451:N451)</f>
        <v>182020</v>
      </c>
      <c r="P451" s="62"/>
      <c r="Q451" s="62">
        <f>SUM(O451:P451)</f>
        <v>182020</v>
      </c>
      <c r="R451" s="62">
        <v>-300</v>
      </c>
      <c r="S451" s="62">
        <f>SUM(Q451:R451)</f>
        <v>181720</v>
      </c>
      <c r="T451" s="62"/>
      <c r="U451" s="62">
        <f>SUM(S451:T451)</f>
        <v>181720</v>
      </c>
      <c r="V451" s="62"/>
      <c r="W451" s="62">
        <f>SUM(U451:V451)</f>
        <v>181720</v>
      </c>
      <c r="X451" s="62"/>
      <c r="Y451" s="62">
        <f>SUM(W451:X451)</f>
        <v>181720</v>
      </c>
      <c r="Z451" s="62">
        <f>227-1000</f>
        <v>-773</v>
      </c>
      <c r="AA451" s="62">
        <f>SUM(Y451:Z451)</f>
        <v>180947</v>
      </c>
      <c r="AB451" s="62"/>
      <c r="AC451" s="62">
        <f>SUM(AA451:AB451)</f>
        <v>180947</v>
      </c>
    </row>
    <row r="452" spans="1:29" s="25" customFormat="1" ht="21" customHeight="1">
      <c r="A452" s="49"/>
      <c r="B452" s="63" t="s">
        <v>455</v>
      </c>
      <c r="C452" s="66"/>
      <c r="D452" s="36" t="s">
        <v>456</v>
      </c>
      <c r="E452" s="62">
        <f aca="true" t="shared" si="355" ref="E452:AC452">SUM(E453)</f>
        <v>100000</v>
      </c>
      <c r="F452" s="62">
        <f t="shared" si="355"/>
        <v>10000</v>
      </c>
      <c r="G452" s="62">
        <f t="shared" si="355"/>
        <v>110000</v>
      </c>
      <c r="H452" s="62">
        <f t="shared" si="355"/>
        <v>0</v>
      </c>
      <c r="I452" s="62">
        <f t="shared" si="355"/>
        <v>110000</v>
      </c>
      <c r="J452" s="62">
        <f t="shared" si="355"/>
        <v>0</v>
      </c>
      <c r="K452" s="62">
        <f t="shared" si="355"/>
        <v>110000</v>
      </c>
      <c r="L452" s="62">
        <f t="shared" si="355"/>
        <v>21000</v>
      </c>
      <c r="M452" s="62">
        <f t="shared" si="355"/>
        <v>131000</v>
      </c>
      <c r="N452" s="62">
        <f t="shared" si="355"/>
        <v>0</v>
      </c>
      <c r="O452" s="62">
        <f t="shared" si="355"/>
        <v>131000</v>
      </c>
      <c r="P452" s="62">
        <f t="shared" si="355"/>
        <v>0</v>
      </c>
      <c r="Q452" s="62">
        <f t="shared" si="355"/>
        <v>131000</v>
      </c>
      <c r="R452" s="62">
        <f t="shared" si="355"/>
        <v>0</v>
      </c>
      <c r="S452" s="62">
        <f t="shared" si="355"/>
        <v>131000</v>
      </c>
      <c r="T452" s="62">
        <f t="shared" si="355"/>
        <v>0</v>
      </c>
      <c r="U452" s="62">
        <f t="shared" si="355"/>
        <v>131000</v>
      </c>
      <c r="V452" s="62">
        <f t="shared" si="355"/>
        <v>0</v>
      </c>
      <c r="W452" s="62">
        <f t="shared" si="355"/>
        <v>131000</v>
      </c>
      <c r="X452" s="62">
        <f t="shared" si="355"/>
        <v>0</v>
      </c>
      <c r="Y452" s="62">
        <f t="shared" si="355"/>
        <v>131000</v>
      </c>
      <c r="Z452" s="62">
        <f t="shared" si="355"/>
        <v>0</v>
      </c>
      <c r="AA452" s="62">
        <f t="shared" si="355"/>
        <v>131000</v>
      </c>
      <c r="AB452" s="62">
        <f t="shared" si="355"/>
        <v>0</v>
      </c>
      <c r="AC452" s="62">
        <f t="shared" si="355"/>
        <v>131000</v>
      </c>
    </row>
    <row r="453" spans="1:29" s="25" customFormat="1" ht="21" customHeight="1">
      <c r="A453" s="49"/>
      <c r="B453" s="63"/>
      <c r="C453" s="66">
        <v>4300</v>
      </c>
      <c r="D453" s="214" t="s">
        <v>75</v>
      </c>
      <c r="E453" s="62">
        <v>100000</v>
      </c>
      <c r="F453" s="62">
        <v>10000</v>
      </c>
      <c r="G453" s="62">
        <f t="shared" si="350"/>
        <v>110000</v>
      </c>
      <c r="H453" s="62"/>
      <c r="I453" s="62">
        <f>SUM(G453:H453)</f>
        <v>110000</v>
      </c>
      <c r="J453" s="62"/>
      <c r="K453" s="62">
        <f>SUM(I453:J453)</f>
        <v>110000</v>
      </c>
      <c r="L453" s="62">
        <v>21000</v>
      </c>
      <c r="M453" s="62">
        <f>SUM(K453:L453)</f>
        <v>131000</v>
      </c>
      <c r="N453" s="62"/>
      <c r="O453" s="62">
        <f>SUM(M453:N453)</f>
        <v>131000</v>
      </c>
      <c r="P453" s="62"/>
      <c r="Q453" s="62">
        <f>SUM(O453:P453)</f>
        <v>131000</v>
      </c>
      <c r="R453" s="62"/>
      <c r="S453" s="62">
        <f>SUM(Q453:R453)</f>
        <v>131000</v>
      </c>
      <c r="T453" s="62"/>
      <c r="U453" s="62">
        <f>SUM(S453:T453)</f>
        <v>131000</v>
      </c>
      <c r="V453" s="62"/>
      <c r="W453" s="62">
        <f>SUM(U453:V453)</f>
        <v>131000</v>
      </c>
      <c r="X453" s="62"/>
      <c r="Y453" s="62">
        <f>SUM(W453:X453)</f>
        <v>131000</v>
      </c>
      <c r="Z453" s="62"/>
      <c r="AA453" s="62">
        <f>SUM(Y453:Z453)</f>
        <v>131000</v>
      </c>
      <c r="AB453" s="62"/>
      <c r="AC453" s="62">
        <f>SUM(AA453:AB453)</f>
        <v>131000</v>
      </c>
    </row>
    <row r="454" spans="1:29" s="25" customFormat="1" ht="21" customHeight="1">
      <c r="A454" s="49"/>
      <c r="B454" s="63" t="s">
        <v>109</v>
      </c>
      <c r="C454" s="66"/>
      <c r="D454" s="36" t="s">
        <v>110</v>
      </c>
      <c r="E454" s="62">
        <f aca="true" t="shared" si="356" ref="E454:J454">SUM(E456:E459)</f>
        <v>1986000</v>
      </c>
      <c r="F454" s="62">
        <f t="shared" si="356"/>
        <v>-1000000</v>
      </c>
      <c r="G454" s="62">
        <f t="shared" si="356"/>
        <v>986000</v>
      </c>
      <c r="H454" s="62">
        <f t="shared" si="356"/>
        <v>0</v>
      </c>
      <c r="I454" s="62">
        <f t="shared" si="356"/>
        <v>986000</v>
      </c>
      <c r="J454" s="62">
        <f t="shared" si="356"/>
        <v>0</v>
      </c>
      <c r="K454" s="62">
        <f aca="true" t="shared" si="357" ref="K454:W454">SUM(K455:K459)</f>
        <v>986000</v>
      </c>
      <c r="L454" s="62">
        <f t="shared" si="357"/>
        <v>0</v>
      </c>
      <c r="M454" s="62">
        <f t="shared" si="357"/>
        <v>986000</v>
      </c>
      <c r="N454" s="62">
        <f t="shared" si="357"/>
        <v>0</v>
      </c>
      <c r="O454" s="62">
        <f t="shared" si="357"/>
        <v>986000</v>
      </c>
      <c r="P454" s="62">
        <f t="shared" si="357"/>
        <v>0</v>
      </c>
      <c r="Q454" s="62">
        <f t="shared" si="357"/>
        <v>986000</v>
      </c>
      <c r="R454" s="62">
        <f t="shared" si="357"/>
        <v>1000</v>
      </c>
      <c r="S454" s="62">
        <f t="shared" si="357"/>
        <v>987000</v>
      </c>
      <c r="T454" s="62">
        <f t="shared" si="357"/>
        <v>0</v>
      </c>
      <c r="U454" s="62">
        <f t="shared" si="357"/>
        <v>987000</v>
      </c>
      <c r="V454" s="62">
        <f t="shared" si="357"/>
        <v>0</v>
      </c>
      <c r="W454" s="62">
        <f t="shared" si="357"/>
        <v>987000</v>
      </c>
      <c r="X454" s="62">
        <f aca="true" t="shared" si="358" ref="X454:AC454">SUM(X455:X459)</f>
        <v>0</v>
      </c>
      <c r="Y454" s="62">
        <f t="shared" si="358"/>
        <v>987000</v>
      </c>
      <c r="Z454" s="62">
        <f t="shared" si="358"/>
        <v>918600</v>
      </c>
      <c r="AA454" s="62">
        <f t="shared" si="358"/>
        <v>1905600</v>
      </c>
      <c r="AB454" s="62">
        <f t="shared" si="358"/>
        <v>0</v>
      </c>
      <c r="AC454" s="62">
        <f t="shared" si="358"/>
        <v>1905600</v>
      </c>
    </row>
    <row r="455" spans="1:31" s="25" customFormat="1" ht="21" customHeight="1">
      <c r="A455" s="49"/>
      <c r="B455" s="63"/>
      <c r="C455" s="66">
        <v>4170</v>
      </c>
      <c r="D455" s="36" t="s">
        <v>161</v>
      </c>
      <c r="E455" s="62"/>
      <c r="F455" s="62"/>
      <c r="G455" s="62"/>
      <c r="H455" s="62"/>
      <c r="I455" s="62"/>
      <c r="J455" s="62"/>
      <c r="K455" s="62">
        <v>0</v>
      </c>
      <c r="L455" s="62">
        <v>1500</v>
      </c>
      <c r="M455" s="62">
        <f>SUM(K455:L455)</f>
        <v>1500</v>
      </c>
      <c r="N455" s="62"/>
      <c r="O455" s="62">
        <f>SUM(M455:N455)</f>
        <v>1500</v>
      </c>
      <c r="P455" s="62"/>
      <c r="Q455" s="62">
        <f>SUM(O455:P455)</f>
        <v>1500</v>
      </c>
      <c r="R455" s="62"/>
      <c r="S455" s="62">
        <f>SUM(Q455:R455)</f>
        <v>1500</v>
      </c>
      <c r="T455" s="62"/>
      <c r="U455" s="62">
        <f>SUM(S455:T455)</f>
        <v>1500</v>
      </c>
      <c r="V455" s="62"/>
      <c r="W455" s="62">
        <f>SUM(U455:V455)</f>
        <v>1500</v>
      </c>
      <c r="X455" s="62"/>
      <c r="Y455" s="62">
        <f>SUM(W455:X455)</f>
        <v>1500</v>
      </c>
      <c r="Z455" s="62"/>
      <c r="AA455" s="62">
        <f>SUM(Y455:Z455)</f>
        <v>1500</v>
      </c>
      <c r="AB455" s="62"/>
      <c r="AC455" s="62">
        <f>SUM(AA455:AB455)</f>
        <v>1500</v>
      </c>
      <c r="AD455" s="79"/>
      <c r="AE455" s="79"/>
    </row>
    <row r="456" spans="1:29" s="25" customFormat="1" ht="21" customHeight="1">
      <c r="A456" s="49"/>
      <c r="B456" s="206"/>
      <c r="C456" s="49">
        <v>4260</v>
      </c>
      <c r="D456" s="36" t="s">
        <v>88</v>
      </c>
      <c r="E456" s="62">
        <v>750000</v>
      </c>
      <c r="F456" s="62">
        <v>-200000</v>
      </c>
      <c r="G456" s="62">
        <f t="shared" si="350"/>
        <v>550000</v>
      </c>
      <c r="H456" s="62"/>
      <c r="I456" s="62">
        <f>SUM(G456:H456)</f>
        <v>550000</v>
      </c>
      <c r="J456" s="62"/>
      <c r="K456" s="62">
        <f>SUM(I456:J456)</f>
        <v>550000</v>
      </c>
      <c r="L456" s="62">
        <v>-110</v>
      </c>
      <c r="M456" s="62">
        <f>SUM(K456:L456)</f>
        <v>549890</v>
      </c>
      <c r="N456" s="62"/>
      <c r="O456" s="62">
        <f>SUM(M456:N456)</f>
        <v>549890</v>
      </c>
      <c r="P456" s="62"/>
      <c r="Q456" s="62">
        <f>SUM(O456:P456)</f>
        <v>549890</v>
      </c>
      <c r="R456" s="62"/>
      <c r="S456" s="62">
        <f>SUM(Q456:R456)</f>
        <v>549890</v>
      </c>
      <c r="T456" s="62"/>
      <c r="U456" s="62">
        <f>SUM(S456:T456)</f>
        <v>549890</v>
      </c>
      <c r="V456" s="62"/>
      <c r="W456" s="62">
        <f>SUM(U456:V456)</f>
        <v>549890</v>
      </c>
      <c r="X456" s="62"/>
      <c r="Y456" s="62">
        <f>SUM(W456:X456)</f>
        <v>549890</v>
      </c>
      <c r="Z456" s="62">
        <v>200000</v>
      </c>
      <c r="AA456" s="62">
        <f>SUM(Y456:Z456)</f>
        <v>749890</v>
      </c>
      <c r="AB456" s="62"/>
      <c r="AC456" s="62">
        <f>SUM(AA456:AB456)</f>
        <v>749890</v>
      </c>
    </row>
    <row r="457" spans="1:29" s="25" customFormat="1" ht="21" customHeight="1">
      <c r="A457" s="49"/>
      <c r="B457" s="206"/>
      <c r="C457" s="49">
        <v>4270</v>
      </c>
      <c r="D457" s="36" t="s">
        <v>74</v>
      </c>
      <c r="E457" s="62">
        <v>210000</v>
      </c>
      <c r="F457" s="62">
        <v>-20000</v>
      </c>
      <c r="G457" s="62">
        <f t="shared" si="350"/>
        <v>190000</v>
      </c>
      <c r="H457" s="62"/>
      <c r="I457" s="62">
        <f>SUM(G457:H457)</f>
        <v>190000</v>
      </c>
      <c r="J457" s="62"/>
      <c r="K457" s="62">
        <f>SUM(I457:J457)</f>
        <v>190000</v>
      </c>
      <c r="L457" s="62">
        <v>-1500</v>
      </c>
      <c r="M457" s="62">
        <f>SUM(K457:L457)</f>
        <v>188500</v>
      </c>
      <c r="N457" s="62"/>
      <c r="O457" s="62">
        <f>SUM(M457:N457)</f>
        <v>188500</v>
      </c>
      <c r="P457" s="62"/>
      <c r="Q457" s="62">
        <f>SUM(O457:P457)</f>
        <v>188500</v>
      </c>
      <c r="R457" s="62"/>
      <c r="S457" s="62">
        <f>SUM(Q457:R457)</f>
        <v>188500</v>
      </c>
      <c r="T457" s="62"/>
      <c r="U457" s="62">
        <f>SUM(S457:T457)</f>
        <v>188500</v>
      </c>
      <c r="V457" s="62"/>
      <c r="W457" s="62">
        <f>SUM(U457:V457)</f>
        <v>188500</v>
      </c>
      <c r="X457" s="62"/>
      <c r="Y457" s="62">
        <f>SUM(W457:X457)</f>
        <v>188500</v>
      </c>
      <c r="Z457" s="62">
        <v>70000</v>
      </c>
      <c r="AA457" s="62">
        <f>SUM(Y457:Z457)</f>
        <v>258500</v>
      </c>
      <c r="AB457" s="62"/>
      <c r="AC457" s="62">
        <f>SUM(AA457:AB457)</f>
        <v>258500</v>
      </c>
    </row>
    <row r="458" spans="1:29" s="25" customFormat="1" ht="21" customHeight="1">
      <c r="A458" s="49"/>
      <c r="B458" s="206"/>
      <c r="C458" s="49">
        <v>4300</v>
      </c>
      <c r="D458" s="36" t="s">
        <v>75</v>
      </c>
      <c r="E458" s="62">
        <f>3000+50000</f>
        <v>53000</v>
      </c>
      <c r="F458" s="62">
        <v>-20000</v>
      </c>
      <c r="G458" s="62">
        <f t="shared" si="350"/>
        <v>33000</v>
      </c>
      <c r="H458" s="62"/>
      <c r="I458" s="62">
        <f>SUM(G458:H458)</f>
        <v>33000</v>
      </c>
      <c r="J458" s="62"/>
      <c r="K458" s="62">
        <f>SUM(I458:J458)</f>
        <v>33000</v>
      </c>
      <c r="L458" s="62"/>
      <c r="M458" s="62">
        <f>SUM(K458:L458)</f>
        <v>33000</v>
      </c>
      <c r="N458" s="62"/>
      <c r="O458" s="62">
        <f>SUM(M458:N458)</f>
        <v>33000</v>
      </c>
      <c r="P458" s="62"/>
      <c r="Q458" s="62">
        <f>SUM(O458:P458)</f>
        <v>33000</v>
      </c>
      <c r="R458" s="62">
        <v>1000</v>
      </c>
      <c r="S458" s="62">
        <f>SUM(Q458:R458)</f>
        <v>34000</v>
      </c>
      <c r="T458" s="62"/>
      <c r="U458" s="62">
        <f>SUM(S458:T458)</f>
        <v>34000</v>
      </c>
      <c r="V458" s="62"/>
      <c r="W458" s="62">
        <f>SUM(U458:V458)</f>
        <v>34000</v>
      </c>
      <c r="X458" s="62"/>
      <c r="Y458" s="62">
        <f>SUM(W458:X458)</f>
        <v>34000</v>
      </c>
      <c r="Z458" s="62">
        <v>1600</v>
      </c>
      <c r="AA458" s="62">
        <f>SUM(Y458:Z458)</f>
        <v>35600</v>
      </c>
      <c r="AB458" s="62"/>
      <c r="AC458" s="62">
        <f>SUM(AA458:AB458)</f>
        <v>35600</v>
      </c>
    </row>
    <row r="459" spans="1:33" s="25" customFormat="1" ht="21" customHeight="1">
      <c r="A459" s="49"/>
      <c r="B459" s="206"/>
      <c r="C459" s="49">
        <v>6050</v>
      </c>
      <c r="D459" s="36" t="s">
        <v>69</v>
      </c>
      <c r="E459" s="62">
        <v>973000</v>
      </c>
      <c r="F459" s="62">
        <f>-115000-520000-65000-50000-50000+20000+20000</f>
        <v>-760000</v>
      </c>
      <c r="G459" s="62">
        <f t="shared" si="350"/>
        <v>213000</v>
      </c>
      <c r="H459" s="62"/>
      <c r="I459" s="62">
        <f>SUM(G459:H459)</f>
        <v>213000</v>
      </c>
      <c r="J459" s="62"/>
      <c r="K459" s="62">
        <f>SUM(I459:J459)</f>
        <v>213000</v>
      </c>
      <c r="L459" s="62">
        <f>110-7900+7900</f>
        <v>110</v>
      </c>
      <c r="M459" s="62">
        <f>SUM(K459:L459)</f>
        <v>213110</v>
      </c>
      <c r="N459" s="62"/>
      <c r="O459" s="62">
        <f>SUM(M459:N459)</f>
        <v>213110</v>
      </c>
      <c r="P459" s="62"/>
      <c r="Q459" s="62">
        <f>SUM(O459:P459)</f>
        <v>213110</v>
      </c>
      <c r="R459" s="62"/>
      <c r="S459" s="62">
        <f>SUM(Q459:R459)</f>
        <v>213110</v>
      </c>
      <c r="T459" s="62"/>
      <c r="U459" s="62">
        <f>SUM(S459:T459)</f>
        <v>213110</v>
      </c>
      <c r="V459" s="62"/>
      <c r="W459" s="62">
        <f>SUM(U459:V459)</f>
        <v>213110</v>
      </c>
      <c r="X459" s="62"/>
      <c r="Y459" s="62">
        <f>SUM(W459:X459)</f>
        <v>213110</v>
      </c>
      <c r="Z459" s="62">
        <f>-9000-24000+680000-680000+680000</f>
        <v>647000</v>
      </c>
      <c r="AA459" s="62">
        <f>SUM(Y459:Z459)</f>
        <v>860110</v>
      </c>
      <c r="AB459" s="62"/>
      <c r="AC459" s="62">
        <f>SUM(AA459:AB459)</f>
        <v>860110</v>
      </c>
      <c r="AF459" s="79"/>
      <c r="AG459" s="79"/>
    </row>
    <row r="460" spans="1:29" s="25" customFormat="1" ht="21" customHeight="1">
      <c r="A460" s="49"/>
      <c r="B460" s="63" t="s">
        <v>457</v>
      </c>
      <c r="C460" s="66"/>
      <c r="D460" s="36" t="s">
        <v>6</v>
      </c>
      <c r="E460" s="62">
        <f aca="true" t="shared" si="359" ref="E460:Q460">SUM(E462:E464)</f>
        <v>88000</v>
      </c>
      <c r="F460" s="62">
        <f t="shared" si="359"/>
        <v>0</v>
      </c>
      <c r="G460" s="62">
        <f t="shared" si="359"/>
        <v>88000</v>
      </c>
      <c r="H460" s="62">
        <f t="shared" si="359"/>
        <v>0</v>
      </c>
      <c r="I460" s="62">
        <f t="shared" si="359"/>
        <v>88000</v>
      </c>
      <c r="J460" s="62">
        <f t="shared" si="359"/>
        <v>-45000</v>
      </c>
      <c r="K460" s="62">
        <f t="shared" si="359"/>
        <v>43000</v>
      </c>
      <c r="L460" s="62">
        <f t="shared" si="359"/>
        <v>0</v>
      </c>
      <c r="M460" s="62">
        <f t="shared" si="359"/>
        <v>43000</v>
      </c>
      <c r="N460" s="62">
        <f t="shared" si="359"/>
        <v>0</v>
      </c>
      <c r="O460" s="62">
        <f t="shared" si="359"/>
        <v>43000</v>
      </c>
      <c r="P460" s="62">
        <f t="shared" si="359"/>
        <v>0</v>
      </c>
      <c r="Q460" s="62">
        <f t="shared" si="359"/>
        <v>43000</v>
      </c>
      <c r="R460" s="62">
        <f>SUM(R462:R464)</f>
        <v>0</v>
      </c>
      <c r="S460" s="62">
        <f>SUM(S462:S464)</f>
        <v>43000</v>
      </c>
      <c r="T460" s="62">
        <f>SUM(T462:T464)</f>
        <v>0</v>
      </c>
      <c r="U460" s="62">
        <f aca="true" t="shared" si="360" ref="U460:AA460">SUM(U461:U464)</f>
        <v>43000</v>
      </c>
      <c r="V460" s="62">
        <f t="shared" si="360"/>
        <v>11800</v>
      </c>
      <c r="W460" s="62">
        <f t="shared" si="360"/>
        <v>54800</v>
      </c>
      <c r="X460" s="62">
        <f t="shared" si="360"/>
        <v>0</v>
      </c>
      <c r="Y460" s="62">
        <f t="shared" si="360"/>
        <v>54800</v>
      </c>
      <c r="Z460" s="62">
        <f t="shared" si="360"/>
        <v>0</v>
      </c>
      <c r="AA460" s="62">
        <f t="shared" si="360"/>
        <v>54800</v>
      </c>
      <c r="AB460" s="62">
        <f>SUM(AB461:AB464)</f>
        <v>0</v>
      </c>
      <c r="AC460" s="62">
        <f>SUM(AC461:AC464)</f>
        <v>54800</v>
      </c>
    </row>
    <row r="461" spans="1:29" s="25" customFormat="1" ht="21" customHeight="1">
      <c r="A461" s="49"/>
      <c r="B461" s="63"/>
      <c r="C461" s="66">
        <v>4210</v>
      </c>
      <c r="D461" s="36" t="s">
        <v>68</v>
      </c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>
        <v>0</v>
      </c>
      <c r="V461" s="62">
        <v>11800</v>
      </c>
      <c r="W461" s="62">
        <f>SUM(U461:V461)</f>
        <v>11800</v>
      </c>
      <c r="X461" s="62"/>
      <c r="Y461" s="62">
        <f>SUM(W461:X461)</f>
        <v>11800</v>
      </c>
      <c r="Z461" s="62"/>
      <c r="AA461" s="62">
        <f>SUM(Y461:Z461)</f>
        <v>11800</v>
      </c>
      <c r="AB461" s="62"/>
      <c r="AC461" s="62">
        <f>SUM(AA461:AB461)</f>
        <v>11800</v>
      </c>
    </row>
    <row r="462" spans="1:29" s="25" customFormat="1" ht="21" customHeight="1">
      <c r="A462" s="49"/>
      <c r="B462" s="206"/>
      <c r="C462" s="49">
        <v>4260</v>
      </c>
      <c r="D462" s="36" t="s">
        <v>88</v>
      </c>
      <c r="E462" s="62">
        <v>7000</v>
      </c>
      <c r="F462" s="62"/>
      <c r="G462" s="62">
        <f t="shared" si="350"/>
        <v>7000</v>
      </c>
      <c r="H462" s="62"/>
      <c r="I462" s="62">
        <f>SUM(G462:H462)</f>
        <v>7000</v>
      </c>
      <c r="J462" s="62"/>
      <c r="K462" s="62">
        <f>SUM(I462:J462)</f>
        <v>7000</v>
      </c>
      <c r="L462" s="62"/>
      <c r="M462" s="62">
        <f>SUM(K462:L462)</f>
        <v>7000</v>
      </c>
      <c r="N462" s="62"/>
      <c r="O462" s="62">
        <f>SUM(M462:N462)</f>
        <v>7000</v>
      </c>
      <c r="P462" s="62"/>
      <c r="Q462" s="62">
        <f>SUM(O462:P462)</f>
        <v>7000</v>
      </c>
      <c r="R462" s="62"/>
      <c r="S462" s="62">
        <f>SUM(Q462:R462)</f>
        <v>7000</v>
      </c>
      <c r="T462" s="62"/>
      <c r="U462" s="62">
        <f>SUM(S462:T462)</f>
        <v>7000</v>
      </c>
      <c r="V462" s="62"/>
      <c r="W462" s="62">
        <f>SUM(U462:V462)</f>
        <v>7000</v>
      </c>
      <c r="X462" s="62"/>
      <c r="Y462" s="62">
        <f>SUM(W462:X462)</f>
        <v>7000</v>
      </c>
      <c r="Z462" s="62"/>
      <c r="AA462" s="62">
        <f>SUM(Y462:Z462)</f>
        <v>7000</v>
      </c>
      <c r="AB462" s="62"/>
      <c r="AC462" s="62">
        <f>SUM(AA462:AB462)</f>
        <v>7000</v>
      </c>
    </row>
    <row r="463" spans="1:29" s="25" customFormat="1" ht="21" customHeight="1">
      <c r="A463" s="49"/>
      <c r="B463" s="206"/>
      <c r="C463" s="66">
        <v>4300</v>
      </c>
      <c r="D463" s="214" t="s">
        <v>75</v>
      </c>
      <c r="E463" s="62">
        <f>45000+8000+26000</f>
        <v>79000</v>
      </c>
      <c r="F463" s="62"/>
      <c r="G463" s="62">
        <f t="shared" si="350"/>
        <v>79000</v>
      </c>
      <c r="H463" s="62"/>
      <c r="I463" s="62">
        <f>SUM(G463:H463)</f>
        <v>79000</v>
      </c>
      <c r="J463" s="62">
        <v>-45000</v>
      </c>
      <c r="K463" s="62">
        <f>SUM(I463:J463)</f>
        <v>34000</v>
      </c>
      <c r="L463" s="62"/>
      <c r="M463" s="62">
        <f>SUM(K463:L463)</f>
        <v>34000</v>
      </c>
      <c r="N463" s="62"/>
      <c r="O463" s="62">
        <f>SUM(M463:N463)</f>
        <v>34000</v>
      </c>
      <c r="P463" s="62"/>
      <c r="Q463" s="62">
        <f>SUM(O463:P463)</f>
        <v>34000</v>
      </c>
      <c r="R463" s="62"/>
      <c r="S463" s="62">
        <f>SUM(Q463:R463)</f>
        <v>34000</v>
      </c>
      <c r="T463" s="62"/>
      <c r="U463" s="62">
        <f>SUM(S463:T463)</f>
        <v>34000</v>
      </c>
      <c r="V463" s="62"/>
      <c r="W463" s="62">
        <f>SUM(U463:V463)</f>
        <v>34000</v>
      </c>
      <c r="X463" s="62"/>
      <c r="Y463" s="62">
        <f>SUM(W463:X463)</f>
        <v>34000</v>
      </c>
      <c r="Z463" s="62"/>
      <c r="AA463" s="62">
        <f>SUM(Y463:Z463)</f>
        <v>34000</v>
      </c>
      <c r="AB463" s="62"/>
      <c r="AC463" s="62">
        <f>SUM(AA463:AB463)</f>
        <v>34000</v>
      </c>
    </row>
    <row r="464" spans="1:29" s="25" customFormat="1" ht="24">
      <c r="A464" s="49"/>
      <c r="B464" s="206"/>
      <c r="C464" s="66">
        <v>4390</v>
      </c>
      <c r="D464" s="36" t="s">
        <v>433</v>
      </c>
      <c r="E464" s="62">
        <v>2000</v>
      </c>
      <c r="F464" s="62"/>
      <c r="G464" s="62">
        <f t="shared" si="350"/>
        <v>2000</v>
      </c>
      <c r="H464" s="62"/>
      <c r="I464" s="62">
        <f>SUM(G464:H464)</f>
        <v>2000</v>
      </c>
      <c r="J464" s="62"/>
      <c r="K464" s="62">
        <f>SUM(I464:J464)</f>
        <v>2000</v>
      </c>
      <c r="L464" s="62"/>
      <c r="M464" s="62">
        <f>SUM(K464:L464)</f>
        <v>2000</v>
      </c>
      <c r="N464" s="62"/>
      <c r="O464" s="62">
        <f>SUM(M464:N464)</f>
        <v>2000</v>
      </c>
      <c r="P464" s="62"/>
      <c r="Q464" s="62">
        <f>SUM(O464:P464)</f>
        <v>2000</v>
      </c>
      <c r="R464" s="62"/>
      <c r="S464" s="62">
        <f>SUM(Q464:R464)</f>
        <v>2000</v>
      </c>
      <c r="T464" s="62"/>
      <c r="U464" s="62">
        <f>SUM(S464:T464)</f>
        <v>2000</v>
      </c>
      <c r="V464" s="62"/>
      <c r="W464" s="62">
        <f>SUM(U464:V464)</f>
        <v>2000</v>
      </c>
      <c r="X464" s="62"/>
      <c r="Y464" s="62">
        <f>SUM(W464:X464)</f>
        <v>2000</v>
      </c>
      <c r="Z464" s="62"/>
      <c r="AA464" s="62">
        <f>SUM(Y464:Z464)</f>
        <v>2000</v>
      </c>
      <c r="AB464" s="62"/>
      <c r="AC464" s="62">
        <f>SUM(AA464:AB464)</f>
        <v>2000</v>
      </c>
    </row>
    <row r="465" spans="1:29" s="6" customFormat="1" ht="33" customHeight="1">
      <c r="A465" s="32" t="s">
        <v>61</v>
      </c>
      <c r="B465" s="33"/>
      <c r="C465" s="34"/>
      <c r="D465" s="35" t="s">
        <v>111</v>
      </c>
      <c r="E465" s="200">
        <f aca="true" t="shared" si="361" ref="E465:W465">SUM(E466,E473,E475,E477,E479)</f>
        <v>2653147</v>
      </c>
      <c r="F465" s="200">
        <f t="shared" si="361"/>
        <v>128000</v>
      </c>
      <c r="G465" s="200">
        <f t="shared" si="361"/>
        <v>2781147</v>
      </c>
      <c r="H465" s="200">
        <f t="shared" si="361"/>
        <v>0</v>
      </c>
      <c r="I465" s="200">
        <f t="shared" si="361"/>
        <v>2781147</v>
      </c>
      <c r="J465" s="200">
        <f t="shared" si="361"/>
        <v>7400</v>
      </c>
      <c r="K465" s="200">
        <f t="shared" si="361"/>
        <v>2788547</v>
      </c>
      <c r="L465" s="200">
        <f t="shared" si="361"/>
        <v>2500</v>
      </c>
      <c r="M465" s="200">
        <f t="shared" si="361"/>
        <v>2791047</v>
      </c>
      <c r="N465" s="200">
        <f t="shared" si="361"/>
        <v>0</v>
      </c>
      <c r="O465" s="200">
        <f t="shared" si="361"/>
        <v>2791047</v>
      </c>
      <c r="P465" s="200">
        <f t="shared" si="361"/>
        <v>0</v>
      </c>
      <c r="Q465" s="200">
        <f t="shared" si="361"/>
        <v>2791047</v>
      </c>
      <c r="R465" s="200">
        <f t="shared" si="361"/>
        <v>0</v>
      </c>
      <c r="S465" s="200">
        <f t="shared" si="361"/>
        <v>2791047</v>
      </c>
      <c r="T465" s="200">
        <f t="shared" si="361"/>
        <v>0</v>
      </c>
      <c r="U465" s="200">
        <f t="shared" si="361"/>
        <v>2791047</v>
      </c>
      <c r="V465" s="200">
        <f t="shared" si="361"/>
        <v>0</v>
      </c>
      <c r="W465" s="200">
        <f t="shared" si="361"/>
        <v>2791047</v>
      </c>
      <c r="X465" s="200">
        <f aca="true" t="shared" si="362" ref="X465:AC465">SUM(X466,X473,X475,X477,X479)</f>
        <v>0</v>
      </c>
      <c r="Y465" s="200">
        <f t="shared" si="362"/>
        <v>2791047</v>
      </c>
      <c r="Z465" s="200">
        <f t="shared" si="362"/>
        <v>-55140</v>
      </c>
      <c r="AA465" s="200">
        <f t="shared" si="362"/>
        <v>2735907</v>
      </c>
      <c r="AB465" s="200">
        <f t="shared" si="362"/>
        <v>0</v>
      </c>
      <c r="AC465" s="200">
        <f t="shared" si="362"/>
        <v>2735907</v>
      </c>
    </row>
    <row r="466" spans="1:29" s="25" customFormat="1" ht="21.75" customHeight="1">
      <c r="A466" s="49"/>
      <c r="B466" s="63" t="s">
        <v>112</v>
      </c>
      <c r="C466" s="66"/>
      <c r="D466" s="36" t="s">
        <v>122</v>
      </c>
      <c r="E466" s="62">
        <f aca="true" t="shared" si="363" ref="E466:W466">SUM(E467:E472)</f>
        <v>838410</v>
      </c>
      <c r="F466" s="62">
        <f t="shared" si="363"/>
        <v>128000</v>
      </c>
      <c r="G466" s="62">
        <f t="shared" si="363"/>
        <v>966410</v>
      </c>
      <c r="H466" s="62">
        <f t="shared" si="363"/>
        <v>0</v>
      </c>
      <c r="I466" s="62">
        <f t="shared" si="363"/>
        <v>966410</v>
      </c>
      <c r="J466" s="62">
        <f t="shared" si="363"/>
        <v>4000</v>
      </c>
      <c r="K466" s="62">
        <f t="shared" si="363"/>
        <v>970410</v>
      </c>
      <c r="L466" s="62">
        <f t="shared" si="363"/>
        <v>2500</v>
      </c>
      <c r="M466" s="62">
        <f t="shared" si="363"/>
        <v>972910</v>
      </c>
      <c r="N466" s="62">
        <f t="shared" si="363"/>
        <v>0</v>
      </c>
      <c r="O466" s="62">
        <f t="shared" si="363"/>
        <v>972910</v>
      </c>
      <c r="P466" s="62">
        <f t="shared" si="363"/>
        <v>0</v>
      </c>
      <c r="Q466" s="62">
        <f t="shared" si="363"/>
        <v>972910</v>
      </c>
      <c r="R466" s="62">
        <f t="shared" si="363"/>
        <v>0</v>
      </c>
      <c r="S466" s="62">
        <f t="shared" si="363"/>
        <v>972910</v>
      </c>
      <c r="T466" s="62">
        <f t="shared" si="363"/>
        <v>0</v>
      </c>
      <c r="U466" s="62">
        <f t="shared" si="363"/>
        <v>972910</v>
      </c>
      <c r="V466" s="62">
        <f t="shared" si="363"/>
        <v>0</v>
      </c>
      <c r="W466" s="62">
        <f t="shared" si="363"/>
        <v>972910</v>
      </c>
      <c r="X466" s="62">
        <f aca="true" t="shared" si="364" ref="X466:AC466">SUM(X467:X472)</f>
        <v>0</v>
      </c>
      <c r="Y466" s="62">
        <f t="shared" si="364"/>
        <v>972910</v>
      </c>
      <c r="Z466" s="62">
        <f t="shared" si="364"/>
        <v>10860</v>
      </c>
      <c r="AA466" s="62">
        <f t="shared" si="364"/>
        <v>983770</v>
      </c>
      <c r="AB466" s="62">
        <f t="shared" si="364"/>
        <v>0</v>
      </c>
      <c r="AC466" s="62">
        <f t="shared" si="364"/>
        <v>983770</v>
      </c>
    </row>
    <row r="467" spans="1:35" s="25" customFormat="1" ht="24">
      <c r="A467" s="49"/>
      <c r="B467" s="63"/>
      <c r="C467" s="66">
        <v>2480</v>
      </c>
      <c r="D467" s="36" t="s">
        <v>458</v>
      </c>
      <c r="E467" s="62">
        <v>725435</v>
      </c>
      <c r="F467" s="62">
        <f>-10000-5000-10000-10000-15000+83000-5000</f>
        <v>28000</v>
      </c>
      <c r="G467" s="62">
        <f t="shared" si="350"/>
        <v>753435</v>
      </c>
      <c r="H467" s="62"/>
      <c r="I467" s="62">
        <f aca="true" t="shared" si="365" ref="I467:I472">SUM(G467:H467)</f>
        <v>753435</v>
      </c>
      <c r="J467" s="62">
        <v>4000</v>
      </c>
      <c r="K467" s="62">
        <f aca="true" t="shared" si="366" ref="K467:K472">SUM(I467:J467)</f>
        <v>757435</v>
      </c>
      <c r="L467" s="62"/>
      <c r="M467" s="62">
        <f aca="true" t="shared" si="367" ref="M467:M472">SUM(K467:L467)</f>
        <v>757435</v>
      </c>
      <c r="N467" s="62"/>
      <c r="O467" s="62">
        <f aca="true" t="shared" si="368" ref="O467:O472">SUM(M467:N467)</f>
        <v>757435</v>
      </c>
      <c r="P467" s="62"/>
      <c r="Q467" s="62">
        <f aca="true" t="shared" si="369" ref="Q467:Q472">SUM(O467:P467)</f>
        <v>757435</v>
      </c>
      <c r="R467" s="62"/>
      <c r="S467" s="62">
        <f aca="true" t="shared" si="370" ref="S467:S472">SUM(Q467:R467)</f>
        <v>757435</v>
      </c>
      <c r="T467" s="62"/>
      <c r="U467" s="62">
        <f aca="true" t="shared" si="371" ref="U467:U472">SUM(S467:T467)</f>
        <v>757435</v>
      </c>
      <c r="V467" s="62"/>
      <c r="W467" s="62">
        <f aca="true" t="shared" si="372" ref="W467:W472">SUM(U467:V467)</f>
        <v>757435</v>
      </c>
      <c r="X467" s="62"/>
      <c r="Y467" s="62">
        <f aca="true" t="shared" si="373" ref="Y467:Y472">SUM(W467:X467)</f>
        <v>757435</v>
      </c>
      <c r="Z467" s="62"/>
      <c r="AA467" s="62">
        <f aca="true" t="shared" si="374" ref="AA467:AA472">SUM(Y467:Z467)</f>
        <v>757435</v>
      </c>
      <c r="AB467" s="62"/>
      <c r="AC467" s="62">
        <f aca="true" t="shared" si="375" ref="AC467:AC472">SUM(AA467:AB467)</f>
        <v>757435</v>
      </c>
      <c r="AH467" s="79"/>
      <c r="AI467" s="79"/>
    </row>
    <row r="468" spans="1:29" s="25" customFormat="1" ht="21" customHeight="1">
      <c r="A468" s="49"/>
      <c r="B468" s="63"/>
      <c r="C468" s="49">
        <v>4210</v>
      </c>
      <c r="D468" s="36" t="s">
        <v>86</v>
      </c>
      <c r="E468" s="62">
        <v>33580</v>
      </c>
      <c r="F468" s="62"/>
      <c r="G468" s="62">
        <f t="shared" si="350"/>
        <v>33580</v>
      </c>
      <c r="H468" s="62"/>
      <c r="I468" s="62">
        <f t="shared" si="365"/>
        <v>33580</v>
      </c>
      <c r="J468" s="62"/>
      <c r="K468" s="62">
        <f t="shared" si="366"/>
        <v>33580</v>
      </c>
      <c r="L468" s="62"/>
      <c r="M468" s="62">
        <f t="shared" si="367"/>
        <v>33580</v>
      </c>
      <c r="N468" s="62">
        <v>50</v>
      </c>
      <c r="O468" s="62">
        <f t="shared" si="368"/>
        <v>33630</v>
      </c>
      <c r="P468" s="62"/>
      <c r="Q468" s="62">
        <f t="shared" si="369"/>
        <v>33630</v>
      </c>
      <c r="R468" s="62"/>
      <c r="S468" s="62">
        <f t="shared" si="370"/>
        <v>33630</v>
      </c>
      <c r="T468" s="62"/>
      <c r="U468" s="62">
        <f t="shared" si="371"/>
        <v>33630</v>
      </c>
      <c r="V468" s="62">
        <v>-5280</v>
      </c>
      <c r="W468" s="62">
        <f t="shared" si="372"/>
        <v>28350</v>
      </c>
      <c r="X468" s="62"/>
      <c r="Y468" s="62">
        <f t="shared" si="373"/>
        <v>28350</v>
      </c>
      <c r="Z468" s="62">
        <f>1000-2000-900+167</f>
        <v>-1733</v>
      </c>
      <c r="AA468" s="62">
        <f t="shared" si="374"/>
        <v>26617</v>
      </c>
      <c r="AB468" s="62"/>
      <c r="AC468" s="62">
        <f t="shared" si="375"/>
        <v>26617</v>
      </c>
    </row>
    <row r="469" spans="1:29" s="25" customFormat="1" ht="21" customHeight="1">
      <c r="A469" s="49"/>
      <c r="B469" s="63"/>
      <c r="C469" s="49">
        <v>4260</v>
      </c>
      <c r="D469" s="36" t="s">
        <v>88</v>
      </c>
      <c r="E469" s="62">
        <v>12650</v>
      </c>
      <c r="F469" s="62"/>
      <c r="G469" s="62">
        <f t="shared" si="350"/>
        <v>12650</v>
      </c>
      <c r="H469" s="62"/>
      <c r="I469" s="62">
        <f t="shared" si="365"/>
        <v>12650</v>
      </c>
      <c r="J469" s="62"/>
      <c r="K469" s="62">
        <f t="shared" si="366"/>
        <v>12650</v>
      </c>
      <c r="L469" s="62"/>
      <c r="M469" s="62">
        <f t="shared" si="367"/>
        <v>12650</v>
      </c>
      <c r="N469" s="62">
        <f>-50+1990</f>
        <v>1940</v>
      </c>
      <c r="O469" s="62">
        <f t="shared" si="368"/>
        <v>14590</v>
      </c>
      <c r="P469" s="62"/>
      <c r="Q469" s="62">
        <f t="shared" si="369"/>
        <v>14590</v>
      </c>
      <c r="R469" s="62">
        <v>500</v>
      </c>
      <c r="S469" s="62">
        <f t="shared" si="370"/>
        <v>15090</v>
      </c>
      <c r="T469" s="62"/>
      <c r="U469" s="62">
        <f t="shared" si="371"/>
        <v>15090</v>
      </c>
      <c r="V469" s="62"/>
      <c r="W469" s="62">
        <f t="shared" si="372"/>
        <v>15090</v>
      </c>
      <c r="X469" s="62"/>
      <c r="Y469" s="62">
        <f t="shared" si="373"/>
        <v>15090</v>
      </c>
      <c r="Z469" s="62"/>
      <c r="AA469" s="62">
        <f t="shared" si="374"/>
        <v>15090</v>
      </c>
      <c r="AB469" s="62"/>
      <c r="AC469" s="62">
        <f t="shared" si="375"/>
        <v>15090</v>
      </c>
    </row>
    <row r="470" spans="1:29" s="25" customFormat="1" ht="21" customHeight="1">
      <c r="A470" s="49"/>
      <c r="B470" s="63"/>
      <c r="C470" s="49">
        <v>4270</v>
      </c>
      <c r="D470" s="36" t="s">
        <v>74</v>
      </c>
      <c r="E470" s="62">
        <v>56770</v>
      </c>
      <c r="F470" s="62">
        <v>100000</v>
      </c>
      <c r="G470" s="62">
        <f t="shared" si="350"/>
        <v>156770</v>
      </c>
      <c r="H470" s="62"/>
      <c r="I470" s="62">
        <f t="shared" si="365"/>
        <v>156770</v>
      </c>
      <c r="J470" s="62"/>
      <c r="K470" s="62">
        <f t="shared" si="366"/>
        <v>156770</v>
      </c>
      <c r="L470" s="62">
        <v>2500</v>
      </c>
      <c r="M470" s="62">
        <f t="shared" si="367"/>
        <v>159270</v>
      </c>
      <c r="N470" s="62">
        <v>-1990</v>
      </c>
      <c r="O470" s="62">
        <f t="shared" si="368"/>
        <v>157280</v>
      </c>
      <c r="P470" s="62"/>
      <c r="Q470" s="62">
        <f t="shared" si="369"/>
        <v>157280</v>
      </c>
      <c r="R470" s="62">
        <v>-500</v>
      </c>
      <c r="S470" s="62">
        <f t="shared" si="370"/>
        <v>156780</v>
      </c>
      <c r="T470" s="62"/>
      <c r="U470" s="62">
        <f t="shared" si="371"/>
        <v>156780</v>
      </c>
      <c r="V470" s="62">
        <v>5069</v>
      </c>
      <c r="W470" s="62">
        <f t="shared" si="372"/>
        <v>161849</v>
      </c>
      <c r="X470" s="62"/>
      <c r="Y470" s="62">
        <f t="shared" si="373"/>
        <v>161849</v>
      </c>
      <c r="Z470" s="62">
        <f>2000-127+10000</f>
        <v>11873</v>
      </c>
      <c r="AA470" s="62">
        <f t="shared" si="374"/>
        <v>173722</v>
      </c>
      <c r="AB470" s="62"/>
      <c r="AC470" s="62">
        <f t="shared" si="375"/>
        <v>173722</v>
      </c>
    </row>
    <row r="471" spans="1:29" s="25" customFormat="1" ht="21" customHeight="1">
      <c r="A471" s="49"/>
      <c r="B471" s="63"/>
      <c r="C471" s="66">
        <v>4300</v>
      </c>
      <c r="D471" s="214" t="s">
        <v>75</v>
      </c>
      <c r="E471" s="62">
        <v>8340</v>
      </c>
      <c r="F471" s="62"/>
      <c r="G471" s="62">
        <f t="shared" si="350"/>
        <v>8340</v>
      </c>
      <c r="H471" s="62"/>
      <c r="I471" s="62">
        <f t="shared" si="365"/>
        <v>8340</v>
      </c>
      <c r="J471" s="62"/>
      <c r="K471" s="62">
        <f t="shared" si="366"/>
        <v>8340</v>
      </c>
      <c r="L471" s="62"/>
      <c r="M471" s="62">
        <f t="shared" si="367"/>
        <v>8340</v>
      </c>
      <c r="N471" s="62"/>
      <c r="O471" s="62">
        <f t="shared" si="368"/>
        <v>8340</v>
      </c>
      <c r="P471" s="62"/>
      <c r="Q471" s="62">
        <f t="shared" si="369"/>
        <v>8340</v>
      </c>
      <c r="R471" s="62"/>
      <c r="S471" s="62">
        <f t="shared" si="370"/>
        <v>8340</v>
      </c>
      <c r="T471" s="62"/>
      <c r="U471" s="62">
        <f t="shared" si="371"/>
        <v>8340</v>
      </c>
      <c r="V471" s="62">
        <v>211</v>
      </c>
      <c r="W471" s="62">
        <f t="shared" si="372"/>
        <v>8551</v>
      </c>
      <c r="X471" s="62"/>
      <c r="Y471" s="62">
        <f t="shared" si="373"/>
        <v>8551</v>
      </c>
      <c r="Z471" s="62">
        <v>720</v>
      </c>
      <c r="AA471" s="62">
        <f t="shared" si="374"/>
        <v>9271</v>
      </c>
      <c r="AB471" s="62"/>
      <c r="AC471" s="62">
        <f t="shared" si="375"/>
        <v>9271</v>
      </c>
    </row>
    <row r="472" spans="1:29" s="25" customFormat="1" ht="21" customHeight="1">
      <c r="A472" s="49"/>
      <c r="B472" s="63"/>
      <c r="C472" s="66">
        <v>4430</v>
      </c>
      <c r="D472" s="214" t="s">
        <v>87</v>
      </c>
      <c r="E472" s="62">
        <v>1635</v>
      </c>
      <c r="F472" s="62"/>
      <c r="G472" s="62">
        <f t="shared" si="350"/>
        <v>1635</v>
      </c>
      <c r="H472" s="62"/>
      <c r="I472" s="62">
        <f t="shared" si="365"/>
        <v>1635</v>
      </c>
      <c r="J472" s="62"/>
      <c r="K472" s="62">
        <f t="shared" si="366"/>
        <v>1635</v>
      </c>
      <c r="L472" s="62"/>
      <c r="M472" s="62">
        <f t="shared" si="367"/>
        <v>1635</v>
      </c>
      <c r="N472" s="62"/>
      <c r="O472" s="62">
        <f t="shared" si="368"/>
        <v>1635</v>
      </c>
      <c r="P472" s="62"/>
      <c r="Q472" s="62">
        <f t="shared" si="369"/>
        <v>1635</v>
      </c>
      <c r="R472" s="62"/>
      <c r="S472" s="62">
        <f t="shared" si="370"/>
        <v>1635</v>
      </c>
      <c r="T472" s="62"/>
      <c r="U472" s="62">
        <f t="shared" si="371"/>
        <v>1635</v>
      </c>
      <c r="V472" s="62"/>
      <c r="W472" s="62">
        <f t="shared" si="372"/>
        <v>1635</v>
      </c>
      <c r="X472" s="62"/>
      <c r="Y472" s="62">
        <f t="shared" si="373"/>
        <v>1635</v>
      </c>
      <c r="Z472" s="62"/>
      <c r="AA472" s="62">
        <f t="shared" si="374"/>
        <v>1635</v>
      </c>
      <c r="AB472" s="62"/>
      <c r="AC472" s="62">
        <f t="shared" si="375"/>
        <v>1635</v>
      </c>
    </row>
    <row r="473" spans="1:29" s="25" customFormat="1" ht="21" customHeight="1">
      <c r="A473" s="49"/>
      <c r="B473" s="63" t="s">
        <v>62</v>
      </c>
      <c r="C473" s="66"/>
      <c r="D473" s="36" t="s">
        <v>63</v>
      </c>
      <c r="E473" s="62">
        <f aca="true" t="shared" si="376" ref="E473:AC473">E474</f>
        <v>1091087</v>
      </c>
      <c r="F473" s="62">
        <f t="shared" si="376"/>
        <v>0</v>
      </c>
      <c r="G473" s="62">
        <f t="shared" si="376"/>
        <v>1091087</v>
      </c>
      <c r="H473" s="62">
        <f t="shared" si="376"/>
        <v>0</v>
      </c>
      <c r="I473" s="62">
        <f t="shared" si="376"/>
        <v>1091087</v>
      </c>
      <c r="J473" s="62">
        <f t="shared" si="376"/>
        <v>0</v>
      </c>
      <c r="K473" s="62">
        <f t="shared" si="376"/>
        <v>1091087</v>
      </c>
      <c r="L473" s="62">
        <f t="shared" si="376"/>
        <v>0</v>
      </c>
      <c r="M473" s="62">
        <f t="shared" si="376"/>
        <v>1091087</v>
      </c>
      <c r="N473" s="62">
        <f t="shared" si="376"/>
        <v>0</v>
      </c>
      <c r="O473" s="62">
        <f t="shared" si="376"/>
        <v>1091087</v>
      </c>
      <c r="P473" s="62">
        <f t="shared" si="376"/>
        <v>0</v>
      </c>
      <c r="Q473" s="62">
        <f t="shared" si="376"/>
        <v>1091087</v>
      </c>
      <c r="R473" s="62">
        <f t="shared" si="376"/>
        <v>0</v>
      </c>
      <c r="S473" s="62">
        <f t="shared" si="376"/>
        <v>1091087</v>
      </c>
      <c r="T473" s="62">
        <f t="shared" si="376"/>
        <v>0</v>
      </c>
      <c r="U473" s="62">
        <f t="shared" si="376"/>
        <v>1091087</v>
      </c>
      <c r="V473" s="62">
        <f t="shared" si="376"/>
        <v>0</v>
      </c>
      <c r="W473" s="62">
        <f t="shared" si="376"/>
        <v>1091087</v>
      </c>
      <c r="X473" s="62">
        <f t="shared" si="376"/>
        <v>0</v>
      </c>
      <c r="Y473" s="62">
        <f t="shared" si="376"/>
        <v>1091087</v>
      </c>
      <c r="Z473" s="62">
        <f t="shared" si="376"/>
        <v>0</v>
      </c>
      <c r="AA473" s="62">
        <f t="shared" si="376"/>
        <v>1091087</v>
      </c>
      <c r="AB473" s="62">
        <f t="shared" si="376"/>
        <v>0</v>
      </c>
      <c r="AC473" s="62">
        <f t="shared" si="376"/>
        <v>1091087</v>
      </c>
    </row>
    <row r="474" spans="1:35" s="25" customFormat="1" ht="24">
      <c r="A474" s="49"/>
      <c r="B474" s="63"/>
      <c r="C474" s="66">
        <v>2480</v>
      </c>
      <c r="D474" s="36" t="s">
        <v>458</v>
      </c>
      <c r="E474" s="62">
        <f>60000+1031087</f>
        <v>1091087</v>
      </c>
      <c r="F474" s="62"/>
      <c r="G474" s="62">
        <f t="shared" si="350"/>
        <v>1091087</v>
      </c>
      <c r="H474" s="62"/>
      <c r="I474" s="62">
        <f>SUM(G474:H474)</f>
        <v>1091087</v>
      </c>
      <c r="J474" s="62"/>
      <c r="K474" s="62">
        <f>SUM(I474:J474)</f>
        <v>1091087</v>
      </c>
      <c r="L474" s="62"/>
      <c r="M474" s="62">
        <f>SUM(K474:L474)</f>
        <v>1091087</v>
      </c>
      <c r="N474" s="62"/>
      <c r="O474" s="62">
        <f>SUM(M474:N474)</f>
        <v>1091087</v>
      </c>
      <c r="P474" s="62"/>
      <c r="Q474" s="62">
        <f>SUM(O474:P474)</f>
        <v>1091087</v>
      </c>
      <c r="R474" s="62"/>
      <c r="S474" s="62">
        <f>SUM(Q474:R474)</f>
        <v>1091087</v>
      </c>
      <c r="T474" s="62"/>
      <c r="U474" s="62">
        <f>SUM(S474:T474)</f>
        <v>1091087</v>
      </c>
      <c r="V474" s="62"/>
      <c r="W474" s="62">
        <f>SUM(U474:V474)</f>
        <v>1091087</v>
      </c>
      <c r="X474" s="62"/>
      <c r="Y474" s="62">
        <f>SUM(W474:X474)</f>
        <v>1091087</v>
      </c>
      <c r="Z474" s="62"/>
      <c r="AA474" s="62">
        <f>SUM(Y474:Z474)</f>
        <v>1091087</v>
      </c>
      <c r="AB474" s="62"/>
      <c r="AC474" s="62">
        <f>SUM(AA474:AB474)</f>
        <v>1091087</v>
      </c>
      <c r="AH474" s="79"/>
      <c r="AI474" s="79"/>
    </row>
    <row r="475" spans="1:29" s="25" customFormat="1" ht="21" customHeight="1">
      <c r="A475" s="49"/>
      <c r="B475" s="63" t="s">
        <v>113</v>
      </c>
      <c r="C475" s="66"/>
      <c r="D475" s="36" t="s">
        <v>114</v>
      </c>
      <c r="E475" s="62">
        <f aca="true" t="shared" si="377" ref="E475:AC475">E476</f>
        <v>686000</v>
      </c>
      <c r="F475" s="62">
        <f t="shared" si="377"/>
        <v>0</v>
      </c>
      <c r="G475" s="62">
        <f t="shared" si="377"/>
        <v>686000</v>
      </c>
      <c r="H475" s="62">
        <f t="shared" si="377"/>
        <v>0</v>
      </c>
      <c r="I475" s="62">
        <f t="shared" si="377"/>
        <v>686000</v>
      </c>
      <c r="J475" s="62">
        <f t="shared" si="377"/>
        <v>3400</v>
      </c>
      <c r="K475" s="62">
        <f t="shared" si="377"/>
        <v>689400</v>
      </c>
      <c r="L475" s="62">
        <f t="shared" si="377"/>
        <v>0</v>
      </c>
      <c r="M475" s="62">
        <f t="shared" si="377"/>
        <v>689400</v>
      </c>
      <c r="N475" s="62">
        <f t="shared" si="377"/>
        <v>0</v>
      </c>
      <c r="O475" s="62">
        <f t="shared" si="377"/>
        <v>689400</v>
      </c>
      <c r="P475" s="62">
        <f t="shared" si="377"/>
        <v>0</v>
      </c>
      <c r="Q475" s="62">
        <f t="shared" si="377"/>
        <v>689400</v>
      </c>
      <c r="R475" s="62">
        <f t="shared" si="377"/>
        <v>0</v>
      </c>
      <c r="S475" s="62">
        <f t="shared" si="377"/>
        <v>689400</v>
      </c>
      <c r="T475" s="62">
        <f t="shared" si="377"/>
        <v>0</v>
      </c>
      <c r="U475" s="62">
        <f t="shared" si="377"/>
        <v>689400</v>
      </c>
      <c r="V475" s="62">
        <f t="shared" si="377"/>
        <v>0</v>
      </c>
      <c r="W475" s="62">
        <f t="shared" si="377"/>
        <v>689400</v>
      </c>
      <c r="X475" s="62">
        <f t="shared" si="377"/>
        <v>0</v>
      </c>
      <c r="Y475" s="62">
        <f t="shared" si="377"/>
        <v>689400</v>
      </c>
      <c r="Z475" s="62">
        <f t="shared" si="377"/>
        <v>-66000</v>
      </c>
      <c r="AA475" s="62">
        <f t="shared" si="377"/>
        <v>623400</v>
      </c>
      <c r="AB475" s="62">
        <f t="shared" si="377"/>
        <v>0</v>
      </c>
      <c r="AC475" s="62">
        <f t="shared" si="377"/>
        <v>623400</v>
      </c>
    </row>
    <row r="476" spans="1:35" s="25" customFormat="1" ht="25.5" customHeight="1">
      <c r="A476" s="49"/>
      <c r="B476" s="63"/>
      <c r="C476" s="66">
        <v>2480</v>
      </c>
      <c r="D476" s="36" t="s">
        <v>458</v>
      </c>
      <c r="E476" s="62">
        <v>686000</v>
      </c>
      <c r="F476" s="62"/>
      <c r="G476" s="62">
        <f t="shared" si="350"/>
        <v>686000</v>
      </c>
      <c r="H476" s="62"/>
      <c r="I476" s="62">
        <f>SUM(G476:H476)</f>
        <v>686000</v>
      </c>
      <c r="J476" s="62">
        <v>3400</v>
      </c>
      <c r="K476" s="62">
        <f>SUM(I476:J476)</f>
        <v>689400</v>
      </c>
      <c r="L476" s="62"/>
      <c r="M476" s="62">
        <f>SUM(K476:L476)</f>
        <v>689400</v>
      </c>
      <c r="N476" s="62"/>
      <c r="O476" s="62">
        <f>SUM(M476:N476)</f>
        <v>689400</v>
      </c>
      <c r="P476" s="62"/>
      <c r="Q476" s="62">
        <f>SUM(O476:P476)</f>
        <v>689400</v>
      </c>
      <c r="R476" s="62"/>
      <c r="S476" s="62">
        <f>SUM(Q476:R476)</f>
        <v>689400</v>
      </c>
      <c r="T476" s="62"/>
      <c r="U476" s="62">
        <f>SUM(S476:T476)</f>
        <v>689400</v>
      </c>
      <c r="V476" s="62"/>
      <c r="W476" s="62">
        <f>SUM(U476:V476)</f>
        <v>689400</v>
      </c>
      <c r="X476" s="62"/>
      <c r="Y476" s="62">
        <f>SUM(W476:X476)</f>
        <v>689400</v>
      </c>
      <c r="Z476" s="62">
        <f>-96000+15000+15000</f>
        <v>-66000</v>
      </c>
      <c r="AA476" s="62">
        <f>SUM(Y476:Z476)</f>
        <v>623400</v>
      </c>
      <c r="AB476" s="62"/>
      <c r="AC476" s="62">
        <f>SUM(AA476:AB476)</f>
        <v>623400</v>
      </c>
      <c r="AH476" s="79"/>
      <c r="AI476" s="79"/>
    </row>
    <row r="477" spans="1:29" s="25" customFormat="1" ht="21" customHeight="1">
      <c r="A477" s="49"/>
      <c r="B477" s="63">
        <v>92120</v>
      </c>
      <c r="C477" s="66"/>
      <c r="D477" s="36" t="s">
        <v>459</v>
      </c>
      <c r="E477" s="62">
        <f aca="true" t="shared" si="378" ref="E477:AC477">SUM(E478)</f>
        <v>22650</v>
      </c>
      <c r="F477" s="62">
        <f t="shared" si="378"/>
        <v>0</v>
      </c>
      <c r="G477" s="62">
        <f t="shared" si="378"/>
        <v>22650</v>
      </c>
      <c r="H477" s="62">
        <f t="shared" si="378"/>
        <v>0</v>
      </c>
      <c r="I477" s="62">
        <f t="shared" si="378"/>
        <v>22650</v>
      </c>
      <c r="J477" s="62">
        <f t="shared" si="378"/>
        <v>0</v>
      </c>
      <c r="K477" s="62">
        <f t="shared" si="378"/>
        <v>22650</v>
      </c>
      <c r="L477" s="62">
        <f t="shared" si="378"/>
        <v>0</v>
      </c>
      <c r="M477" s="62">
        <f t="shared" si="378"/>
        <v>22650</v>
      </c>
      <c r="N477" s="62">
        <f t="shared" si="378"/>
        <v>0</v>
      </c>
      <c r="O477" s="62">
        <f t="shared" si="378"/>
        <v>22650</v>
      </c>
      <c r="P477" s="62">
        <f t="shared" si="378"/>
        <v>0</v>
      </c>
      <c r="Q477" s="62">
        <f t="shared" si="378"/>
        <v>22650</v>
      </c>
      <c r="R477" s="62">
        <f t="shared" si="378"/>
        <v>0</v>
      </c>
      <c r="S477" s="62">
        <f t="shared" si="378"/>
        <v>22650</v>
      </c>
      <c r="T477" s="62">
        <f t="shared" si="378"/>
        <v>0</v>
      </c>
      <c r="U477" s="62">
        <f t="shared" si="378"/>
        <v>22650</v>
      </c>
      <c r="V477" s="62">
        <f t="shared" si="378"/>
        <v>0</v>
      </c>
      <c r="W477" s="62">
        <f t="shared" si="378"/>
        <v>22650</v>
      </c>
      <c r="X477" s="62">
        <f t="shared" si="378"/>
        <v>0</v>
      </c>
      <c r="Y477" s="62">
        <f t="shared" si="378"/>
        <v>22650</v>
      </c>
      <c r="Z477" s="62">
        <f t="shared" si="378"/>
        <v>0</v>
      </c>
      <c r="AA477" s="62">
        <f t="shared" si="378"/>
        <v>22650</v>
      </c>
      <c r="AB477" s="62">
        <f t="shared" si="378"/>
        <v>0</v>
      </c>
      <c r="AC477" s="62">
        <f t="shared" si="378"/>
        <v>22650</v>
      </c>
    </row>
    <row r="478" spans="1:35" s="25" customFormat="1" ht="60">
      <c r="A478" s="49"/>
      <c r="B478" s="63"/>
      <c r="C478" s="66">
        <v>2720</v>
      </c>
      <c r="D478" s="36" t="s">
        <v>460</v>
      </c>
      <c r="E478" s="62">
        <v>22650</v>
      </c>
      <c r="F478" s="62"/>
      <c r="G478" s="62">
        <f t="shared" si="350"/>
        <v>22650</v>
      </c>
      <c r="H478" s="62"/>
      <c r="I478" s="62">
        <f>SUM(G478:H478)</f>
        <v>22650</v>
      </c>
      <c r="J478" s="62"/>
      <c r="K478" s="62">
        <f>SUM(I478:J478)</f>
        <v>22650</v>
      </c>
      <c r="L478" s="62"/>
      <c r="M478" s="62">
        <f>SUM(K478:L478)</f>
        <v>22650</v>
      </c>
      <c r="N478" s="62"/>
      <c r="O478" s="62">
        <f>SUM(M478:N478)</f>
        <v>22650</v>
      </c>
      <c r="P478" s="62"/>
      <c r="Q478" s="62">
        <f>SUM(O478:P478)</f>
        <v>22650</v>
      </c>
      <c r="R478" s="62"/>
      <c r="S478" s="62">
        <f>SUM(Q478:R478)</f>
        <v>22650</v>
      </c>
      <c r="T478" s="62"/>
      <c r="U478" s="62">
        <f>SUM(S478:T478)</f>
        <v>22650</v>
      </c>
      <c r="V478" s="62"/>
      <c r="W478" s="62">
        <f>SUM(U478:V478)</f>
        <v>22650</v>
      </c>
      <c r="X478" s="62"/>
      <c r="Y478" s="62">
        <f>SUM(W478:X478)</f>
        <v>22650</v>
      </c>
      <c r="Z478" s="62"/>
      <c r="AA478" s="62">
        <f>SUM(Y478:Z478)</f>
        <v>22650</v>
      </c>
      <c r="AB478" s="62"/>
      <c r="AC478" s="62">
        <f>SUM(AA478:AB478)</f>
        <v>22650</v>
      </c>
      <c r="AH478" s="79"/>
      <c r="AI478" s="79"/>
    </row>
    <row r="479" spans="1:29" s="25" customFormat="1" ht="21" customHeight="1">
      <c r="A479" s="49"/>
      <c r="B479" s="63">
        <v>92195</v>
      </c>
      <c r="C479" s="66"/>
      <c r="D479" s="36" t="s">
        <v>6</v>
      </c>
      <c r="E479" s="62">
        <f aca="true" t="shared" si="379" ref="E479:AC479">SUM(E480)</f>
        <v>15000</v>
      </c>
      <c r="F479" s="62">
        <f t="shared" si="379"/>
        <v>0</v>
      </c>
      <c r="G479" s="62">
        <f t="shared" si="379"/>
        <v>15000</v>
      </c>
      <c r="H479" s="62">
        <f t="shared" si="379"/>
        <v>0</v>
      </c>
      <c r="I479" s="62">
        <f t="shared" si="379"/>
        <v>15000</v>
      </c>
      <c r="J479" s="62">
        <f t="shared" si="379"/>
        <v>0</v>
      </c>
      <c r="K479" s="62">
        <f t="shared" si="379"/>
        <v>15000</v>
      </c>
      <c r="L479" s="62">
        <f t="shared" si="379"/>
        <v>0</v>
      </c>
      <c r="M479" s="62">
        <f t="shared" si="379"/>
        <v>15000</v>
      </c>
      <c r="N479" s="62">
        <f t="shared" si="379"/>
        <v>0</v>
      </c>
      <c r="O479" s="62">
        <f t="shared" si="379"/>
        <v>15000</v>
      </c>
      <c r="P479" s="62">
        <f t="shared" si="379"/>
        <v>0</v>
      </c>
      <c r="Q479" s="62">
        <f t="shared" si="379"/>
        <v>15000</v>
      </c>
      <c r="R479" s="62">
        <f t="shared" si="379"/>
        <v>0</v>
      </c>
      <c r="S479" s="62">
        <f t="shared" si="379"/>
        <v>15000</v>
      </c>
      <c r="T479" s="62">
        <f t="shared" si="379"/>
        <v>0</v>
      </c>
      <c r="U479" s="62">
        <f t="shared" si="379"/>
        <v>15000</v>
      </c>
      <c r="V479" s="62">
        <f t="shared" si="379"/>
        <v>0</v>
      </c>
      <c r="W479" s="62">
        <f t="shared" si="379"/>
        <v>15000</v>
      </c>
      <c r="X479" s="62">
        <f t="shared" si="379"/>
        <v>0</v>
      </c>
      <c r="Y479" s="62">
        <f t="shared" si="379"/>
        <v>15000</v>
      </c>
      <c r="Z479" s="62">
        <f t="shared" si="379"/>
        <v>0</v>
      </c>
      <c r="AA479" s="62">
        <f t="shared" si="379"/>
        <v>15000</v>
      </c>
      <c r="AB479" s="62">
        <f t="shared" si="379"/>
        <v>0</v>
      </c>
      <c r="AC479" s="62">
        <f t="shared" si="379"/>
        <v>15000</v>
      </c>
    </row>
    <row r="480" spans="1:29" s="25" customFormat="1" ht="21" customHeight="1">
      <c r="A480" s="49"/>
      <c r="B480" s="63"/>
      <c r="C480" s="66">
        <v>4300</v>
      </c>
      <c r="D480" s="214" t="s">
        <v>75</v>
      </c>
      <c r="E480" s="62">
        <v>15000</v>
      </c>
      <c r="F480" s="62"/>
      <c r="G480" s="62">
        <f t="shared" si="350"/>
        <v>15000</v>
      </c>
      <c r="H480" s="62"/>
      <c r="I480" s="62">
        <f>SUM(G480:H480)</f>
        <v>15000</v>
      </c>
      <c r="J480" s="62"/>
      <c r="K480" s="62">
        <f>SUM(I480:J480)</f>
        <v>15000</v>
      </c>
      <c r="L480" s="62"/>
      <c r="M480" s="62">
        <f>SUM(K480:L480)</f>
        <v>15000</v>
      </c>
      <c r="N480" s="62"/>
      <c r="O480" s="62">
        <f>SUM(M480:N480)</f>
        <v>15000</v>
      </c>
      <c r="P480" s="62"/>
      <c r="Q480" s="62">
        <f>SUM(O480:P480)</f>
        <v>15000</v>
      </c>
      <c r="R480" s="62"/>
      <c r="S480" s="62">
        <f>SUM(Q480:R480)</f>
        <v>15000</v>
      </c>
      <c r="T480" s="62"/>
      <c r="U480" s="62">
        <f>SUM(S480:T480)</f>
        <v>15000</v>
      </c>
      <c r="V480" s="62"/>
      <c r="W480" s="62">
        <f>SUM(U480:V480)</f>
        <v>15000</v>
      </c>
      <c r="X480" s="62"/>
      <c r="Y480" s="62">
        <f>SUM(W480:X480)</f>
        <v>15000</v>
      </c>
      <c r="Z480" s="62"/>
      <c r="AA480" s="62">
        <f>SUM(Y480:Z480)</f>
        <v>15000</v>
      </c>
      <c r="AB480" s="62"/>
      <c r="AC480" s="62">
        <f>SUM(AA480:AB480)</f>
        <v>15000</v>
      </c>
    </row>
    <row r="481" spans="1:29" s="6" customFormat="1" ht="21" customHeight="1">
      <c r="A481" s="32" t="s">
        <v>115</v>
      </c>
      <c r="B481" s="33"/>
      <c r="C481" s="34"/>
      <c r="D481" s="35" t="s">
        <v>64</v>
      </c>
      <c r="E481" s="200">
        <f aca="true" t="shared" si="380" ref="E481:W481">SUM(E489,E485,E482)</f>
        <v>1388290</v>
      </c>
      <c r="F481" s="200">
        <f t="shared" si="380"/>
        <v>170000</v>
      </c>
      <c r="G481" s="200">
        <f t="shared" si="380"/>
        <v>1558290</v>
      </c>
      <c r="H481" s="200">
        <f t="shared" si="380"/>
        <v>447000</v>
      </c>
      <c r="I481" s="200">
        <f t="shared" si="380"/>
        <v>2005290</v>
      </c>
      <c r="J481" s="200">
        <f t="shared" si="380"/>
        <v>302800</v>
      </c>
      <c r="K481" s="200">
        <f t="shared" si="380"/>
        <v>2308090</v>
      </c>
      <c r="L481" s="200">
        <f t="shared" si="380"/>
        <v>0</v>
      </c>
      <c r="M481" s="200">
        <f t="shared" si="380"/>
        <v>2308090</v>
      </c>
      <c r="N481" s="200">
        <f t="shared" si="380"/>
        <v>0</v>
      </c>
      <c r="O481" s="200">
        <f t="shared" si="380"/>
        <v>2308090</v>
      </c>
      <c r="P481" s="200">
        <f t="shared" si="380"/>
        <v>0</v>
      </c>
      <c r="Q481" s="200">
        <f t="shared" si="380"/>
        <v>2308090</v>
      </c>
      <c r="R481" s="200">
        <f t="shared" si="380"/>
        <v>25000</v>
      </c>
      <c r="S481" s="200">
        <f t="shared" si="380"/>
        <v>2333090</v>
      </c>
      <c r="T481" s="200">
        <f t="shared" si="380"/>
        <v>0</v>
      </c>
      <c r="U481" s="200">
        <f t="shared" si="380"/>
        <v>2333090</v>
      </c>
      <c r="V481" s="200">
        <f t="shared" si="380"/>
        <v>0</v>
      </c>
      <c r="W481" s="200">
        <f t="shared" si="380"/>
        <v>2333090</v>
      </c>
      <c r="X481" s="200">
        <f>SUM(X489,X485,X482)</f>
        <v>0</v>
      </c>
      <c r="Y481" s="200">
        <f>SUM(Y489,Y485,Y482,)</f>
        <v>2333090</v>
      </c>
      <c r="Z481" s="200">
        <f>SUM(Z489,Z485,Z482,)</f>
        <v>24080</v>
      </c>
      <c r="AA481" s="200">
        <f>SUM(AA489,AA485,AA482,)</f>
        <v>2357170</v>
      </c>
      <c r="AB481" s="200">
        <f>SUM(AB489,AB485,AB482,)</f>
        <v>0</v>
      </c>
      <c r="AC481" s="200">
        <f>SUM(AC489,AC485,AC482,)</f>
        <v>2357170</v>
      </c>
    </row>
    <row r="482" spans="1:29" s="25" customFormat="1" ht="21" customHeight="1">
      <c r="A482" s="49"/>
      <c r="B482" s="206">
        <v>92601</v>
      </c>
      <c r="C482" s="66"/>
      <c r="D482" s="36" t="s">
        <v>224</v>
      </c>
      <c r="E482" s="62">
        <f aca="true" t="shared" si="381" ref="E482:W482">SUM(E483,E484)</f>
        <v>50000</v>
      </c>
      <c r="F482" s="62">
        <f t="shared" si="381"/>
        <v>820000</v>
      </c>
      <c r="G482" s="62">
        <f t="shared" si="381"/>
        <v>870000</v>
      </c>
      <c r="H482" s="62">
        <f t="shared" si="381"/>
        <v>0</v>
      </c>
      <c r="I482" s="62">
        <f t="shared" si="381"/>
        <v>870000</v>
      </c>
      <c r="J482" s="62">
        <f t="shared" si="381"/>
        <v>0</v>
      </c>
      <c r="K482" s="62">
        <f t="shared" si="381"/>
        <v>870000</v>
      </c>
      <c r="L482" s="62">
        <f t="shared" si="381"/>
        <v>0</v>
      </c>
      <c r="M482" s="62">
        <f t="shared" si="381"/>
        <v>870000</v>
      </c>
      <c r="N482" s="62">
        <f t="shared" si="381"/>
        <v>0</v>
      </c>
      <c r="O482" s="62">
        <f t="shared" si="381"/>
        <v>870000</v>
      </c>
      <c r="P482" s="62">
        <f t="shared" si="381"/>
        <v>0</v>
      </c>
      <c r="Q482" s="62">
        <f t="shared" si="381"/>
        <v>870000</v>
      </c>
      <c r="R482" s="62">
        <f t="shared" si="381"/>
        <v>25000</v>
      </c>
      <c r="S482" s="62">
        <f t="shared" si="381"/>
        <v>895000</v>
      </c>
      <c r="T482" s="62">
        <f t="shared" si="381"/>
        <v>0</v>
      </c>
      <c r="U482" s="62">
        <f t="shared" si="381"/>
        <v>895000</v>
      </c>
      <c r="V482" s="62">
        <f t="shared" si="381"/>
        <v>0</v>
      </c>
      <c r="W482" s="62">
        <f t="shared" si="381"/>
        <v>895000</v>
      </c>
      <c r="X482" s="62">
        <f aca="true" t="shared" si="382" ref="X482:AC482">SUM(X483,X484)</f>
        <v>0</v>
      </c>
      <c r="Y482" s="62">
        <f t="shared" si="382"/>
        <v>895000</v>
      </c>
      <c r="Z482" s="62">
        <f t="shared" si="382"/>
        <v>25000</v>
      </c>
      <c r="AA482" s="62">
        <f t="shared" si="382"/>
        <v>920000</v>
      </c>
      <c r="AB482" s="62">
        <f t="shared" si="382"/>
        <v>0</v>
      </c>
      <c r="AC482" s="62">
        <f t="shared" si="382"/>
        <v>920000</v>
      </c>
    </row>
    <row r="483" spans="1:29" s="25" customFormat="1" ht="21" customHeight="1">
      <c r="A483" s="49"/>
      <c r="B483" s="206"/>
      <c r="C483" s="66">
        <v>4270</v>
      </c>
      <c r="D483" s="36" t="s">
        <v>74</v>
      </c>
      <c r="E483" s="62">
        <v>50000</v>
      </c>
      <c r="F483" s="62">
        <v>20000</v>
      </c>
      <c r="G483" s="62">
        <f t="shared" si="350"/>
        <v>70000</v>
      </c>
      <c r="H483" s="62"/>
      <c r="I483" s="62">
        <f>SUM(G483:H483)</f>
        <v>70000</v>
      </c>
      <c r="J483" s="62"/>
      <c r="K483" s="62">
        <f>SUM(I483:J483)</f>
        <v>70000</v>
      </c>
      <c r="L483" s="62"/>
      <c r="M483" s="62">
        <f>SUM(K483:L483)</f>
        <v>70000</v>
      </c>
      <c r="N483" s="62"/>
      <c r="O483" s="62">
        <f>SUM(M483:N483)</f>
        <v>70000</v>
      </c>
      <c r="P483" s="62"/>
      <c r="Q483" s="62">
        <f>SUM(O483:P483)</f>
        <v>70000</v>
      </c>
      <c r="R483" s="62"/>
      <c r="S483" s="62">
        <f>SUM(Q483:R483)</f>
        <v>70000</v>
      </c>
      <c r="T483" s="62"/>
      <c r="U483" s="62">
        <f>SUM(S483:T483)</f>
        <v>70000</v>
      </c>
      <c r="V483" s="62"/>
      <c r="W483" s="62">
        <f>SUM(U483:V483)</f>
        <v>70000</v>
      </c>
      <c r="X483" s="62"/>
      <c r="Y483" s="62">
        <f>SUM(W483:X483)</f>
        <v>70000</v>
      </c>
      <c r="Z483" s="62"/>
      <c r="AA483" s="62">
        <f>SUM(Y483:Z483)</f>
        <v>70000</v>
      </c>
      <c r="AB483" s="62"/>
      <c r="AC483" s="62">
        <f>SUM(AA483:AB483)</f>
        <v>70000</v>
      </c>
    </row>
    <row r="484" spans="1:33" s="25" customFormat="1" ht="24">
      <c r="A484" s="49"/>
      <c r="B484" s="206"/>
      <c r="C484" s="66">
        <v>6050</v>
      </c>
      <c r="D484" s="36" t="s">
        <v>69</v>
      </c>
      <c r="E484" s="62">
        <v>0</v>
      </c>
      <c r="F484" s="62">
        <f>450000+350000</f>
        <v>800000</v>
      </c>
      <c r="G484" s="62">
        <f>SUM(E484:F484)</f>
        <v>800000</v>
      </c>
      <c r="H484" s="62"/>
      <c r="I484" s="62">
        <f>SUM(G484:H484)</f>
        <v>800000</v>
      </c>
      <c r="J484" s="62"/>
      <c r="K484" s="62">
        <f>SUM(I484:J484)</f>
        <v>800000</v>
      </c>
      <c r="L484" s="62"/>
      <c r="M484" s="62">
        <f>SUM(K484:L484)</f>
        <v>800000</v>
      </c>
      <c r="N484" s="62"/>
      <c r="O484" s="62">
        <f>SUM(M484:N484)</f>
        <v>800000</v>
      </c>
      <c r="P484" s="62"/>
      <c r="Q484" s="62">
        <f>SUM(O484:P484)</f>
        <v>800000</v>
      </c>
      <c r="R484" s="62">
        <v>25000</v>
      </c>
      <c r="S484" s="62">
        <f>SUM(Q484:R484)</f>
        <v>825000</v>
      </c>
      <c r="T484" s="62"/>
      <c r="U484" s="62">
        <f>SUM(S484:T484)</f>
        <v>825000</v>
      </c>
      <c r="V484" s="62"/>
      <c r="W484" s="62">
        <f>SUM(U484:V484)</f>
        <v>825000</v>
      </c>
      <c r="X484" s="62"/>
      <c r="Y484" s="62">
        <f>SUM(W484:X484)</f>
        <v>825000</v>
      </c>
      <c r="Z484" s="62">
        <v>25000</v>
      </c>
      <c r="AA484" s="62">
        <f>SUM(Y484:Z484)</f>
        <v>850000</v>
      </c>
      <c r="AB484" s="62"/>
      <c r="AC484" s="62">
        <f>SUM(AA484:AB484)</f>
        <v>850000</v>
      </c>
      <c r="AF484" s="79"/>
      <c r="AG484" s="79"/>
    </row>
    <row r="485" spans="1:29" s="25" customFormat="1" ht="23.25" customHeight="1">
      <c r="A485" s="49"/>
      <c r="B485" s="206">
        <v>92604</v>
      </c>
      <c r="C485" s="66"/>
      <c r="D485" s="36" t="s">
        <v>164</v>
      </c>
      <c r="E485" s="62">
        <f aca="true" t="shared" si="383" ref="E485:W485">SUM(E486:E488)</f>
        <v>910000</v>
      </c>
      <c r="F485" s="62">
        <f t="shared" si="383"/>
        <v>-350000</v>
      </c>
      <c r="G485" s="62">
        <f t="shared" si="383"/>
        <v>560000</v>
      </c>
      <c r="H485" s="62">
        <f t="shared" si="383"/>
        <v>0</v>
      </c>
      <c r="I485" s="62">
        <f t="shared" si="383"/>
        <v>560000</v>
      </c>
      <c r="J485" s="62">
        <f t="shared" si="383"/>
        <v>300000</v>
      </c>
      <c r="K485" s="62">
        <f t="shared" si="383"/>
        <v>860000</v>
      </c>
      <c r="L485" s="62">
        <f t="shared" si="383"/>
        <v>0</v>
      </c>
      <c r="M485" s="62">
        <f t="shared" si="383"/>
        <v>860000</v>
      </c>
      <c r="N485" s="62">
        <f t="shared" si="383"/>
        <v>0</v>
      </c>
      <c r="O485" s="62">
        <f t="shared" si="383"/>
        <v>860000</v>
      </c>
      <c r="P485" s="62">
        <f t="shared" si="383"/>
        <v>0</v>
      </c>
      <c r="Q485" s="62">
        <f t="shared" si="383"/>
        <v>860000</v>
      </c>
      <c r="R485" s="62">
        <f t="shared" si="383"/>
        <v>0</v>
      </c>
      <c r="S485" s="62">
        <f t="shared" si="383"/>
        <v>860000</v>
      </c>
      <c r="T485" s="62">
        <f t="shared" si="383"/>
        <v>0</v>
      </c>
      <c r="U485" s="62">
        <f t="shared" si="383"/>
        <v>860000</v>
      </c>
      <c r="V485" s="62">
        <f t="shared" si="383"/>
        <v>0</v>
      </c>
      <c r="W485" s="62">
        <f t="shared" si="383"/>
        <v>860000</v>
      </c>
      <c r="X485" s="62">
        <f aca="true" t="shared" si="384" ref="X485:AC485">SUM(X486:X488)</f>
        <v>0</v>
      </c>
      <c r="Y485" s="62">
        <f t="shared" si="384"/>
        <v>860000</v>
      </c>
      <c r="Z485" s="62">
        <f t="shared" si="384"/>
        <v>0</v>
      </c>
      <c r="AA485" s="62">
        <f t="shared" si="384"/>
        <v>860000</v>
      </c>
      <c r="AB485" s="62">
        <f t="shared" si="384"/>
        <v>0</v>
      </c>
      <c r="AC485" s="62">
        <f t="shared" si="384"/>
        <v>860000</v>
      </c>
    </row>
    <row r="486" spans="1:29" s="25" customFormat="1" ht="26.25" customHeight="1">
      <c r="A486" s="49"/>
      <c r="B486" s="206"/>
      <c r="C486" s="66">
        <v>4270</v>
      </c>
      <c r="D486" s="36" t="s">
        <v>74</v>
      </c>
      <c r="E486" s="62">
        <v>10000</v>
      </c>
      <c r="F486" s="62"/>
      <c r="G486" s="62">
        <f t="shared" si="350"/>
        <v>10000</v>
      </c>
      <c r="H486" s="62"/>
      <c r="I486" s="62">
        <f>SUM(G486:H486)</f>
        <v>10000</v>
      </c>
      <c r="J486" s="62"/>
      <c r="K486" s="62">
        <f>SUM(I486:J486)</f>
        <v>10000</v>
      </c>
      <c r="L486" s="62"/>
      <c r="M486" s="62">
        <f>SUM(K486:L486)</f>
        <v>10000</v>
      </c>
      <c r="N486" s="62"/>
      <c r="O486" s="62">
        <f>SUM(M486:N486)</f>
        <v>10000</v>
      </c>
      <c r="P486" s="62"/>
      <c r="Q486" s="62">
        <f>SUM(O486:P486)</f>
        <v>10000</v>
      </c>
      <c r="R486" s="62"/>
      <c r="S486" s="62">
        <f>SUM(Q486:R486)</f>
        <v>10000</v>
      </c>
      <c r="T486" s="62"/>
      <c r="U486" s="62">
        <f>SUM(S486:T486)</f>
        <v>10000</v>
      </c>
      <c r="V486" s="62"/>
      <c r="W486" s="62">
        <f>SUM(U486:V486)</f>
        <v>10000</v>
      </c>
      <c r="X486" s="62"/>
      <c r="Y486" s="62">
        <f>SUM(W486:X486)</f>
        <v>10000</v>
      </c>
      <c r="Z486" s="62"/>
      <c r="AA486" s="62">
        <f>SUM(Y486:Z486)</f>
        <v>10000</v>
      </c>
      <c r="AB486" s="62"/>
      <c r="AC486" s="62">
        <f>SUM(AA486:AB486)</f>
        <v>10000</v>
      </c>
    </row>
    <row r="487" spans="1:29" s="25" customFormat="1" ht="20.25" customHeight="1">
      <c r="A487" s="49"/>
      <c r="B487" s="206"/>
      <c r="C487" s="66">
        <v>4300</v>
      </c>
      <c r="D487" s="214" t="s">
        <v>75</v>
      </c>
      <c r="E487" s="62">
        <f>20000+80000</f>
        <v>100000</v>
      </c>
      <c r="F487" s="62"/>
      <c r="G487" s="62">
        <f t="shared" si="350"/>
        <v>100000</v>
      </c>
      <c r="H487" s="62"/>
      <c r="I487" s="62">
        <f>SUM(G487:H487)</f>
        <v>100000</v>
      </c>
      <c r="J487" s="62"/>
      <c r="K487" s="62">
        <f>SUM(I487:J487)</f>
        <v>100000</v>
      </c>
      <c r="L487" s="62"/>
      <c r="M487" s="62">
        <f>SUM(K487:L487)</f>
        <v>100000</v>
      </c>
      <c r="N487" s="62"/>
      <c r="O487" s="62">
        <f>SUM(M487:N487)</f>
        <v>100000</v>
      </c>
      <c r="P487" s="62"/>
      <c r="Q487" s="62">
        <f>SUM(O487:P487)</f>
        <v>100000</v>
      </c>
      <c r="R487" s="62"/>
      <c r="S487" s="62">
        <f>SUM(Q487:R487)</f>
        <v>100000</v>
      </c>
      <c r="T487" s="62"/>
      <c r="U487" s="62">
        <f>SUM(S487:T487)</f>
        <v>100000</v>
      </c>
      <c r="V487" s="62"/>
      <c r="W487" s="62">
        <f>SUM(U487:V487)</f>
        <v>100000</v>
      </c>
      <c r="X487" s="62"/>
      <c r="Y487" s="62">
        <f>SUM(W487:X487)</f>
        <v>100000</v>
      </c>
      <c r="Z487" s="62"/>
      <c r="AA487" s="62">
        <f>SUM(Y487:Z487)</f>
        <v>100000</v>
      </c>
      <c r="AB487" s="62"/>
      <c r="AC487" s="62">
        <f>SUM(AA487:AB487)</f>
        <v>100000</v>
      </c>
    </row>
    <row r="488" spans="1:33" s="25" customFormat="1" ht="60">
      <c r="A488" s="49"/>
      <c r="B488" s="206"/>
      <c r="C488" s="66">
        <v>6010</v>
      </c>
      <c r="D488" s="36" t="s">
        <v>242</v>
      </c>
      <c r="E488" s="62">
        <v>800000</v>
      </c>
      <c r="F488" s="62">
        <v>-350000</v>
      </c>
      <c r="G488" s="62">
        <f t="shared" si="350"/>
        <v>450000</v>
      </c>
      <c r="H488" s="62"/>
      <c r="I488" s="62">
        <f>SUM(G488:H488)</f>
        <v>450000</v>
      </c>
      <c r="J488" s="62">
        <v>300000</v>
      </c>
      <c r="K488" s="62">
        <f>SUM(I488:J488)</f>
        <v>750000</v>
      </c>
      <c r="L488" s="62"/>
      <c r="M488" s="62">
        <f>SUM(K488:L488)</f>
        <v>750000</v>
      </c>
      <c r="N488" s="62"/>
      <c r="O488" s="62">
        <f>SUM(M488:N488)</f>
        <v>750000</v>
      </c>
      <c r="P488" s="62"/>
      <c r="Q488" s="62">
        <f>SUM(O488:P488)</f>
        <v>750000</v>
      </c>
      <c r="R488" s="62"/>
      <c r="S488" s="62">
        <f>SUM(Q488:R488)</f>
        <v>750000</v>
      </c>
      <c r="T488" s="62"/>
      <c r="U488" s="62">
        <f>SUM(S488:T488)</f>
        <v>750000</v>
      </c>
      <c r="V488" s="62"/>
      <c r="W488" s="62">
        <f>SUM(U488:V488)</f>
        <v>750000</v>
      </c>
      <c r="X488" s="62"/>
      <c r="Y488" s="62">
        <f>SUM(W488:X488)</f>
        <v>750000</v>
      </c>
      <c r="Z488" s="62"/>
      <c r="AA488" s="62">
        <f>SUM(Y488:Z488)</f>
        <v>750000</v>
      </c>
      <c r="AB488" s="62"/>
      <c r="AC488" s="62">
        <f>SUM(AA488:AB488)</f>
        <v>750000</v>
      </c>
      <c r="AF488" s="79"/>
      <c r="AG488" s="79"/>
    </row>
    <row r="489" spans="1:29" s="25" customFormat="1" ht="24">
      <c r="A489" s="66"/>
      <c r="B489" s="215">
        <v>92605</v>
      </c>
      <c r="C489" s="66"/>
      <c r="D489" s="36" t="s">
        <v>65</v>
      </c>
      <c r="E489" s="62">
        <f aca="true" t="shared" si="385" ref="E489:W489">SUM(E490:E498)</f>
        <v>428290</v>
      </c>
      <c r="F489" s="62">
        <f t="shared" si="385"/>
        <v>-300000</v>
      </c>
      <c r="G489" s="62">
        <f t="shared" si="385"/>
        <v>128290</v>
      </c>
      <c r="H489" s="62">
        <f t="shared" si="385"/>
        <v>447000</v>
      </c>
      <c r="I489" s="62">
        <f t="shared" si="385"/>
        <v>575290</v>
      </c>
      <c r="J489" s="62">
        <f t="shared" si="385"/>
        <v>2800</v>
      </c>
      <c r="K489" s="62">
        <f t="shared" si="385"/>
        <v>578090</v>
      </c>
      <c r="L489" s="62">
        <f t="shared" si="385"/>
        <v>0</v>
      </c>
      <c r="M489" s="62">
        <f t="shared" si="385"/>
        <v>578090</v>
      </c>
      <c r="N489" s="62">
        <f t="shared" si="385"/>
        <v>0</v>
      </c>
      <c r="O489" s="62">
        <f t="shared" si="385"/>
        <v>578090</v>
      </c>
      <c r="P489" s="62">
        <f t="shared" si="385"/>
        <v>0</v>
      </c>
      <c r="Q489" s="62">
        <f t="shared" si="385"/>
        <v>578090</v>
      </c>
      <c r="R489" s="62">
        <f t="shared" si="385"/>
        <v>0</v>
      </c>
      <c r="S489" s="62">
        <f t="shared" si="385"/>
        <v>578090</v>
      </c>
      <c r="T489" s="62">
        <f t="shared" si="385"/>
        <v>0</v>
      </c>
      <c r="U489" s="62">
        <f t="shared" si="385"/>
        <v>578090</v>
      </c>
      <c r="V489" s="62">
        <f t="shared" si="385"/>
        <v>0</v>
      </c>
      <c r="W489" s="62">
        <f t="shared" si="385"/>
        <v>578090</v>
      </c>
      <c r="X489" s="62">
        <f aca="true" t="shared" si="386" ref="X489:AC489">SUM(X490:X498)</f>
        <v>0</v>
      </c>
      <c r="Y489" s="62">
        <f t="shared" si="386"/>
        <v>578090</v>
      </c>
      <c r="Z489" s="62">
        <f t="shared" si="386"/>
        <v>-920</v>
      </c>
      <c r="AA489" s="62">
        <f t="shared" si="386"/>
        <v>577170</v>
      </c>
      <c r="AB489" s="62">
        <f t="shared" si="386"/>
        <v>0</v>
      </c>
      <c r="AC489" s="62">
        <f t="shared" si="386"/>
        <v>577170</v>
      </c>
    </row>
    <row r="490" spans="1:35" s="25" customFormat="1" ht="36">
      <c r="A490" s="66"/>
      <c r="B490" s="215"/>
      <c r="C490" s="66">
        <v>2820</v>
      </c>
      <c r="D490" s="36" t="s">
        <v>236</v>
      </c>
      <c r="E490" s="62">
        <v>300000</v>
      </c>
      <c r="F490" s="62">
        <v>-300000</v>
      </c>
      <c r="G490" s="62">
        <f t="shared" si="350"/>
        <v>0</v>
      </c>
      <c r="H490" s="62">
        <v>447000</v>
      </c>
      <c r="I490" s="62">
        <f aca="true" t="shared" si="387" ref="I490:I498">SUM(G490:H490)</f>
        <v>447000</v>
      </c>
      <c r="J490" s="62"/>
      <c r="K490" s="62">
        <f aca="true" t="shared" si="388" ref="K490:K498">SUM(I490:J490)</f>
        <v>447000</v>
      </c>
      <c r="L490" s="62"/>
      <c r="M490" s="62">
        <f aca="true" t="shared" si="389" ref="M490:M498">SUM(K490:L490)</f>
        <v>447000</v>
      </c>
      <c r="N490" s="62"/>
      <c r="O490" s="62">
        <f aca="true" t="shared" si="390" ref="O490:O498">SUM(M490:N490)</f>
        <v>447000</v>
      </c>
      <c r="P490" s="62"/>
      <c r="Q490" s="62">
        <f aca="true" t="shared" si="391" ref="Q490:Q498">SUM(O490:P490)</f>
        <v>447000</v>
      </c>
      <c r="R490" s="62"/>
      <c r="S490" s="62">
        <f aca="true" t="shared" si="392" ref="S490:S498">SUM(Q490:R490)</f>
        <v>447000</v>
      </c>
      <c r="T490" s="62"/>
      <c r="U490" s="62">
        <f aca="true" t="shared" si="393" ref="U490:U498">SUM(S490:T490)</f>
        <v>447000</v>
      </c>
      <c r="V490" s="62"/>
      <c r="W490" s="62">
        <f aca="true" t="shared" si="394" ref="W490:W498">SUM(U490:V490)</f>
        <v>447000</v>
      </c>
      <c r="X490" s="62"/>
      <c r="Y490" s="62">
        <f aca="true" t="shared" si="395" ref="Y490:Y498">SUM(W490:X490)</f>
        <v>447000</v>
      </c>
      <c r="Z490" s="62"/>
      <c r="AA490" s="62">
        <f aca="true" t="shared" si="396" ref="AA490:AA498">SUM(Y490:Z490)</f>
        <v>447000</v>
      </c>
      <c r="AB490" s="62"/>
      <c r="AC490" s="62">
        <f aca="true" t="shared" si="397" ref="AC490:AC498">SUM(AA490:AB490)</f>
        <v>447000</v>
      </c>
      <c r="AH490" s="79"/>
      <c r="AI490" s="79"/>
    </row>
    <row r="491" spans="1:29" s="25" customFormat="1" ht="24">
      <c r="A491" s="66"/>
      <c r="B491" s="215"/>
      <c r="C491" s="66">
        <v>3020</v>
      </c>
      <c r="D491" s="36" t="s">
        <v>430</v>
      </c>
      <c r="E491" s="62"/>
      <c r="F491" s="62"/>
      <c r="G491" s="62"/>
      <c r="H491" s="62"/>
      <c r="I491" s="62"/>
      <c r="J491" s="62"/>
      <c r="K491" s="62"/>
      <c r="L491" s="62"/>
      <c r="M491" s="62">
        <v>0</v>
      </c>
      <c r="N491" s="62">
        <v>1500</v>
      </c>
      <c r="O491" s="62">
        <f t="shared" si="390"/>
        <v>1500</v>
      </c>
      <c r="P491" s="62"/>
      <c r="Q491" s="62">
        <f t="shared" si="391"/>
        <v>1500</v>
      </c>
      <c r="R491" s="62"/>
      <c r="S491" s="62">
        <f t="shared" si="392"/>
        <v>1500</v>
      </c>
      <c r="T491" s="62"/>
      <c r="U491" s="62">
        <f t="shared" si="393"/>
        <v>1500</v>
      </c>
      <c r="V491" s="62">
        <v>600</v>
      </c>
      <c r="W491" s="62">
        <f t="shared" si="394"/>
        <v>2100</v>
      </c>
      <c r="X491" s="62"/>
      <c r="Y491" s="62">
        <f t="shared" si="395"/>
        <v>2100</v>
      </c>
      <c r="Z491" s="62"/>
      <c r="AA491" s="62">
        <f t="shared" si="396"/>
        <v>2100</v>
      </c>
      <c r="AB491" s="62"/>
      <c r="AC491" s="62">
        <f t="shared" si="397"/>
        <v>2100</v>
      </c>
    </row>
    <row r="492" spans="1:29" s="25" customFormat="1" ht="18" customHeight="1">
      <c r="A492" s="66"/>
      <c r="B492" s="215"/>
      <c r="C492" s="66">
        <v>3250</v>
      </c>
      <c r="D492" s="36" t="s">
        <v>461</v>
      </c>
      <c r="E492" s="62">
        <v>50000</v>
      </c>
      <c r="F492" s="62"/>
      <c r="G492" s="62">
        <f t="shared" si="350"/>
        <v>50000</v>
      </c>
      <c r="H492" s="62"/>
      <c r="I492" s="62">
        <f t="shared" si="387"/>
        <v>50000</v>
      </c>
      <c r="J492" s="62"/>
      <c r="K492" s="62">
        <f t="shared" si="388"/>
        <v>50000</v>
      </c>
      <c r="L492" s="62"/>
      <c r="M492" s="62">
        <f t="shared" si="389"/>
        <v>50000</v>
      </c>
      <c r="N492" s="62"/>
      <c r="O492" s="62">
        <f t="shared" si="390"/>
        <v>50000</v>
      </c>
      <c r="P492" s="62"/>
      <c r="Q492" s="62">
        <f t="shared" si="391"/>
        <v>50000</v>
      </c>
      <c r="R492" s="62"/>
      <c r="S492" s="62">
        <f t="shared" si="392"/>
        <v>50000</v>
      </c>
      <c r="T492" s="62"/>
      <c r="U492" s="62">
        <f t="shared" si="393"/>
        <v>50000</v>
      </c>
      <c r="V492" s="62"/>
      <c r="W492" s="62">
        <f t="shared" si="394"/>
        <v>50000</v>
      </c>
      <c r="X492" s="62"/>
      <c r="Y492" s="62">
        <f t="shared" si="395"/>
        <v>50000</v>
      </c>
      <c r="Z492" s="62"/>
      <c r="AA492" s="62">
        <f t="shared" si="396"/>
        <v>50000</v>
      </c>
      <c r="AB492" s="62"/>
      <c r="AC492" s="62">
        <f t="shared" si="397"/>
        <v>50000</v>
      </c>
    </row>
    <row r="493" spans="1:31" s="25" customFormat="1" ht="19.5" customHeight="1">
      <c r="A493" s="66"/>
      <c r="B493" s="215"/>
      <c r="C493" s="66">
        <v>4110</v>
      </c>
      <c r="D493" s="36" t="s">
        <v>81</v>
      </c>
      <c r="E493" s="62">
        <v>1000</v>
      </c>
      <c r="F493" s="62"/>
      <c r="G493" s="62">
        <f t="shared" si="350"/>
        <v>1000</v>
      </c>
      <c r="H493" s="62"/>
      <c r="I493" s="62">
        <f t="shared" si="387"/>
        <v>1000</v>
      </c>
      <c r="J493" s="62"/>
      <c r="K493" s="62">
        <f t="shared" si="388"/>
        <v>1000</v>
      </c>
      <c r="L493" s="62"/>
      <c r="M493" s="62">
        <f t="shared" si="389"/>
        <v>1000</v>
      </c>
      <c r="N493" s="62"/>
      <c r="O493" s="62">
        <f t="shared" si="390"/>
        <v>1000</v>
      </c>
      <c r="P493" s="62"/>
      <c r="Q493" s="62">
        <f t="shared" si="391"/>
        <v>1000</v>
      </c>
      <c r="R493" s="62"/>
      <c r="S493" s="62">
        <f t="shared" si="392"/>
        <v>1000</v>
      </c>
      <c r="T493" s="62"/>
      <c r="U493" s="62">
        <f t="shared" si="393"/>
        <v>1000</v>
      </c>
      <c r="V493" s="62"/>
      <c r="W493" s="62">
        <f t="shared" si="394"/>
        <v>1000</v>
      </c>
      <c r="X493" s="62"/>
      <c r="Y493" s="62">
        <f t="shared" si="395"/>
        <v>1000</v>
      </c>
      <c r="Z493" s="62"/>
      <c r="AA493" s="62">
        <f t="shared" si="396"/>
        <v>1000</v>
      </c>
      <c r="AB493" s="62"/>
      <c r="AC493" s="62">
        <f t="shared" si="397"/>
        <v>1000</v>
      </c>
      <c r="AD493" s="79"/>
      <c r="AE493" s="79"/>
    </row>
    <row r="494" spans="1:31" s="25" customFormat="1" ht="17.25" customHeight="1">
      <c r="A494" s="66"/>
      <c r="B494" s="215"/>
      <c r="C494" s="66">
        <v>4120</v>
      </c>
      <c r="D494" s="36" t="s">
        <v>82</v>
      </c>
      <c r="E494" s="62">
        <v>100</v>
      </c>
      <c r="F494" s="62"/>
      <c r="G494" s="62">
        <f t="shared" si="350"/>
        <v>100</v>
      </c>
      <c r="H494" s="62"/>
      <c r="I494" s="62">
        <f t="shared" si="387"/>
        <v>100</v>
      </c>
      <c r="J494" s="62"/>
      <c r="K494" s="62">
        <f t="shared" si="388"/>
        <v>100</v>
      </c>
      <c r="L494" s="62"/>
      <c r="M494" s="62">
        <f t="shared" si="389"/>
        <v>100</v>
      </c>
      <c r="N494" s="62"/>
      <c r="O494" s="62">
        <f t="shared" si="390"/>
        <v>100</v>
      </c>
      <c r="P494" s="62"/>
      <c r="Q494" s="62">
        <f t="shared" si="391"/>
        <v>100</v>
      </c>
      <c r="R494" s="62"/>
      <c r="S494" s="62">
        <f t="shared" si="392"/>
        <v>100</v>
      </c>
      <c r="T494" s="62"/>
      <c r="U494" s="62">
        <f t="shared" si="393"/>
        <v>100</v>
      </c>
      <c r="V494" s="62"/>
      <c r="W494" s="62">
        <f t="shared" si="394"/>
        <v>100</v>
      </c>
      <c r="X494" s="62"/>
      <c r="Y494" s="62">
        <f t="shared" si="395"/>
        <v>100</v>
      </c>
      <c r="Z494" s="62"/>
      <c r="AA494" s="62">
        <f t="shared" si="396"/>
        <v>100</v>
      </c>
      <c r="AB494" s="62"/>
      <c r="AC494" s="62">
        <f t="shared" si="397"/>
        <v>100</v>
      </c>
      <c r="AD494" s="79"/>
      <c r="AE494" s="79"/>
    </row>
    <row r="495" spans="1:31" s="25" customFormat="1" ht="21" customHeight="1">
      <c r="A495" s="66"/>
      <c r="B495" s="215"/>
      <c r="C495" s="66">
        <v>4170</v>
      </c>
      <c r="D495" s="36" t="s">
        <v>462</v>
      </c>
      <c r="E495" s="62">
        <f>35000+5000-1000-100</f>
        <v>38900</v>
      </c>
      <c r="F495" s="62"/>
      <c r="G495" s="62">
        <f t="shared" si="350"/>
        <v>38900</v>
      </c>
      <c r="H495" s="62"/>
      <c r="I495" s="62">
        <f t="shared" si="387"/>
        <v>38900</v>
      </c>
      <c r="J495" s="62"/>
      <c r="K495" s="62">
        <f t="shared" si="388"/>
        <v>38900</v>
      </c>
      <c r="L495" s="62"/>
      <c r="M495" s="62">
        <f t="shared" si="389"/>
        <v>38900</v>
      </c>
      <c r="N495" s="62"/>
      <c r="O495" s="62">
        <f t="shared" si="390"/>
        <v>38900</v>
      </c>
      <c r="P495" s="62"/>
      <c r="Q495" s="62">
        <f t="shared" si="391"/>
        <v>38900</v>
      </c>
      <c r="R495" s="62"/>
      <c r="S495" s="62">
        <f t="shared" si="392"/>
        <v>38900</v>
      </c>
      <c r="T495" s="62"/>
      <c r="U495" s="62">
        <f t="shared" si="393"/>
        <v>38900</v>
      </c>
      <c r="V495" s="62"/>
      <c r="W495" s="62">
        <f t="shared" si="394"/>
        <v>38900</v>
      </c>
      <c r="X495" s="62"/>
      <c r="Y495" s="62">
        <f t="shared" si="395"/>
        <v>38900</v>
      </c>
      <c r="Z495" s="62"/>
      <c r="AA495" s="62">
        <f t="shared" si="396"/>
        <v>38900</v>
      </c>
      <c r="AB495" s="62"/>
      <c r="AC495" s="62">
        <f t="shared" si="397"/>
        <v>38900</v>
      </c>
      <c r="AD495" s="79"/>
      <c r="AE495" s="79"/>
    </row>
    <row r="496" spans="1:29" s="25" customFormat="1" ht="19.5" customHeight="1">
      <c r="A496" s="66"/>
      <c r="B496" s="63"/>
      <c r="C496" s="49">
        <v>4210</v>
      </c>
      <c r="D496" s="36" t="s">
        <v>86</v>
      </c>
      <c r="E496" s="62">
        <f>9590+11500</f>
        <v>21090</v>
      </c>
      <c r="F496" s="62"/>
      <c r="G496" s="62">
        <f t="shared" si="350"/>
        <v>21090</v>
      </c>
      <c r="H496" s="62"/>
      <c r="I496" s="62">
        <f t="shared" si="387"/>
        <v>21090</v>
      </c>
      <c r="J496" s="62">
        <v>2800</v>
      </c>
      <c r="K496" s="62">
        <f t="shared" si="388"/>
        <v>23890</v>
      </c>
      <c r="L496" s="62"/>
      <c r="M496" s="62">
        <f t="shared" si="389"/>
        <v>23890</v>
      </c>
      <c r="N496" s="62">
        <v>-1500</v>
      </c>
      <c r="O496" s="62">
        <f t="shared" si="390"/>
        <v>22390</v>
      </c>
      <c r="P496" s="62"/>
      <c r="Q496" s="62">
        <f t="shared" si="391"/>
        <v>22390</v>
      </c>
      <c r="R496" s="62"/>
      <c r="S496" s="62">
        <f t="shared" si="392"/>
        <v>22390</v>
      </c>
      <c r="T496" s="62"/>
      <c r="U496" s="62">
        <f t="shared" si="393"/>
        <v>22390</v>
      </c>
      <c r="V496" s="62">
        <v>-600</v>
      </c>
      <c r="W496" s="62">
        <f t="shared" si="394"/>
        <v>21790</v>
      </c>
      <c r="X496" s="62"/>
      <c r="Y496" s="62">
        <f t="shared" si="395"/>
        <v>21790</v>
      </c>
      <c r="Z496" s="62">
        <f>-920-700</f>
        <v>-1620</v>
      </c>
      <c r="AA496" s="62">
        <f t="shared" si="396"/>
        <v>20170</v>
      </c>
      <c r="AB496" s="62"/>
      <c r="AC496" s="62">
        <f t="shared" si="397"/>
        <v>20170</v>
      </c>
    </row>
    <row r="497" spans="1:29" s="25" customFormat="1" ht="18.75" customHeight="1">
      <c r="A497" s="66"/>
      <c r="B497" s="63"/>
      <c r="C497" s="49">
        <v>4260</v>
      </c>
      <c r="D497" s="36" t="s">
        <v>88</v>
      </c>
      <c r="E497" s="62">
        <v>1100</v>
      </c>
      <c r="F497" s="62"/>
      <c r="G497" s="62">
        <f t="shared" si="350"/>
        <v>1100</v>
      </c>
      <c r="H497" s="62"/>
      <c r="I497" s="62">
        <f t="shared" si="387"/>
        <v>1100</v>
      </c>
      <c r="J497" s="62"/>
      <c r="K497" s="62">
        <f t="shared" si="388"/>
        <v>1100</v>
      </c>
      <c r="L497" s="62"/>
      <c r="M497" s="62">
        <f t="shared" si="389"/>
        <v>1100</v>
      </c>
      <c r="N497" s="62"/>
      <c r="O497" s="62">
        <f t="shared" si="390"/>
        <v>1100</v>
      </c>
      <c r="P497" s="62"/>
      <c r="Q497" s="62">
        <f t="shared" si="391"/>
        <v>1100</v>
      </c>
      <c r="R497" s="62"/>
      <c r="S497" s="62">
        <f t="shared" si="392"/>
        <v>1100</v>
      </c>
      <c r="T497" s="62"/>
      <c r="U497" s="62">
        <f t="shared" si="393"/>
        <v>1100</v>
      </c>
      <c r="V497" s="62"/>
      <c r="W497" s="62">
        <f t="shared" si="394"/>
        <v>1100</v>
      </c>
      <c r="X497" s="62"/>
      <c r="Y497" s="62">
        <f t="shared" si="395"/>
        <v>1100</v>
      </c>
      <c r="Z497" s="62"/>
      <c r="AA497" s="62">
        <f t="shared" si="396"/>
        <v>1100</v>
      </c>
      <c r="AB497" s="62"/>
      <c r="AC497" s="62">
        <f t="shared" si="397"/>
        <v>1100</v>
      </c>
    </row>
    <row r="498" spans="1:29" s="25" customFormat="1" ht="21" customHeight="1">
      <c r="A498" s="66"/>
      <c r="B498" s="63"/>
      <c r="C498" s="66">
        <v>4300</v>
      </c>
      <c r="D498" s="214" t="s">
        <v>75</v>
      </c>
      <c r="E498" s="62">
        <f>4600+11500</f>
        <v>16100</v>
      </c>
      <c r="F498" s="62"/>
      <c r="G498" s="62">
        <f t="shared" si="350"/>
        <v>16100</v>
      </c>
      <c r="H498" s="62"/>
      <c r="I498" s="62">
        <f t="shared" si="387"/>
        <v>16100</v>
      </c>
      <c r="J498" s="62"/>
      <c r="K498" s="62">
        <f t="shared" si="388"/>
        <v>16100</v>
      </c>
      <c r="L498" s="62"/>
      <c r="M498" s="62">
        <f t="shared" si="389"/>
        <v>16100</v>
      </c>
      <c r="N498" s="62"/>
      <c r="O498" s="62">
        <f t="shared" si="390"/>
        <v>16100</v>
      </c>
      <c r="P498" s="62"/>
      <c r="Q498" s="62">
        <f t="shared" si="391"/>
        <v>16100</v>
      </c>
      <c r="R498" s="62"/>
      <c r="S498" s="62">
        <f t="shared" si="392"/>
        <v>16100</v>
      </c>
      <c r="T498" s="62"/>
      <c r="U498" s="62">
        <f t="shared" si="393"/>
        <v>16100</v>
      </c>
      <c r="V498" s="62"/>
      <c r="W498" s="62">
        <f t="shared" si="394"/>
        <v>16100</v>
      </c>
      <c r="X498" s="62"/>
      <c r="Y498" s="62">
        <f t="shared" si="395"/>
        <v>16100</v>
      </c>
      <c r="Z498" s="62">
        <v>700</v>
      </c>
      <c r="AA498" s="62">
        <f t="shared" si="396"/>
        <v>16800</v>
      </c>
      <c r="AB498" s="62"/>
      <c r="AC498" s="62">
        <f t="shared" si="397"/>
        <v>16800</v>
      </c>
    </row>
    <row r="499" spans="1:35" s="7" customFormat="1" ht="24.75" customHeight="1">
      <c r="A499" s="10"/>
      <c r="B499" s="10"/>
      <c r="C499" s="10"/>
      <c r="D499" s="34" t="s">
        <v>66</v>
      </c>
      <c r="E499" s="200">
        <f aca="true" t="shared" si="398" ref="E499:AC499">SUM(E481,E465,E438,E413,E338,E322,E216,E212,E209,E199,E157,E138,E63,E55,E34,E25,E7,E399)</f>
        <v>67967776</v>
      </c>
      <c r="F499" s="200">
        <f t="shared" si="398"/>
        <v>-888500</v>
      </c>
      <c r="G499" s="200">
        <f t="shared" si="398"/>
        <v>67149276</v>
      </c>
      <c r="H499" s="200">
        <f t="shared" si="398"/>
        <v>252163</v>
      </c>
      <c r="I499" s="200">
        <f t="shared" si="398"/>
        <v>67401439</v>
      </c>
      <c r="J499" s="200">
        <f t="shared" si="398"/>
        <v>173624</v>
      </c>
      <c r="K499" s="200">
        <f t="shared" si="398"/>
        <v>67575063</v>
      </c>
      <c r="L499" s="200">
        <f t="shared" si="398"/>
        <v>46982</v>
      </c>
      <c r="M499" s="200">
        <f t="shared" si="398"/>
        <v>67622045</v>
      </c>
      <c r="N499" s="200">
        <f t="shared" si="398"/>
        <v>75000</v>
      </c>
      <c r="O499" s="200">
        <f t="shared" si="398"/>
        <v>67697045</v>
      </c>
      <c r="P499" s="200">
        <f t="shared" si="398"/>
        <v>286502</v>
      </c>
      <c r="Q499" s="200">
        <f t="shared" si="398"/>
        <v>67983547</v>
      </c>
      <c r="R499" s="200">
        <f t="shared" si="398"/>
        <v>6100</v>
      </c>
      <c r="S499" s="200">
        <f t="shared" si="398"/>
        <v>67989647</v>
      </c>
      <c r="T499" s="200">
        <f t="shared" si="398"/>
        <v>21240</v>
      </c>
      <c r="U499" s="200">
        <f t="shared" si="398"/>
        <v>68010887</v>
      </c>
      <c r="V499" s="200">
        <f t="shared" si="398"/>
        <v>179586</v>
      </c>
      <c r="W499" s="200">
        <f t="shared" si="398"/>
        <v>68242413</v>
      </c>
      <c r="X499" s="200">
        <f t="shared" si="398"/>
        <v>240668</v>
      </c>
      <c r="Y499" s="200">
        <f t="shared" si="398"/>
        <v>68483081</v>
      </c>
      <c r="Z499" s="200">
        <f t="shared" si="398"/>
        <v>36700</v>
      </c>
      <c r="AA499" s="200">
        <f t="shared" si="398"/>
        <v>68519781</v>
      </c>
      <c r="AB499" s="200">
        <f t="shared" si="398"/>
        <v>-854065</v>
      </c>
      <c r="AC499" s="200">
        <f t="shared" si="398"/>
        <v>67665716</v>
      </c>
      <c r="AD499" s="98"/>
      <c r="AE499" s="98"/>
      <c r="AF499" s="98"/>
      <c r="AG499" s="98"/>
      <c r="AH499" s="98"/>
      <c r="AI499" s="98"/>
    </row>
    <row r="500" spans="1:29" ht="12.75">
      <c r="A500" s="45"/>
      <c r="B500" s="45"/>
      <c r="C500" s="45"/>
      <c r="D500" s="45"/>
      <c r="E500" s="216"/>
      <c r="F500" s="216"/>
      <c r="G500" s="216"/>
      <c r="H500" s="216"/>
      <c r="I500" s="216"/>
      <c r="J500" s="216"/>
      <c r="K500" s="216"/>
      <c r="L500" s="216"/>
      <c r="M500" s="216"/>
      <c r="N500" s="216"/>
      <c r="O500" s="216"/>
      <c r="P500" s="216"/>
      <c r="Q500" s="216"/>
      <c r="R500" s="216"/>
      <c r="S500" s="216"/>
      <c r="T500" s="216"/>
      <c r="U500" s="216"/>
      <c r="V500" s="216"/>
      <c r="W500" s="216"/>
      <c r="X500" s="216"/>
      <c r="Y500" s="216"/>
      <c r="Z500" s="216"/>
      <c r="AA500" s="216"/>
      <c r="AB500" s="216"/>
      <c r="AC500" s="216"/>
    </row>
    <row r="501" spans="4:29" ht="12">
      <c r="D501" s="45"/>
      <c r="E501" s="216"/>
      <c r="F501" s="216"/>
      <c r="G501" s="216"/>
      <c r="H501" s="216"/>
      <c r="I501" s="216"/>
      <c r="J501" s="216"/>
      <c r="K501" s="216"/>
      <c r="L501" s="216"/>
      <c r="M501" s="216"/>
      <c r="N501" s="216"/>
      <c r="O501" s="216"/>
      <c r="P501" s="216"/>
      <c r="Q501" s="216"/>
      <c r="R501" s="216"/>
      <c r="S501" s="216"/>
      <c r="T501" s="216"/>
      <c r="U501" s="216"/>
      <c r="V501" s="217"/>
      <c r="W501" s="216"/>
      <c r="X501" s="217"/>
      <c r="Y501" s="216"/>
      <c r="Z501" s="217"/>
      <c r="AA501" s="216"/>
      <c r="AB501" s="217"/>
      <c r="AC501" s="216"/>
    </row>
    <row r="502" spans="4:35" ht="12.75">
      <c r="D502" s="45"/>
      <c r="E502" s="216"/>
      <c r="F502" s="216"/>
      <c r="G502" s="216"/>
      <c r="H502" s="216"/>
      <c r="I502" s="216"/>
      <c r="J502" s="216"/>
      <c r="K502" s="216"/>
      <c r="L502" s="217"/>
      <c r="M502" s="217"/>
      <c r="N502" s="217"/>
      <c r="O502" s="217"/>
      <c r="P502" s="217"/>
      <c r="Q502" s="217"/>
      <c r="R502" s="217"/>
      <c r="S502" s="217"/>
      <c r="T502" s="217"/>
      <c r="U502" s="217"/>
      <c r="V502" s="217"/>
      <c r="W502" s="217"/>
      <c r="X502" s="217"/>
      <c r="Y502" s="217"/>
      <c r="Z502" s="217">
        <f>Z499-'dochody 2009 zał.1'!AB137</f>
        <v>0</v>
      </c>
      <c r="AA502" s="217"/>
      <c r="AB502" s="217"/>
      <c r="AC502" s="217"/>
      <c r="AG502" s="42"/>
      <c r="AI502" s="42"/>
    </row>
    <row r="503" spans="4:29" ht="12">
      <c r="D503" s="45"/>
      <c r="E503" s="216"/>
      <c r="F503" s="216"/>
      <c r="G503" s="216"/>
      <c r="H503" s="216"/>
      <c r="I503" s="216"/>
      <c r="J503" s="216"/>
      <c r="K503" s="216"/>
      <c r="L503" s="217"/>
      <c r="M503" s="217"/>
      <c r="N503" s="217"/>
      <c r="O503" s="217"/>
      <c r="P503" s="217"/>
      <c r="Q503" s="217"/>
      <c r="R503" s="217"/>
      <c r="S503" s="217"/>
      <c r="T503" s="217"/>
      <c r="U503" s="217"/>
      <c r="V503" s="217"/>
      <c r="W503" s="217"/>
      <c r="X503" s="217"/>
      <c r="Y503" s="217"/>
      <c r="Z503" s="217"/>
      <c r="AA503" s="217"/>
      <c r="AB503" s="217"/>
      <c r="AC503" s="217"/>
    </row>
    <row r="504" spans="4:29" ht="12">
      <c r="D504" s="45"/>
      <c r="E504" s="217"/>
      <c r="F504" s="218"/>
      <c r="G504" s="218"/>
      <c r="H504" s="218"/>
      <c r="I504" s="218"/>
      <c r="J504" s="218"/>
      <c r="K504" s="218"/>
      <c r="L504" s="218"/>
      <c r="M504" s="218"/>
      <c r="N504" s="218"/>
      <c r="O504" s="218"/>
      <c r="P504" s="218"/>
      <c r="Q504" s="218"/>
      <c r="R504" s="218"/>
      <c r="S504" s="218"/>
      <c r="T504" s="218"/>
      <c r="U504" s="218"/>
      <c r="V504" s="218"/>
      <c r="W504" s="218"/>
      <c r="X504" s="218"/>
      <c r="Y504" s="218"/>
      <c r="Z504" s="218"/>
      <c r="AA504" s="218"/>
      <c r="AB504" s="218"/>
      <c r="AC504" s="218"/>
    </row>
    <row r="505" spans="4:29" ht="12">
      <c r="D505" s="45"/>
      <c r="E505" s="217"/>
      <c r="F505" s="218"/>
      <c r="G505" s="218"/>
      <c r="H505" s="218"/>
      <c r="I505" s="218"/>
      <c r="J505" s="218"/>
      <c r="K505" s="218"/>
      <c r="L505" s="219"/>
      <c r="M505" s="218"/>
      <c r="N505" s="219"/>
      <c r="O505" s="218"/>
      <c r="P505" s="219"/>
      <c r="Q505" s="218"/>
      <c r="R505" s="219"/>
      <c r="S505" s="218"/>
      <c r="T505" s="219"/>
      <c r="U505" s="218"/>
      <c r="V505" s="219"/>
      <c r="W505" s="218"/>
      <c r="X505" s="219"/>
      <c r="Y505" s="218"/>
      <c r="Z505" s="219"/>
      <c r="AA505" s="218"/>
      <c r="AB505" s="219"/>
      <c r="AC505" s="218"/>
    </row>
    <row r="506" spans="4:29" ht="12.75">
      <c r="D506" s="45"/>
      <c r="E506" s="220"/>
      <c r="F506" s="221"/>
      <c r="G506" s="221"/>
      <c r="H506" s="221"/>
      <c r="I506" s="221"/>
      <c r="J506" s="221"/>
      <c r="K506" s="221"/>
      <c r="L506" s="221"/>
      <c r="M506" s="221"/>
      <c r="N506" s="221"/>
      <c r="O506" s="221"/>
      <c r="P506" s="221"/>
      <c r="Q506" s="221"/>
      <c r="R506" s="221"/>
      <c r="S506" s="221"/>
      <c r="T506" s="221"/>
      <c r="U506" s="221"/>
      <c r="V506" s="221"/>
      <c r="W506" s="221"/>
      <c r="X506" s="221"/>
      <c r="Y506" s="221"/>
      <c r="Z506" s="221"/>
      <c r="AA506" s="221"/>
      <c r="AB506" s="221"/>
      <c r="AC506" s="221"/>
    </row>
    <row r="507" spans="4:29" ht="12.75">
      <c r="D507" s="45"/>
      <c r="E507" s="220"/>
      <c r="F507" s="221"/>
      <c r="G507" s="221"/>
      <c r="H507" s="221"/>
      <c r="I507" s="221"/>
      <c r="J507" s="221"/>
      <c r="K507" s="221"/>
      <c r="L507" s="221"/>
      <c r="M507" s="221"/>
      <c r="N507" s="221"/>
      <c r="O507" s="221"/>
      <c r="P507" s="221"/>
      <c r="Q507" s="221"/>
      <c r="R507" s="221"/>
      <c r="S507" s="221"/>
      <c r="T507" s="221"/>
      <c r="U507" s="221"/>
      <c r="V507" s="221"/>
      <c r="W507" s="221"/>
      <c r="X507" s="221"/>
      <c r="Y507" s="221"/>
      <c r="Z507" s="221"/>
      <c r="AA507" s="221"/>
      <c r="AB507" s="221"/>
      <c r="AC507" s="221"/>
    </row>
    <row r="508" spans="4:29" ht="12.75">
      <c r="D508" s="45"/>
      <c r="E508" s="217"/>
      <c r="F508" s="218"/>
      <c r="G508" s="218"/>
      <c r="H508" s="218"/>
      <c r="I508" s="218"/>
      <c r="J508" s="218"/>
      <c r="K508" s="218"/>
      <c r="L508" s="218"/>
      <c r="M508" s="218"/>
      <c r="N508" s="218"/>
      <c r="O508" s="218"/>
      <c r="P508" s="218"/>
      <c r="Q508" s="218"/>
      <c r="R508" s="218"/>
      <c r="S508" s="218"/>
      <c r="T508" s="218"/>
      <c r="U508" s="218"/>
      <c r="V508" s="219"/>
      <c r="W508" s="218"/>
      <c r="X508" s="219"/>
      <c r="Y508" s="218"/>
      <c r="Z508" s="219"/>
      <c r="AA508" s="218"/>
      <c r="AB508" s="219"/>
      <c r="AC508" s="218"/>
    </row>
    <row r="509" spans="4:29" ht="12.75">
      <c r="D509" s="45"/>
      <c r="E509" s="217"/>
      <c r="F509" s="218"/>
      <c r="G509" s="218"/>
      <c r="H509" s="218"/>
      <c r="I509" s="218"/>
      <c r="J509" s="218"/>
      <c r="K509" s="218"/>
      <c r="L509" s="218"/>
      <c r="M509" s="218"/>
      <c r="N509" s="218"/>
      <c r="O509" s="218"/>
      <c r="P509" s="218"/>
      <c r="Q509" s="218"/>
      <c r="R509" s="218"/>
      <c r="S509" s="218"/>
      <c r="T509" s="218"/>
      <c r="U509" s="218"/>
      <c r="V509" s="218"/>
      <c r="W509" s="218"/>
      <c r="X509" s="218"/>
      <c r="Y509" s="218"/>
      <c r="Z509" s="218"/>
      <c r="AA509" s="218"/>
      <c r="AB509" s="218"/>
      <c r="AC509" s="218"/>
    </row>
    <row r="510" spans="4:29" ht="12.75">
      <c r="D510" s="45"/>
      <c r="E510" s="217"/>
      <c r="F510" s="218"/>
      <c r="G510" s="218"/>
      <c r="H510" s="218"/>
      <c r="I510" s="218"/>
      <c r="J510" s="218"/>
      <c r="K510" s="218"/>
      <c r="L510" s="218"/>
      <c r="M510" s="218"/>
      <c r="N510" s="218"/>
      <c r="O510" s="218"/>
      <c r="P510" s="218"/>
      <c r="Q510" s="218"/>
      <c r="R510" s="218"/>
      <c r="S510" s="218"/>
      <c r="T510" s="218"/>
      <c r="U510" s="218"/>
      <c r="V510" s="218"/>
      <c r="W510" s="218"/>
      <c r="X510" s="218"/>
      <c r="Y510" s="218"/>
      <c r="Z510" s="218"/>
      <c r="AA510" s="218"/>
      <c r="AB510" s="218"/>
      <c r="AC510" s="218"/>
    </row>
    <row r="511" spans="4:29" ht="12.75">
      <c r="D511" s="45"/>
      <c r="E511" s="217"/>
      <c r="F511" s="218"/>
      <c r="G511" s="218"/>
      <c r="H511" s="218"/>
      <c r="I511" s="218"/>
      <c r="J511" s="218"/>
      <c r="K511" s="218"/>
      <c r="L511" s="218"/>
      <c r="M511" s="218"/>
      <c r="N511" s="218"/>
      <c r="O511" s="218"/>
      <c r="P511" s="218"/>
      <c r="Q511" s="218"/>
      <c r="R511" s="218"/>
      <c r="S511" s="218"/>
      <c r="T511" s="218"/>
      <c r="U511" s="218"/>
      <c r="V511" s="218"/>
      <c r="W511" s="218"/>
      <c r="X511" s="218"/>
      <c r="Y511" s="218"/>
      <c r="Z511" s="218"/>
      <c r="AA511" s="218"/>
      <c r="AB511" s="218"/>
      <c r="AC511" s="218"/>
    </row>
    <row r="512" spans="4:29" ht="12.75">
      <c r="D512" s="45"/>
      <c r="E512" s="217">
        <v>372000</v>
      </c>
      <c r="F512" s="218"/>
      <c r="G512" s="218"/>
      <c r="H512" s="218"/>
      <c r="I512" s="218"/>
      <c r="J512" s="218"/>
      <c r="K512" s="218"/>
      <c r="L512" s="218"/>
      <c r="M512" s="218"/>
      <c r="N512" s="218"/>
      <c r="O512" s="218"/>
      <c r="P512" s="218"/>
      <c r="Q512" s="218"/>
      <c r="R512" s="218"/>
      <c r="S512" s="218"/>
      <c r="T512" s="218"/>
      <c r="U512" s="218"/>
      <c r="V512" s="218"/>
      <c r="W512" s="218"/>
      <c r="X512" s="218"/>
      <c r="Y512" s="218"/>
      <c r="Z512" s="218"/>
      <c r="AA512" s="218"/>
      <c r="AB512" s="218"/>
      <c r="AC512" s="218"/>
    </row>
    <row r="513" spans="4:29" ht="12.75">
      <c r="D513" s="45"/>
      <c r="E513" s="217">
        <v>400000</v>
      </c>
      <c r="F513" s="218"/>
      <c r="G513" s="218"/>
      <c r="H513" s="218"/>
      <c r="I513" s="218"/>
      <c r="J513" s="218"/>
      <c r="K513" s="218"/>
      <c r="L513" s="218"/>
      <c r="M513" s="218"/>
      <c r="N513" s="218"/>
      <c r="O513" s="218"/>
      <c r="P513" s="218"/>
      <c r="Q513" s="218"/>
      <c r="R513" s="218"/>
      <c r="S513" s="218"/>
      <c r="T513" s="218"/>
      <c r="U513" s="218"/>
      <c r="V513" s="218"/>
      <c r="W513" s="218"/>
      <c r="X513" s="218"/>
      <c r="Y513" s="218"/>
      <c r="Z513" s="218"/>
      <c r="AA513" s="218"/>
      <c r="AB513" s="218"/>
      <c r="AC513" s="218"/>
    </row>
    <row r="514" spans="4:29" ht="12.75">
      <c r="D514" s="45"/>
      <c r="E514" s="220">
        <v>13687</v>
      </c>
      <c r="F514" s="221"/>
      <c r="G514" s="221"/>
      <c r="H514" s="221"/>
      <c r="I514" s="221"/>
      <c r="J514" s="221"/>
      <c r="K514" s="221"/>
      <c r="L514" s="221"/>
      <c r="M514" s="221"/>
      <c r="N514" s="221"/>
      <c r="O514" s="221"/>
      <c r="P514" s="221"/>
      <c r="Q514" s="221"/>
      <c r="R514" s="221"/>
      <c r="S514" s="221"/>
      <c r="T514" s="221"/>
      <c r="U514" s="221"/>
      <c r="V514" s="221"/>
      <c r="W514" s="221"/>
      <c r="X514" s="221"/>
      <c r="Y514" s="221"/>
      <c r="Z514" s="221"/>
      <c r="AA514" s="221"/>
      <c r="AB514" s="221"/>
      <c r="AC514" s="221"/>
    </row>
    <row r="515" spans="4:29" ht="12.75">
      <c r="D515" s="45"/>
      <c r="E515" s="220">
        <v>3355048</v>
      </c>
      <c r="F515" s="221"/>
      <c r="G515" s="221"/>
      <c r="H515" s="221"/>
      <c r="I515" s="221"/>
      <c r="J515" s="221"/>
      <c r="K515" s="221"/>
      <c r="L515" s="221"/>
      <c r="M515" s="221"/>
      <c r="N515" s="221"/>
      <c r="O515" s="221"/>
      <c r="P515" s="221"/>
      <c r="Q515" s="221"/>
      <c r="R515" s="221"/>
      <c r="S515" s="221"/>
      <c r="T515" s="221"/>
      <c r="U515" s="221"/>
      <c r="V515" s="221"/>
      <c r="W515" s="221"/>
      <c r="X515" s="221"/>
      <c r="Y515" s="221"/>
      <c r="Z515" s="221"/>
      <c r="AA515" s="221"/>
      <c r="AB515" s="221"/>
      <c r="AC515" s="221"/>
    </row>
    <row r="516" spans="4:29" ht="12.75">
      <c r="D516" s="45"/>
      <c r="E516" s="220">
        <v>17118273</v>
      </c>
      <c r="F516" s="221"/>
      <c r="G516" s="221"/>
      <c r="H516" s="221"/>
      <c r="I516" s="221"/>
      <c r="J516" s="221"/>
      <c r="K516" s="221"/>
      <c r="L516" s="221"/>
      <c r="M516" s="221"/>
      <c r="N516" s="221"/>
      <c r="O516" s="221"/>
      <c r="P516" s="221"/>
      <c r="Q516" s="221"/>
      <c r="R516" s="221"/>
      <c r="S516" s="221"/>
      <c r="T516" s="221"/>
      <c r="U516" s="221"/>
      <c r="V516" s="221"/>
      <c r="W516" s="221"/>
      <c r="X516" s="221"/>
      <c r="Y516" s="221"/>
      <c r="Z516" s="221"/>
      <c r="AA516" s="221"/>
      <c r="AB516" s="221"/>
      <c r="AC516" s="221"/>
    </row>
    <row r="517" spans="4:29" ht="12.75">
      <c r="D517" s="45"/>
      <c r="E517" s="217">
        <v>526290</v>
      </c>
      <c r="F517" s="218"/>
      <c r="G517" s="218"/>
      <c r="H517" s="218"/>
      <c r="I517" s="218"/>
      <c r="J517" s="218"/>
      <c r="K517" s="218"/>
      <c r="L517" s="218"/>
      <c r="M517" s="218"/>
      <c r="N517" s="218"/>
      <c r="O517" s="218"/>
      <c r="P517" s="218"/>
      <c r="Q517" s="218"/>
      <c r="R517" s="218"/>
      <c r="S517" s="218"/>
      <c r="T517" s="218"/>
      <c r="U517" s="218"/>
      <c r="V517" s="218"/>
      <c r="W517" s="218"/>
      <c r="X517" s="218"/>
      <c r="Y517" s="218"/>
      <c r="Z517" s="218"/>
      <c r="AA517" s="218"/>
      <c r="AB517" s="218"/>
      <c r="AC517" s="218"/>
    </row>
    <row r="518" spans="4:29" ht="12.75">
      <c r="D518" s="45"/>
      <c r="E518" s="220">
        <v>447149</v>
      </c>
      <c r="F518" s="221"/>
      <c r="G518" s="221"/>
      <c r="H518" s="221"/>
      <c r="I518" s="221"/>
      <c r="J518" s="221"/>
      <c r="K518" s="221"/>
      <c r="L518" s="221"/>
      <c r="M518" s="221"/>
      <c r="N518" s="221"/>
      <c r="O518" s="221"/>
      <c r="P518" s="221"/>
      <c r="Q518" s="221"/>
      <c r="R518" s="221"/>
      <c r="S518" s="221"/>
      <c r="T518" s="221"/>
      <c r="U518" s="221"/>
      <c r="V518" s="221"/>
      <c r="W518" s="221"/>
      <c r="X518" s="221"/>
      <c r="Y518" s="221"/>
      <c r="Z518" s="221"/>
      <c r="AA518" s="221"/>
      <c r="AB518" s="221"/>
      <c r="AC518" s="221"/>
    </row>
    <row r="519" spans="4:29" ht="12.75">
      <c r="D519" s="45"/>
      <c r="E519" s="220">
        <v>61433</v>
      </c>
      <c r="F519" s="221"/>
      <c r="G519" s="221"/>
      <c r="H519" s="221"/>
      <c r="I519" s="221"/>
      <c r="J519" s="221"/>
      <c r="K519" s="221"/>
      <c r="L519" s="221"/>
      <c r="M519" s="221"/>
      <c r="N519" s="221"/>
      <c r="O519" s="221"/>
      <c r="P519" s="221"/>
      <c r="Q519" s="221"/>
      <c r="R519" s="221"/>
      <c r="S519" s="221"/>
      <c r="T519" s="221"/>
      <c r="U519" s="221"/>
      <c r="V519" s="221"/>
      <c r="W519" s="221"/>
      <c r="X519" s="221"/>
      <c r="Y519" s="221"/>
      <c r="Z519" s="221"/>
      <c r="AA519" s="221"/>
      <c r="AB519" s="221"/>
      <c r="AC519" s="221"/>
    </row>
    <row r="520" spans="4:29" ht="12.75">
      <c r="D520" s="45"/>
      <c r="E520" s="220">
        <v>101210</v>
      </c>
      <c r="F520" s="221"/>
      <c r="G520" s="221"/>
      <c r="H520" s="221"/>
      <c r="I520" s="221"/>
      <c r="J520" s="221"/>
      <c r="K520" s="221"/>
      <c r="L520" s="221"/>
      <c r="M520" s="221"/>
      <c r="N520" s="221"/>
      <c r="O520" s="221"/>
      <c r="P520" s="221"/>
      <c r="Q520" s="221"/>
      <c r="R520" s="221"/>
      <c r="S520" s="221"/>
      <c r="T520" s="221"/>
      <c r="U520" s="221"/>
      <c r="V520" s="221"/>
      <c r="W520" s="221"/>
      <c r="X520" s="221"/>
      <c r="Y520" s="221"/>
      <c r="Z520" s="221"/>
      <c r="AA520" s="221"/>
      <c r="AB520" s="221"/>
      <c r="AC520" s="221"/>
    </row>
    <row r="521" spans="4:29" ht="12.75">
      <c r="D521" s="45"/>
      <c r="E521" s="217">
        <v>60000</v>
      </c>
      <c r="F521" s="218"/>
      <c r="G521" s="218"/>
      <c r="H521" s="218"/>
      <c r="I521" s="218"/>
      <c r="J521" s="218"/>
      <c r="K521" s="218"/>
      <c r="L521" s="218"/>
      <c r="M521" s="218"/>
      <c r="N521" s="218"/>
      <c r="O521" s="218"/>
      <c r="P521" s="218"/>
      <c r="Q521" s="218"/>
      <c r="R521" s="218"/>
      <c r="S521" s="218"/>
      <c r="T521" s="218"/>
      <c r="U521" s="218"/>
      <c r="V521" s="218"/>
      <c r="W521" s="218"/>
      <c r="X521" s="218"/>
      <c r="Y521" s="218"/>
      <c r="Z521" s="218"/>
      <c r="AA521" s="218"/>
      <c r="AB521" s="218"/>
      <c r="AC521" s="218"/>
    </row>
    <row r="522" spans="4:29" ht="12.75">
      <c r="D522" s="45"/>
      <c r="E522" s="217">
        <v>6479100</v>
      </c>
      <c r="F522" s="218"/>
      <c r="G522" s="218"/>
      <c r="H522" s="218"/>
      <c r="I522" s="218"/>
      <c r="J522" s="218"/>
      <c r="K522" s="218"/>
      <c r="L522" s="218"/>
      <c r="M522" s="218"/>
      <c r="N522" s="218"/>
      <c r="O522" s="218"/>
      <c r="P522" s="218"/>
      <c r="Q522" s="218"/>
      <c r="R522" s="218"/>
      <c r="S522" s="218"/>
      <c r="T522" s="218"/>
      <c r="U522" s="218"/>
      <c r="V522" s="218"/>
      <c r="W522" s="218"/>
      <c r="X522" s="218"/>
      <c r="Y522" s="218"/>
      <c r="Z522" s="218"/>
      <c r="AA522" s="218"/>
      <c r="AB522" s="218"/>
      <c r="AC522" s="218"/>
    </row>
    <row r="523" spans="4:29" ht="12.75">
      <c r="D523" s="45"/>
      <c r="E523" s="217">
        <v>156600</v>
      </c>
      <c r="F523" s="218"/>
      <c r="G523" s="218"/>
      <c r="H523" s="218"/>
      <c r="I523" s="218"/>
      <c r="J523" s="218"/>
      <c r="K523" s="218"/>
      <c r="L523" s="218"/>
      <c r="M523" s="218"/>
      <c r="N523" s="218"/>
      <c r="O523" s="218"/>
      <c r="P523" s="218"/>
      <c r="Q523" s="218"/>
      <c r="R523" s="218"/>
      <c r="S523" s="218"/>
      <c r="T523" s="218"/>
      <c r="U523" s="218"/>
      <c r="V523" s="218"/>
      <c r="W523" s="218"/>
      <c r="X523" s="218"/>
      <c r="Y523" s="218"/>
      <c r="Z523" s="218"/>
      <c r="AA523" s="218"/>
      <c r="AB523" s="218"/>
      <c r="AC523" s="218"/>
    </row>
    <row r="524" spans="4:29" ht="12.75">
      <c r="D524" s="45"/>
      <c r="E524" s="217">
        <v>5000</v>
      </c>
      <c r="F524" s="218"/>
      <c r="G524" s="218"/>
      <c r="H524" s="218"/>
      <c r="I524" s="218"/>
      <c r="J524" s="218"/>
      <c r="K524" s="218"/>
      <c r="L524" s="218"/>
      <c r="M524" s="218"/>
      <c r="N524" s="218"/>
      <c r="O524" s="218"/>
      <c r="P524" s="218"/>
      <c r="Q524" s="218"/>
      <c r="R524" s="218"/>
      <c r="S524" s="218"/>
      <c r="T524" s="218"/>
      <c r="U524" s="218"/>
      <c r="V524" s="218"/>
      <c r="W524" s="218"/>
      <c r="X524" s="218"/>
      <c r="Y524" s="218"/>
      <c r="Z524" s="218"/>
      <c r="AA524" s="218"/>
      <c r="AB524" s="218"/>
      <c r="AC524" s="218"/>
    </row>
    <row r="525" spans="4:29" ht="12.75">
      <c r="D525" s="45"/>
      <c r="E525" s="217"/>
      <c r="F525" s="218"/>
      <c r="G525" s="218"/>
      <c r="H525" s="218"/>
      <c r="I525" s="218"/>
      <c r="J525" s="218"/>
      <c r="K525" s="218"/>
      <c r="L525" s="218"/>
      <c r="M525" s="218"/>
      <c r="N525" s="218"/>
      <c r="O525" s="218"/>
      <c r="P525" s="218"/>
      <c r="Q525" s="218"/>
      <c r="R525" s="218"/>
      <c r="S525" s="218"/>
      <c r="T525" s="218"/>
      <c r="U525" s="218"/>
      <c r="V525" s="218"/>
      <c r="W525" s="218"/>
      <c r="X525" s="218"/>
      <c r="Y525" s="218"/>
      <c r="Z525" s="218"/>
      <c r="AA525" s="218"/>
      <c r="AB525" s="218"/>
      <c r="AC525" s="218"/>
    </row>
    <row r="526" spans="4:29" ht="12.75">
      <c r="D526" s="45"/>
      <c r="E526" s="217">
        <v>16413000</v>
      </c>
      <c r="F526" s="218"/>
      <c r="G526" s="218"/>
      <c r="H526" s="218"/>
      <c r="I526" s="218"/>
      <c r="J526" s="218"/>
      <c r="K526" s="218"/>
      <c r="L526" s="218"/>
      <c r="M526" s="218"/>
      <c r="N526" s="218"/>
      <c r="O526" s="218"/>
      <c r="P526" s="218"/>
      <c r="Q526" s="218"/>
      <c r="R526" s="218"/>
      <c r="S526" s="218"/>
      <c r="T526" s="218"/>
      <c r="U526" s="218"/>
      <c r="V526" s="218"/>
      <c r="W526" s="218"/>
      <c r="X526" s="218"/>
      <c r="Y526" s="218"/>
      <c r="Z526" s="218"/>
      <c r="AA526" s="218"/>
      <c r="AB526" s="218"/>
      <c r="AC526" s="218"/>
    </row>
    <row r="527" spans="4:29" ht="12.75">
      <c r="D527" s="45"/>
      <c r="E527" s="216">
        <f>SUM(E504:E526)</f>
        <v>45508790</v>
      </c>
      <c r="F527" s="222"/>
      <c r="G527" s="222"/>
      <c r="H527" s="222"/>
      <c r="I527" s="222"/>
      <c r="J527" s="222"/>
      <c r="K527" s="222"/>
      <c r="L527" s="222"/>
      <c r="M527" s="222"/>
      <c r="N527" s="222"/>
      <c r="O527" s="222"/>
      <c r="P527" s="222"/>
      <c r="Q527" s="222"/>
      <c r="R527" s="222"/>
      <c r="S527" s="222"/>
      <c r="T527" s="222"/>
      <c r="U527" s="222"/>
      <c r="V527" s="222"/>
      <c r="W527" s="222"/>
      <c r="X527" s="222"/>
      <c r="Y527" s="222"/>
      <c r="Z527" s="222"/>
      <c r="AA527" s="222"/>
      <c r="AB527" s="222"/>
      <c r="AC527" s="222"/>
    </row>
    <row r="528" spans="4:29" ht="12.75">
      <c r="D528" s="45"/>
      <c r="E528" s="216"/>
      <c r="F528" s="222"/>
      <c r="G528" s="222"/>
      <c r="H528" s="222"/>
      <c r="I528" s="222"/>
      <c r="J528" s="222"/>
      <c r="K528" s="222"/>
      <c r="L528" s="222"/>
      <c r="M528" s="222"/>
      <c r="N528" s="222"/>
      <c r="O528" s="222"/>
      <c r="P528" s="222"/>
      <c r="Q528" s="222"/>
      <c r="R528" s="222"/>
      <c r="S528" s="222"/>
      <c r="T528" s="222"/>
      <c r="U528" s="222"/>
      <c r="V528" s="222"/>
      <c r="W528" s="222"/>
      <c r="X528" s="222"/>
      <c r="Y528" s="222"/>
      <c r="Z528" s="222"/>
      <c r="AA528" s="222"/>
      <c r="AB528" s="222"/>
      <c r="AC528" s="222"/>
    </row>
    <row r="529" spans="1:29" s="24" customFormat="1" ht="19.5" customHeight="1">
      <c r="A529" s="223"/>
      <c r="B529" s="223"/>
      <c r="C529" s="223"/>
      <c r="D529" s="223"/>
      <c r="E529" s="224"/>
      <c r="F529" s="224"/>
      <c r="G529" s="224"/>
      <c r="H529" s="224"/>
      <c r="I529" s="224"/>
      <c r="J529" s="224"/>
      <c r="K529" s="224"/>
      <c r="L529" s="224"/>
      <c r="M529" s="224"/>
      <c r="N529" s="224"/>
      <c r="O529" s="224"/>
      <c r="P529" s="224"/>
      <c r="Q529" s="224"/>
      <c r="R529" s="224"/>
      <c r="S529" s="224"/>
      <c r="T529" s="224"/>
      <c r="U529" s="224"/>
      <c r="V529" s="224"/>
      <c r="W529" s="224"/>
      <c r="X529" s="224"/>
      <c r="Y529" s="224"/>
      <c r="Z529" s="224"/>
      <c r="AA529" s="224"/>
      <c r="AB529" s="224"/>
      <c r="AC529" s="224"/>
    </row>
    <row r="530" spans="1:29" s="24" customFormat="1" ht="12.75">
      <c r="A530" s="223"/>
      <c r="B530" s="223"/>
      <c r="C530" s="223"/>
      <c r="D530" s="223"/>
      <c r="E530" s="224"/>
      <c r="F530" s="224"/>
      <c r="G530" s="224"/>
      <c r="H530" s="224"/>
      <c r="I530" s="224"/>
      <c r="J530" s="224"/>
      <c r="K530" s="224"/>
      <c r="L530" s="224"/>
      <c r="M530" s="224"/>
      <c r="N530" s="224"/>
      <c r="O530" s="224"/>
      <c r="P530" s="224"/>
      <c r="Q530" s="224"/>
      <c r="R530" s="224"/>
      <c r="S530" s="224"/>
      <c r="T530" s="224"/>
      <c r="U530" s="224"/>
      <c r="V530" s="224"/>
      <c r="W530" s="224"/>
      <c r="X530" s="224"/>
      <c r="Y530" s="224"/>
      <c r="Z530" s="224"/>
      <c r="AA530" s="224"/>
      <c r="AB530" s="224"/>
      <c r="AC530" s="224"/>
    </row>
    <row r="531" spans="1:29" s="24" customFormat="1" ht="12.75">
      <c r="A531" s="223"/>
      <c r="B531" s="223"/>
      <c r="C531" s="223"/>
      <c r="D531" s="223"/>
      <c r="E531" s="224"/>
      <c r="F531" s="224"/>
      <c r="G531" s="224"/>
      <c r="H531" s="224"/>
      <c r="I531" s="224"/>
      <c r="J531" s="224"/>
      <c r="K531" s="224"/>
      <c r="L531" s="224"/>
      <c r="M531" s="224"/>
      <c r="N531" s="224"/>
      <c r="O531" s="224"/>
      <c r="P531" s="224"/>
      <c r="Q531" s="224"/>
      <c r="R531" s="224"/>
      <c r="S531" s="224"/>
      <c r="T531" s="224"/>
      <c r="U531" s="224"/>
      <c r="V531" s="224"/>
      <c r="W531" s="224"/>
      <c r="X531" s="224"/>
      <c r="Y531" s="224"/>
      <c r="Z531" s="224"/>
      <c r="AA531" s="224"/>
      <c r="AB531" s="224"/>
      <c r="AC531" s="224"/>
    </row>
    <row r="532" spans="1:29" s="24" customFormat="1" ht="12.75">
      <c r="A532" s="223"/>
      <c r="B532" s="223"/>
      <c r="C532" s="223"/>
      <c r="D532" s="223"/>
      <c r="E532" s="224"/>
      <c r="F532" s="224"/>
      <c r="G532" s="224"/>
      <c r="H532" s="224"/>
      <c r="I532" s="224"/>
      <c r="J532" s="224"/>
      <c r="K532" s="224"/>
      <c r="L532" s="224"/>
      <c r="M532" s="224"/>
      <c r="N532" s="224"/>
      <c r="O532" s="224"/>
      <c r="P532" s="224"/>
      <c r="Q532" s="224"/>
      <c r="R532" s="224"/>
      <c r="S532" s="224"/>
      <c r="T532" s="224"/>
      <c r="U532" s="224"/>
      <c r="V532" s="224"/>
      <c r="W532" s="224"/>
      <c r="X532" s="224"/>
      <c r="Y532" s="224"/>
      <c r="Z532" s="224"/>
      <c r="AA532" s="224"/>
      <c r="AB532" s="224"/>
      <c r="AC532" s="224"/>
    </row>
    <row r="533" spans="1:29" s="24" customFormat="1" ht="12.75">
      <c r="A533" s="223"/>
      <c r="B533" s="223"/>
      <c r="C533" s="223"/>
      <c r="D533" s="223"/>
      <c r="E533" s="224"/>
      <c r="F533" s="224"/>
      <c r="G533" s="224"/>
      <c r="H533" s="224"/>
      <c r="I533" s="224"/>
      <c r="J533" s="224"/>
      <c r="K533" s="224"/>
      <c r="L533" s="224"/>
      <c r="M533" s="224"/>
      <c r="N533" s="224"/>
      <c r="O533" s="224"/>
      <c r="P533" s="224"/>
      <c r="Q533" s="224"/>
      <c r="R533" s="224"/>
      <c r="S533" s="224"/>
      <c r="T533" s="224"/>
      <c r="U533" s="224"/>
      <c r="V533" s="224"/>
      <c r="W533" s="224"/>
      <c r="X533" s="224"/>
      <c r="Y533" s="224"/>
      <c r="Z533" s="224"/>
      <c r="AA533" s="224"/>
      <c r="AB533" s="224"/>
      <c r="AC533" s="224"/>
    </row>
    <row r="534" spans="1:29" s="24" customFormat="1" ht="12.75">
      <c r="A534" s="223"/>
      <c r="B534" s="223"/>
      <c r="C534" s="223"/>
      <c r="D534" s="223"/>
      <c r="E534" s="224"/>
      <c r="F534" s="224"/>
      <c r="G534" s="224"/>
      <c r="H534" s="224"/>
      <c r="I534" s="224"/>
      <c r="J534" s="224"/>
      <c r="K534" s="224"/>
      <c r="L534" s="224"/>
      <c r="M534" s="224"/>
      <c r="N534" s="224"/>
      <c r="O534" s="224"/>
      <c r="P534" s="224"/>
      <c r="Q534" s="224"/>
      <c r="R534" s="224"/>
      <c r="S534" s="224"/>
      <c r="T534" s="224"/>
      <c r="U534" s="224"/>
      <c r="V534" s="224"/>
      <c r="W534" s="224"/>
      <c r="X534" s="224"/>
      <c r="Y534" s="224"/>
      <c r="Z534" s="224"/>
      <c r="AA534" s="224"/>
      <c r="AB534" s="224"/>
      <c r="AC534" s="224"/>
    </row>
    <row r="535" spans="1:29" s="24" customFormat="1" ht="12.75">
      <c r="A535" s="223"/>
      <c r="B535" s="223"/>
      <c r="C535" s="223"/>
      <c r="D535" s="223"/>
      <c r="E535" s="224"/>
      <c r="F535" s="224"/>
      <c r="G535" s="224"/>
      <c r="H535" s="224"/>
      <c r="I535" s="224"/>
      <c r="J535" s="224"/>
      <c r="K535" s="224"/>
      <c r="L535" s="224"/>
      <c r="M535" s="224"/>
      <c r="N535" s="224"/>
      <c r="O535" s="224"/>
      <c r="P535" s="224"/>
      <c r="Q535" s="224"/>
      <c r="R535" s="224"/>
      <c r="S535" s="224"/>
      <c r="T535" s="224"/>
      <c r="U535" s="224"/>
      <c r="V535" s="224"/>
      <c r="W535" s="224"/>
      <c r="X535" s="224"/>
      <c r="Y535" s="224"/>
      <c r="Z535" s="224"/>
      <c r="AA535" s="224"/>
      <c r="AB535" s="224"/>
      <c r="AC535" s="224"/>
    </row>
    <row r="536" spans="1:29" s="24" customFormat="1" ht="12.75">
      <c r="A536" s="223"/>
      <c r="B536" s="223"/>
      <c r="C536" s="223"/>
      <c r="D536" s="223"/>
      <c r="E536" s="224"/>
      <c r="F536" s="224"/>
      <c r="G536" s="224"/>
      <c r="H536" s="224"/>
      <c r="I536" s="224"/>
      <c r="J536" s="224"/>
      <c r="K536" s="224"/>
      <c r="L536" s="224"/>
      <c r="M536" s="224"/>
      <c r="N536" s="224"/>
      <c r="O536" s="224"/>
      <c r="P536" s="224"/>
      <c r="Q536" s="224"/>
      <c r="R536" s="224"/>
      <c r="S536" s="224"/>
      <c r="T536" s="224"/>
      <c r="U536" s="224"/>
      <c r="V536" s="224"/>
      <c r="W536" s="224"/>
      <c r="X536" s="224"/>
      <c r="Y536" s="224"/>
      <c r="Z536" s="224"/>
      <c r="AA536" s="224"/>
      <c r="AB536" s="224"/>
      <c r="AC536" s="224"/>
    </row>
    <row r="537" spans="1:29" s="24" customFormat="1" ht="12.75">
      <c r="A537" s="223"/>
      <c r="B537" s="223"/>
      <c r="C537" s="223"/>
      <c r="D537" s="223"/>
      <c r="E537" s="224"/>
      <c r="F537" s="224"/>
      <c r="G537" s="224"/>
      <c r="H537" s="224"/>
      <c r="I537" s="224"/>
      <c r="J537" s="224"/>
      <c r="K537" s="224"/>
      <c r="L537" s="224"/>
      <c r="M537" s="224"/>
      <c r="N537" s="224"/>
      <c r="O537" s="224"/>
      <c r="P537" s="224"/>
      <c r="Q537" s="224"/>
      <c r="R537" s="224"/>
      <c r="S537" s="224"/>
      <c r="T537" s="224"/>
      <c r="U537" s="224"/>
      <c r="V537" s="224"/>
      <c r="W537" s="224"/>
      <c r="X537" s="224"/>
      <c r="Y537" s="224"/>
      <c r="Z537" s="224"/>
      <c r="AA537" s="224"/>
      <c r="AB537" s="224"/>
      <c r="AC537" s="224"/>
    </row>
    <row r="538" spans="1:29" s="24" customFormat="1" ht="12.75">
      <c r="A538" s="223"/>
      <c r="B538" s="223"/>
      <c r="C538" s="223"/>
      <c r="D538" s="223"/>
      <c r="E538" s="224"/>
      <c r="F538" s="224"/>
      <c r="G538" s="224"/>
      <c r="H538" s="224"/>
      <c r="I538" s="224"/>
      <c r="J538" s="224"/>
      <c r="K538" s="224"/>
      <c r="L538" s="224"/>
      <c r="M538" s="224"/>
      <c r="N538" s="224"/>
      <c r="O538" s="224"/>
      <c r="P538" s="224"/>
      <c r="Q538" s="224"/>
      <c r="R538" s="224"/>
      <c r="S538" s="224"/>
      <c r="T538" s="224"/>
      <c r="U538" s="224"/>
      <c r="V538" s="224"/>
      <c r="W538" s="224"/>
      <c r="X538" s="224"/>
      <c r="Y538" s="224"/>
      <c r="Z538" s="224"/>
      <c r="AA538" s="224"/>
      <c r="AB538" s="224"/>
      <c r="AC538" s="224"/>
    </row>
    <row r="539" spans="1:29" s="24" customFormat="1" ht="12.75">
      <c r="A539" s="223"/>
      <c r="B539" s="223"/>
      <c r="C539" s="223"/>
      <c r="D539" s="223"/>
      <c r="E539" s="224"/>
      <c r="F539" s="224"/>
      <c r="G539" s="224"/>
      <c r="H539" s="224"/>
      <c r="I539" s="224"/>
      <c r="J539" s="224"/>
      <c r="K539" s="224"/>
      <c r="L539" s="224"/>
      <c r="M539" s="224"/>
      <c r="N539" s="224"/>
      <c r="O539" s="224"/>
      <c r="P539" s="224"/>
      <c r="Q539" s="224"/>
      <c r="R539" s="224"/>
      <c r="S539" s="224"/>
      <c r="T539" s="224"/>
      <c r="U539" s="224"/>
      <c r="V539" s="224"/>
      <c r="W539" s="224"/>
      <c r="X539" s="224"/>
      <c r="Y539" s="224"/>
      <c r="Z539" s="224"/>
      <c r="AA539" s="224"/>
      <c r="AB539" s="224"/>
      <c r="AC539" s="224"/>
    </row>
    <row r="540" spans="1:29" s="24" customFormat="1" ht="12.75">
      <c r="A540" s="223"/>
      <c r="B540" s="223"/>
      <c r="C540" s="223"/>
      <c r="D540" s="223"/>
      <c r="E540" s="224"/>
      <c r="F540" s="224"/>
      <c r="G540" s="224"/>
      <c r="H540" s="224"/>
      <c r="I540" s="224"/>
      <c r="J540" s="224"/>
      <c r="K540" s="224"/>
      <c r="L540" s="224"/>
      <c r="M540" s="224"/>
      <c r="N540" s="224"/>
      <c r="O540" s="224"/>
      <c r="P540" s="224"/>
      <c r="Q540" s="224"/>
      <c r="R540" s="224"/>
      <c r="S540" s="224"/>
      <c r="T540" s="224"/>
      <c r="U540" s="224"/>
      <c r="V540" s="224"/>
      <c r="W540" s="224"/>
      <c r="X540" s="224"/>
      <c r="Y540" s="224"/>
      <c r="Z540" s="224"/>
      <c r="AA540" s="224"/>
      <c r="AB540" s="224"/>
      <c r="AC540" s="224"/>
    </row>
    <row r="541" spans="1:29" s="24" customFormat="1" ht="12.75">
      <c r="A541" s="223"/>
      <c r="B541" s="223"/>
      <c r="C541" s="223"/>
      <c r="D541" s="223"/>
      <c r="E541" s="224"/>
      <c r="F541" s="224"/>
      <c r="G541" s="224"/>
      <c r="H541" s="224"/>
      <c r="I541" s="224"/>
      <c r="J541" s="224"/>
      <c r="K541" s="224"/>
      <c r="L541" s="224"/>
      <c r="M541" s="224"/>
      <c r="N541" s="224"/>
      <c r="O541" s="224"/>
      <c r="P541" s="224"/>
      <c r="Q541" s="224"/>
      <c r="R541" s="224"/>
      <c r="S541" s="224"/>
      <c r="T541" s="224"/>
      <c r="U541" s="224"/>
      <c r="V541" s="224"/>
      <c r="W541" s="224"/>
      <c r="X541" s="224"/>
      <c r="Y541" s="224"/>
      <c r="Z541" s="224"/>
      <c r="AA541" s="224"/>
      <c r="AB541" s="224"/>
      <c r="AC541" s="224"/>
    </row>
    <row r="542" spans="1:29" s="24" customFormat="1" ht="12.75">
      <c r="A542" s="223"/>
      <c r="B542" s="223"/>
      <c r="C542" s="223"/>
      <c r="D542" s="223"/>
      <c r="E542" s="224"/>
      <c r="F542" s="224"/>
      <c r="G542" s="224"/>
      <c r="H542" s="224"/>
      <c r="I542" s="224"/>
      <c r="J542" s="224"/>
      <c r="K542" s="224"/>
      <c r="L542" s="224"/>
      <c r="M542" s="224"/>
      <c r="N542" s="224"/>
      <c r="O542" s="224"/>
      <c r="P542" s="224"/>
      <c r="Q542" s="224"/>
      <c r="R542" s="224"/>
      <c r="S542" s="224"/>
      <c r="T542" s="224"/>
      <c r="U542" s="224"/>
      <c r="V542" s="224"/>
      <c r="W542" s="224"/>
      <c r="X542" s="224"/>
      <c r="Y542" s="224"/>
      <c r="Z542" s="224"/>
      <c r="AA542" s="224"/>
      <c r="AB542" s="224"/>
      <c r="AC542" s="224"/>
    </row>
    <row r="543" spans="1:29" s="24" customFormat="1" ht="12.75">
      <c r="A543" s="223"/>
      <c r="B543" s="223"/>
      <c r="C543" s="223"/>
      <c r="D543" s="223"/>
      <c r="E543" s="224"/>
      <c r="F543" s="224"/>
      <c r="G543" s="224"/>
      <c r="H543" s="224"/>
      <c r="I543" s="224"/>
      <c r="J543" s="224"/>
      <c r="K543" s="224"/>
      <c r="L543" s="224"/>
      <c r="M543" s="224"/>
      <c r="N543" s="224"/>
      <c r="O543" s="224"/>
      <c r="P543" s="224"/>
      <c r="Q543" s="224"/>
      <c r="R543" s="224"/>
      <c r="S543" s="224"/>
      <c r="T543" s="224"/>
      <c r="U543" s="224"/>
      <c r="V543" s="224"/>
      <c r="W543" s="224"/>
      <c r="X543" s="224"/>
      <c r="Y543" s="224"/>
      <c r="Z543" s="224"/>
      <c r="AA543" s="224"/>
      <c r="AB543" s="224"/>
      <c r="AC543" s="224"/>
    </row>
    <row r="544" spans="1:29" s="24" customFormat="1" ht="12.75">
      <c r="A544" s="223"/>
      <c r="B544" s="223"/>
      <c r="C544" s="223"/>
      <c r="D544" s="223"/>
      <c r="E544" s="224"/>
      <c r="F544" s="224"/>
      <c r="G544" s="224"/>
      <c r="H544" s="224"/>
      <c r="I544" s="224"/>
      <c r="J544" s="224"/>
      <c r="K544" s="224"/>
      <c r="L544" s="224"/>
      <c r="M544" s="224"/>
      <c r="N544" s="224"/>
      <c r="O544" s="224"/>
      <c r="P544" s="224"/>
      <c r="Q544" s="224"/>
      <c r="R544" s="224"/>
      <c r="S544" s="224"/>
      <c r="T544" s="224"/>
      <c r="U544" s="224"/>
      <c r="V544" s="224"/>
      <c r="W544" s="224"/>
      <c r="X544" s="224"/>
      <c r="Y544" s="224"/>
      <c r="Z544" s="224"/>
      <c r="AA544" s="224"/>
      <c r="AB544" s="224"/>
      <c r="AC544" s="224"/>
    </row>
    <row r="545" spans="1:29" s="24" customFormat="1" ht="12.75">
      <c r="A545" s="223"/>
      <c r="B545" s="223"/>
      <c r="C545" s="223"/>
      <c r="D545" s="223"/>
      <c r="E545" s="224"/>
      <c r="F545" s="224"/>
      <c r="G545" s="224"/>
      <c r="H545" s="224"/>
      <c r="I545" s="224"/>
      <c r="J545" s="224"/>
      <c r="K545" s="224"/>
      <c r="L545" s="224"/>
      <c r="M545" s="224"/>
      <c r="N545" s="224"/>
      <c r="O545" s="224"/>
      <c r="P545" s="224"/>
      <c r="Q545" s="224"/>
      <c r="R545" s="224"/>
      <c r="S545" s="224"/>
      <c r="T545" s="224"/>
      <c r="U545" s="224"/>
      <c r="V545" s="224"/>
      <c r="W545" s="224"/>
      <c r="X545" s="224"/>
      <c r="Y545" s="224"/>
      <c r="Z545" s="224"/>
      <c r="AA545" s="224"/>
      <c r="AB545" s="224"/>
      <c r="AC545" s="224"/>
    </row>
    <row r="546" spans="1:29" s="24" customFormat="1" ht="12.75">
      <c r="A546" s="223"/>
      <c r="B546" s="223"/>
      <c r="C546" s="223"/>
      <c r="D546" s="223"/>
      <c r="E546" s="224"/>
      <c r="F546" s="224"/>
      <c r="G546" s="224"/>
      <c r="H546" s="224"/>
      <c r="I546" s="224"/>
      <c r="J546" s="224"/>
      <c r="K546" s="224"/>
      <c r="L546" s="224"/>
      <c r="M546" s="224"/>
      <c r="N546" s="224"/>
      <c r="O546" s="224"/>
      <c r="P546" s="224"/>
      <c r="Q546" s="224"/>
      <c r="R546" s="224"/>
      <c r="S546" s="224"/>
      <c r="T546" s="224"/>
      <c r="U546" s="224"/>
      <c r="V546" s="224"/>
      <c r="W546" s="224"/>
      <c r="X546" s="224"/>
      <c r="Y546" s="224"/>
      <c r="Z546" s="224"/>
      <c r="AA546" s="224"/>
      <c r="AB546" s="224"/>
      <c r="AC546" s="224"/>
    </row>
    <row r="547" spans="1:29" s="24" customFormat="1" ht="12.75">
      <c r="A547" s="223"/>
      <c r="B547" s="223"/>
      <c r="C547" s="223"/>
      <c r="D547" s="223"/>
      <c r="E547" s="224"/>
      <c r="F547" s="224"/>
      <c r="G547" s="224"/>
      <c r="H547" s="224"/>
      <c r="I547" s="224"/>
      <c r="J547" s="224"/>
      <c r="K547" s="224"/>
      <c r="L547" s="224"/>
      <c r="M547" s="224"/>
      <c r="N547" s="224"/>
      <c r="O547" s="224"/>
      <c r="P547" s="224"/>
      <c r="Q547" s="224"/>
      <c r="R547" s="224"/>
      <c r="S547" s="224"/>
      <c r="T547" s="224"/>
      <c r="U547" s="224"/>
      <c r="V547" s="224"/>
      <c r="W547" s="224"/>
      <c r="X547" s="224"/>
      <c r="Y547" s="224"/>
      <c r="Z547" s="224"/>
      <c r="AA547" s="224"/>
      <c r="AB547" s="224"/>
      <c r="AC547" s="224"/>
    </row>
    <row r="548" spans="1:29" s="24" customFormat="1" ht="12.75">
      <c r="A548" s="223"/>
      <c r="B548" s="223"/>
      <c r="C548" s="223"/>
      <c r="D548" s="223"/>
      <c r="E548" s="224"/>
      <c r="F548" s="224"/>
      <c r="G548" s="224"/>
      <c r="H548" s="224"/>
      <c r="I548" s="224"/>
      <c r="J548" s="224"/>
      <c r="K548" s="224"/>
      <c r="L548" s="224"/>
      <c r="M548" s="224"/>
      <c r="N548" s="224"/>
      <c r="O548" s="224"/>
      <c r="P548" s="224"/>
      <c r="Q548" s="224"/>
      <c r="R548" s="224"/>
      <c r="S548" s="224"/>
      <c r="T548" s="224"/>
      <c r="U548" s="224"/>
      <c r="V548" s="224"/>
      <c r="W548" s="224"/>
      <c r="X548" s="224"/>
      <c r="Y548" s="224"/>
      <c r="Z548" s="224"/>
      <c r="AA548" s="224"/>
      <c r="AB548" s="224"/>
      <c r="AC548" s="224"/>
    </row>
    <row r="549" spans="1:29" s="24" customFormat="1" ht="12.75">
      <c r="A549" s="223"/>
      <c r="B549" s="223"/>
      <c r="C549" s="223"/>
      <c r="D549" s="223"/>
      <c r="E549" s="224"/>
      <c r="F549" s="224"/>
      <c r="G549" s="224"/>
      <c r="H549" s="224"/>
      <c r="I549" s="224"/>
      <c r="J549" s="224"/>
      <c r="K549" s="224"/>
      <c r="L549" s="224"/>
      <c r="M549" s="224"/>
      <c r="N549" s="224"/>
      <c r="O549" s="224"/>
      <c r="P549" s="224"/>
      <c r="Q549" s="224"/>
      <c r="R549" s="224"/>
      <c r="S549" s="224"/>
      <c r="T549" s="224"/>
      <c r="U549" s="224"/>
      <c r="V549" s="224"/>
      <c r="W549" s="224"/>
      <c r="X549" s="224"/>
      <c r="Y549" s="224"/>
      <c r="Z549" s="224"/>
      <c r="AA549" s="224"/>
      <c r="AB549" s="224"/>
      <c r="AC549" s="224"/>
    </row>
    <row r="550" spans="1:29" s="24" customFormat="1" ht="12.75">
      <c r="A550" s="223"/>
      <c r="B550" s="223"/>
      <c r="C550" s="223"/>
      <c r="D550" s="223"/>
      <c r="E550" s="224"/>
      <c r="F550" s="224"/>
      <c r="G550" s="224"/>
      <c r="H550" s="224"/>
      <c r="I550" s="224"/>
      <c r="J550" s="224"/>
      <c r="K550" s="224"/>
      <c r="L550" s="224"/>
      <c r="M550" s="224"/>
      <c r="N550" s="224"/>
      <c r="O550" s="224"/>
      <c r="P550" s="224"/>
      <c r="Q550" s="224"/>
      <c r="R550" s="224"/>
      <c r="S550" s="224"/>
      <c r="T550" s="224"/>
      <c r="U550" s="224"/>
      <c r="V550" s="224"/>
      <c r="W550" s="224"/>
      <c r="X550" s="224"/>
      <c r="Y550" s="224"/>
      <c r="Z550" s="224"/>
      <c r="AA550" s="224"/>
      <c r="AB550" s="224"/>
      <c r="AC550" s="224"/>
    </row>
    <row r="551" spans="1:29" s="24" customFormat="1" ht="12.75">
      <c r="A551" s="223"/>
      <c r="B551" s="223"/>
      <c r="C551" s="223"/>
      <c r="D551" s="223"/>
      <c r="E551" s="224"/>
      <c r="F551" s="224"/>
      <c r="G551" s="224"/>
      <c r="H551" s="224"/>
      <c r="I551" s="224"/>
      <c r="J551" s="224"/>
      <c r="K551" s="224"/>
      <c r="L551" s="224"/>
      <c r="M551" s="224"/>
      <c r="N551" s="224"/>
      <c r="O551" s="224"/>
      <c r="P551" s="224"/>
      <c r="Q551" s="224"/>
      <c r="R551" s="224"/>
      <c r="S551" s="224"/>
      <c r="T551" s="224"/>
      <c r="U551" s="224"/>
      <c r="V551" s="224"/>
      <c r="W551" s="224"/>
      <c r="X551" s="224"/>
      <c r="Y551" s="224"/>
      <c r="Z551" s="224"/>
      <c r="AA551" s="224"/>
      <c r="AB551" s="224"/>
      <c r="AC551" s="224"/>
    </row>
    <row r="552" spans="1:29" s="24" customFormat="1" ht="12.75">
      <c r="A552" s="223"/>
      <c r="B552" s="223"/>
      <c r="C552" s="223"/>
      <c r="D552" s="223"/>
      <c r="E552" s="224"/>
      <c r="F552" s="224"/>
      <c r="G552" s="224"/>
      <c r="H552" s="224"/>
      <c r="I552" s="224"/>
      <c r="J552" s="224"/>
      <c r="K552" s="224"/>
      <c r="L552" s="224"/>
      <c r="M552" s="224"/>
      <c r="N552" s="224"/>
      <c r="O552" s="224"/>
      <c r="P552" s="224"/>
      <c r="Q552" s="224"/>
      <c r="R552" s="224"/>
      <c r="S552" s="224"/>
      <c r="T552" s="224"/>
      <c r="U552" s="224"/>
      <c r="V552" s="224"/>
      <c r="W552" s="224"/>
      <c r="X552" s="224"/>
      <c r="Y552" s="224"/>
      <c r="Z552" s="224"/>
      <c r="AA552" s="224"/>
      <c r="AB552" s="224"/>
      <c r="AC552" s="224"/>
    </row>
    <row r="553" spans="1:29" s="24" customFormat="1" ht="12.75">
      <c r="A553" s="223"/>
      <c r="B553" s="223"/>
      <c r="C553" s="223"/>
      <c r="D553" s="223"/>
      <c r="E553" s="224"/>
      <c r="F553" s="224"/>
      <c r="G553" s="224"/>
      <c r="H553" s="224"/>
      <c r="I553" s="224"/>
      <c r="J553" s="224"/>
      <c r="K553" s="224"/>
      <c r="L553" s="224"/>
      <c r="M553" s="224"/>
      <c r="N553" s="224"/>
      <c r="O553" s="224"/>
      <c r="P553" s="224"/>
      <c r="Q553" s="224"/>
      <c r="R553" s="224"/>
      <c r="S553" s="224"/>
      <c r="T553" s="224"/>
      <c r="U553" s="224"/>
      <c r="V553" s="224"/>
      <c r="W553" s="224"/>
      <c r="X553" s="224"/>
      <c r="Y553" s="224"/>
      <c r="Z553" s="224"/>
      <c r="AA553" s="224"/>
      <c r="AB553" s="224"/>
      <c r="AC553" s="224"/>
    </row>
    <row r="554" spans="1:29" s="24" customFormat="1" ht="12.75">
      <c r="A554" s="223"/>
      <c r="B554" s="223"/>
      <c r="C554" s="223"/>
      <c r="D554" s="223"/>
      <c r="E554" s="224"/>
      <c r="F554" s="224"/>
      <c r="G554" s="224"/>
      <c r="H554" s="224"/>
      <c r="I554" s="224"/>
      <c r="J554" s="224"/>
      <c r="K554" s="224"/>
      <c r="L554" s="224"/>
      <c r="M554" s="224"/>
      <c r="N554" s="224"/>
      <c r="O554" s="224"/>
      <c r="P554" s="224"/>
      <c r="Q554" s="224"/>
      <c r="R554" s="224"/>
      <c r="S554" s="224"/>
      <c r="T554" s="224"/>
      <c r="U554" s="224"/>
      <c r="V554" s="224"/>
      <c r="W554" s="224"/>
      <c r="X554" s="224"/>
      <c r="Y554" s="224"/>
      <c r="Z554" s="224"/>
      <c r="AA554" s="224"/>
      <c r="AB554" s="224"/>
      <c r="AC554" s="224"/>
    </row>
    <row r="555" spans="1:29" s="24" customFormat="1" ht="12.75">
      <c r="A555" s="223"/>
      <c r="B555" s="223"/>
      <c r="C555" s="223"/>
      <c r="D555" s="223"/>
      <c r="E555" s="224"/>
      <c r="F555" s="224"/>
      <c r="G555" s="224"/>
      <c r="H555" s="224"/>
      <c r="I555" s="224"/>
      <c r="J555" s="224"/>
      <c r="K555" s="224"/>
      <c r="L555" s="224"/>
      <c r="M555" s="224"/>
      <c r="N555" s="224"/>
      <c r="O555" s="224"/>
      <c r="P555" s="224"/>
      <c r="Q555" s="224"/>
      <c r="R555" s="224"/>
      <c r="S555" s="224"/>
      <c r="T555" s="224"/>
      <c r="U555" s="224"/>
      <c r="V555" s="224"/>
      <c r="W555" s="224"/>
      <c r="X555" s="224"/>
      <c r="Y555" s="224"/>
      <c r="Z555" s="224"/>
      <c r="AA555" s="224"/>
      <c r="AB555" s="224"/>
      <c r="AC555" s="224"/>
    </row>
    <row r="556" spans="1:29" s="24" customFormat="1" ht="12.75">
      <c r="A556" s="223"/>
      <c r="B556" s="223"/>
      <c r="C556" s="223"/>
      <c r="D556" s="223"/>
      <c r="E556" s="224"/>
      <c r="F556" s="224"/>
      <c r="G556" s="224"/>
      <c r="H556" s="224"/>
      <c r="I556" s="224"/>
      <c r="J556" s="224"/>
      <c r="K556" s="224"/>
      <c r="L556" s="224"/>
      <c r="M556" s="224"/>
      <c r="N556" s="224"/>
      <c r="O556" s="224"/>
      <c r="P556" s="224"/>
      <c r="Q556" s="224"/>
      <c r="R556" s="224"/>
      <c r="S556" s="224"/>
      <c r="T556" s="224"/>
      <c r="U556" s="224"/>
      <c r="V556" s="224"/>
      <c r="W556" s="224"/>
      <c r="X556" s="224"/>
      <c r="Y556" s="224"/>
      <c r="Z556" s="224"/>
      <c r="AA556" s="224"/>
      <c r="AB556" s="224"/>
      <c r="AC556" s="224"/>
    </row>
    <row r="557" spans="1:29" s="24" customFormat="1" ht="12.75">
      <c r="A557" s="223"/>
      <c r="B557" s="223"/>
      <c r="C557" s="223"/>
      <c r="D557" s="223"/>
      <c r="E557" s="224"/>
      <c r="F557" s="224"/>
      <c r="G557" s="224"/>
      <c r="H557" s="224"/>
      <c r="I557" s="224"/>
      <c r="J557" s="224"/>
      <c r="K557" s="224"/>
      <c r="L557" s="224"/>
      <c r="M557" s="224"/>
      <c r="N557" s="224"/>
      <c r="O557" s="224"/>
      <c r="P557" s="224"/>
      <c r="Q557" s="224"/>
      <c r="R557" s="224"/>
      <c r="S557" s="224"/>
      <c r="T557" s="224"/>
      <c r="U557" s="224"/>
      <c r="V557" s="224"/>
      <c r="W557" s="224"/>
      <c r="X557" s="224"/>
      <c r="Y557" s="224"/>
      <c r="Z557" s="224"/>
      <c r="AA557" s="224"/>
      <c r="AB557" s="224"/>
      <c r="AC557" s="224"/>
    </row>
    <row r="558" spans="1:29" s="24" customFormat="1" ht="12.75">
      <c r="A558" s="223"/>
      <c r="B558" s="223"/>
      <c r="C558" s="223"/>
      <c r="D558" s="223"/>
      <c r="E558" s="224"/>
      <c r="F558" s="224"/>
      <c r="G558" s="224"/>
      <c r="H558" s="224"/>
      <c r="I558" s="224"/>
      <c r="J558" s="224"/>
      <c r="K558" s="224"/>
      <c r="L558" s="224"/>
      <c r="M558" s="224"/>
      <c r="N558" s="224"/>
      <c r="O558" s="224"/>
      <c r="P558" s="224"/>
      <c r="Q558" s="224"/>
      <c r="R558" s="224"/>
      <c r="S558" s="224"/>
      <c r="T558" s="224"/>
      <c r="U558" s="224"/>
      <c r="V558" s="224"/>
      <c r="W558" s="224"/>
      <c r="X558" s="224"/>
      <c r="Y558" s="224"/>
      <c r="Z558" s="224"/>
      <c r="AA558" s="224"/>
      <c r="AB558" s="224"/>
      <c r="AC558" s="224"/>
    </row>
    <row r="559" spans="1:29" s="24" customFormat="1" ht="12.75">
      <c r="A559" s="223"/>
      <c r="B559" s="223"/>
      <c r="C559" s="223"/>
      <c r="D559" s="223"/>
      <c r="E559" s="224"/>
      <c r="F559" s="224"/>
      <c r="G559" s="224"/>
      <c r="H559" s="224"/>
      <c r="I559" s="224"/>
      <c r="J559" s="224"/>
      <c r="K559" s="224"/>
      <c r="L559" s="224"/>
      <c r="M559" s="224"/>
      <c r="N559" s="224"/>
      <c r="O559" s="224"/>
      <c r="P559" s="224"/>
      <c r="Q559" s="224"/>
      <c r="R559" s="224"/>
      <c r="S559" s="224"/>
      <c r="T559" s="224"/>
      <c r="U559" s="224"/>
      <c r="V559" s="224"/>
      <c r="W559" s="224"/>
      <c r="X559" s="224"/>
      <c r="Y559" s="224"/>
      <c r="Z559" s="224"/>
      <c r="AA559" s="224"/>
      <c r="AB559" s="224"/>
      <c r="AC559" s="224"/>
    </row>
    <row r="560" spans="1:29" s="24" customFormat="1" ht="12.75">
      <c r="A560" s="223"/>
      <c r="B560" s="223"/>
      <c r="C560" s="223"/>
      <c r="D560" s="223"/>
      <c r="E560" s="224"/>
      <c r="F560" s="224"/>
      <c r="G560" s="224"/>
      <c r="H560" s="224"/>
      <c r="I560" s="224"/>
      <c r="J560" s="224"/>
      <c r="K560" s="224"/>
      <c r="L560" s="224"/>
      <c r="M560" s="224"/>
      <c r="N560" s="224"/>
      <c r="O560" s="224"/>
      <c r="P560" s="224"/>
      <c r="Q560" s="224"/>
      <c r="R560" s="224"/>
      <c r="S560" s="224"/>
      <c r="T560" s="224"/>
      <c r="U560" s="224"/>
      <c r="V560" s="224"/>
      <c r="W560" s="224"/>
      <c r="X560" s="224"/>
      <c r="Y560" s="224"/>
      <c r="Z560" s="224"/>
      <c r="AA560" s="224"/>
      <c r="AB560" s="224"/>
      <c r="AC560" s="224"/>
    </row>
    <row r="561" spans="1:29" s="24" customFormat="1" ht="12.75">
      <c r="A561" s="223"/>
      <c r="B561" s="223"/>
      <c r="C561" s="223"/>
      <c r="D561" s="223"/>
      <c r="E561" s="224"/>
      <c r="F561" s="224"/>
      <c r="G561" s="224"/>
      <c r="H561" s="224"/>
      <c r="I561" s="224"/>
      <c r="J561" s="224"/>
      <c r="K561" s="224"/>
      <c r="L561" s="224"/>
      <c r="M561" s="224"/>
      <c r="N561" s="224"/>
      <c r="O561" s="224"/>
      <c r="P561" s="224"/>
      <c r="Q561" s="224"/>
      <c r="R561" s="224"/>
      <c r="S561" s="224"/>
      <c r="T561" s="224"/>
      <c r="U561" s="224"/>
      <c r="V561" s="224"/>
      <c r="W561" s="224"/>
      <c r="X561" s="224"/>
      <c r="Y561" s="224"/>
      <c r="Z561" s="224"/>
      <c r="AA561" s="224"/>
      <c r="AB561" s="224"/>
      <c r="AC561" s="224"/>
    </row>
    <row r="562" spans="1:29" s="24" customFormat="1" ht="12.75">
      <c r="A562" s="223"/>
      <c r="B562" s="223"/>
      <c r="C562" s="223"/>
      <c r="D562" s="223"/>
      <c r="E562" s="224"/>
      <c r="F562" s="224"/>
      <c r="G562" s="224"/>
      <c r="H562" s="224"/>
      <c r="I562" s="224"/>
      <c r="J562" s="224"/>
      <c r="K562" s="224"/>
      <c r="L562" s="224"/>
      <c r="M562" s="224"/>
      <c r="N562" s="224"/>
      <c r="O562" s="224"/>
      <c r="P562" s="224"/>
      <c r="Q562" s="224"/>
      <c r="R562" s="224"/>
      <c r="S562" s="224"/>
      <c r="T562" s="224"/>
      <c r="U562" s="224"/>
      <c r="V562" s="224"/>
      <c r="W562" s="224"/>
      <c r="X562" s="224"/>
      <c r="Y562" s="224"/>
      <c r="Z562" s="224"/>
      <c r="AA562" s="224"/>
      <c r="AB562" s="224"/>
      <c r="AC562" s="224"/>
    </row>
    <row r="563" spans="1:29" s="24" customFormat="1" ht="12.75">
      <c r="A563" s="223"/>
      <c r="B563" s="223"/>
      <c r="C563" s="223"/>
      <c r="D563" s="223"/>
      <c r="E563" s="224"/>
      <c r="F563" s="224"/>
      <c r="G563" s="224"/>
      <c r="H563" s="224"/>
      <c r="I563" s="224"/>
      <c r="J563" s="224"/>
      <c r="K563" s="224"/>
      <c r="L563" s="224"/>
      <c r="M563" s="224"/>
      <c r="N563" s="224"/>
      <c r="O563" s="224"/>
      <c r="P563" s="224"/>
      <c r="Q563" s="224"/>
      <c r="R563" s="224"/>
      <c r="S563" s="224"/>
      <c r="T563" s="224"/>
      <c r="U563" s="224"/>
      <c r="V563" s="224"/>
      <c r="W563" s="224"/>
      <c r="X563" s="224"/>
      <c r="Y563" s="224"/>
      <c r="Z563" s="224"/>
      <c r="AA563" s="224"/>
      <c r="AB563" s="224"/>
      <c r="AC563" s="224"/>
    </row>
    <row r="564" spans="1:29" s="24" customFormat="1" ht="12.75">
      <c r="A564" s="223"/>
      <c r="B564" s="223"/>
      <c r="C564" s="223"/>
      <c r="D564" s="223"/>
      <c r="E564" s="224"/>
      <c r="F564" s="224"/>
      <c r="G564" s="224"/>
      <c r="H564" s="224"/>
      <c r="I564" s="224"/>
      <c r="J564" s="224"/>
      <c r="K564" s="224"/>
      <c r="L564" s="224"/>
      <c r="M564" s="224"/>
      <c r="N564" s="224"/>
      <c r="O564" s="224"/>
      <c r="P564" s="224"/>
      <c r="Q564" s="224"/>
      <c r="R564" s="224"/>
      <c r="S564" s="224"/>
      <c r="T564" s="224"/>
      <c r="U564" s="224"/>
      <c r="V564" s="224"/>
      <c r="W564" s="224"/>
      <c r="X564" s="224"/>
      <c r="Y564" s="224"/>
      <c r="Z564" s="224"/>
      <c r="AA564" s="224"/>
      <c r="AB564" s="224"/>
      <c r="AC564" s="224"/>
    </row>
    <row r="565" spans="1:29" s="24" customFormat="1" ht="12.75">
      <c r="A565" s="223"/>
      <c r="B565" s="223"/>
      <c r="C565" s="223"/>
      <c r="D565" s="223"/>
      <c r="E565" s="224"/>
      <c r="F565" s="224"/>
      <c r="G565" s="224"/>
      <c r="H565" s="224"/>
      <c r="I565" s="224"/>
      <c r="J565" s="224"/>
      <c r="K565" s="224"/>
      <c r="L565" s="224"/>
      <c r="M565" s="224"/>
      <c r="N565" s="224"/>
      <c r="O565" s="224"/>
      <c r="P565" s="224"/>
      <c r="Q565" s="224"/>
      <c r="R565" s="224"/>
      <c r="S565" s="224"/>
      <c r="T565" s="224"/>
      <c r="U565" s="224"/>
      <c r="V565" s="224"/>
      <c r="W565" s="224"/>
      <c r="X565" s="224"/>
      <c r="Y565" s="224"/>
      <c r="Z565" s="224"/>
      <c r="AA565" s="224"/>
      <c r="AB565" s="224"/>
      <c r="AC565" s="224"/>
    </row>
    <row r="566" spans="1:29" s="24" customFormat="1" ht="12.75">
      <c r="A566" s="223"/>
      <c r="B566" s="223"/>
      <c r="C566" s="223"/>
      <c r="D566" s="223"/>
      <c r="E566" s="224"/>
      <c r="F566" s="224"/>
      <c r="G566" s="224"/>
      <c r="H566" s="224"/>
      <c r="I566" s="224"/>
      <c r="J566" s="224"/>
      <c r="K566" s="224"/>
      <c r="L566" s="224"/>
      <c r="M566" s="224"/>
      <c r="N566" s="224"/>
      <c r="O566" s="224"/>
      <c r="P566" s="224"/>
      <c r="Q566" s="224"/>
      <c r="R566" s="224"/>
      <c r="S566" s="224"/>
      <c r="T566" s="224"/>
      <c r="U566" s="224"/>
      <c r="V566" s="224"/>
      <c r="W566" s="224"/>
      <c r="X566" s="224"/>
      <c r="Y566" s="224"/>
      <c r="Z566" s="224"/>
      <c r="AA566" s="224"/>
      <c r="AB566" s="224"/>
      <c r="AC566" s="224"/>
    </row>
    <row r="567" spans="1:29" s="24" customFormat="1" ht="12.75">
      <c r="A567" s="223"/>
      <c r="B567" s="223"/>
      <c r="C567" s="223"/>
      <c r="D567" s="223"/>
      <c r="E567" s="224"/>
      <c r="F567" s="224"/>
      <c r="G567" s="224"/>
      <c r="H567" s="224"/>
      <c r="I567" s="224"/>
      <c r="J567" s="224"/>
      <c r="K567" s="224"/>
      <c r="L567" s="224"/>
      <c r="M567" s="224"/>
      <c r="N567" s="224"/>
      <c r="O567" s="224"/>
      <c r="P567" s="224"/>
      <c r="Q567" s="224"/>
      <c r="R567" s="224"/>
      <c r="S567" s="224"/>
      <c r="T567" s="224"/>
      <c r="U567" s="224"/>
      <c r="V567" s="224"/>
      <c r="W567" s="224"/>
      <c r="X567" s="224"/>
      <c r="Y567" s="224"/>
      <c r="Z567" s="224"/>
      <c r="AA567" s="224"/>
      <c r="AB567" s="224"/>
      <c r="AC567" s="224"/>
    </row>
    <row r="568" spans="1:29" s="24" customFormat="1" ht="12.75">
      <c r="A568" s="223"/>
      <c r="B568" s="223"/>
      <c r="C568" s="223"/>
      <c r="D568" s="223"/>
      <c r="E568" s="224"/>
      <c r="F568" s="224"/>
      <c r="G568" s="224"/>
      <c r="H568" s="224"/>
      <c r="I568" s="224"/>
      <c r="J568" s="224"/>
      <c r="K568" s="224"/>
      <c r="L568" s="224"/>
      <c r="M568" s="224"/>
      <c r="N568" s="224"/>
      <c r="O568" s="224"/>
      <c r="P568" s="224"/>
      <c r="Q568" s="224"/>
      <c r="R568" s="224"/>
      <c r="S568" s="224"/>
      <c r="T568" s="224"/>
      <c r="U568" s="224"/>
      <c r="V568" s="224"/>
      <c r="W568" s="224"/>
      <c r="X568" s="224"/>
      <c r="Y568" s="224"/>
      <c r="Z568" s="224"/>
      <c r="AA568" s="224"/>
      <c r="AB568" s="224"/>
      <c r="AC568" s="224"/>
    </row>
    <row r="569" spans="1:29" s="24" customFormat="1" ht="12.75">
      <c r="A569" s="225"/>
      <c r="B569" s="225"/>
      <c r="C569" s="223"/>
      <c r="D569" s="223"/>
      <c r="E569" s="224"/>
      <c r="F569" s="224"/>
      <c r="G569" s="224"/>
      <c r="H569" s="224"/>
      <c r="I569" s="224"/>
      <c r="J569" s="224"/>
      <c r="K569" s="224"/>
      <c r="L569" s="224"/>
      <c r="M569" s="224"/>
      <c r="N569" s="224"/>
      <c r="O569" s="224"/>
      <c r="P569" s="224"/>
      <c r="Q569" s="224"/>
      <c r="R569" s="224"/>
      <c r="S569" s="224"/>
      <c r="T569" s="224"/>
      <c r="U569" s="224"/>
      <c r="V569" s="224"/>
      <c r="W569" s="224"/>
      <c r="X569" s="224"/>
      <c r="Y569" s="224"/>
      <c r="Z569" s="224"/>
      <c r="AA569" s="224"/>
      <c r="AB569" s="224"/>
      <c r="AC569" s="224"/>
    </row>
    <row r="570" spans="1:29" s="24" customFormat="1" ht="12.75">
      <c r="A570" s="226"/>
      <c r="B570" s="226"/>
      <c r="C570" s="223"/>
      <c r="D570" s="223"/>
      <c r="E570" s="224"/>
      <c r="F570" s="224"/>
      <c r="G570" s="224"/>
      <c r="H570" s="224"/>
      <c r="I570" s="224"/>
      <c r="J570" s="224"/>
      <c r="K570" s="224"/>
      <c r="L570" s="224"/>
      <c r="M570" s="224"/>
      <c r="N570" s="224"/>
      <c r="O570" s="224"/>
      <c r="P570" s="224"/>
      <c r="Q570" s="224"/>
      <c r="R570" s="224"/>
      <c r="S570" s="224"/>
      <c r="T570" s="224"/>
      <c r="U570" s="224"/>
      <c r="V570" s="224"/>
      <c r="W570" s="224"/>
      <c r="X570" s="224"/>
      <c r="Y570" s="224"/>
      <c r="Z570" s="224"/>
      <c r="AA570" s="224"/>
      <c r="AB570" s="224"/>
      <c r="AC570" s="224"/>
    </row>
    <row r="571" spans="1:29" s="24" customFormat="1" ht="12.75">
      <c r="A571" s="226"/>
      <c r="B571" s="226"/>
      <c r="C571" s="223"/>
      <c r="D571" s="223"/>
      <c r="E571" s="224"/>
      <c r="F571" s="224"/>
      <c r="G571" s="224"/>
      <c r="H571" s="224"/>
      <c r="I571" s="224"/>
      <c r="J571" s="224"/>
      <c r="K571" s="224"/>
      <c r="L571" s="224"/>
      <c r="M571" s="224"/>
      <c r="N571" s="224"/>
      <c r="O571" s="224"/>
      <c r="P571" s="224"/>
      <c r="Q571" s="224"/>
      <c r="R571" s="224"/>
      <c r="S571" s="224"/>
      <c r="T571" s="224"/>
      <c r="U571" s="224"/>
      <c r="V571" s="224"/>
      <c r="W571" s="224"/>
      <c r="X571" s="224"/>
      <c r="Y571" s="224"/>
      <c r="Z571" s="224"/>
      <c r="AA571" s="224"/>
      <c r="AB571" s="224"/>
      <c r="AC571" s="224"/>
    </row>
    <row r="572" spans="1:29" s="24" customFormat="1" ht="12.75">
      <c r="A572" s="226"/>
      <c r="B572" s="226"/>
      <c r="C572" s="223"/>
      <c r="D572" s="223"/>
      <c r="E572" s="224"/>
      <c r="F572" s="224"/>
      <c r="G572" s="224"/>
      <c r="H572" s="224"/>
      <c r="I572" s="224"/>
      <c r="J572" s="224"/>
      <c r="K572" s="224"/>
      <c r="L572" s="224"/>
      <c r="M572" s="224"/>
      <c r="N572" s="224"/>
      <c r="O572" s="224"/>
      <c r="P572" s="224"/>
      <c r="Q572" s="224"/>
      <c r="R572" s="224"/>
      <c r="S572" s="224"/>
      <c r="T572" s="224"/>
      <c r="U572" s="224"/>
      <c r="V572" s="224"/>
      <c r="W572" s="224"/>
      <c r="X572" s="224"/>
      <c r="Y572" s="224"/>
      <c r="Z572" s="224"/>
      <c r="AA572" s="224"/>
      <c r="AB572" s="224"/>
      <c r="AC572" s="224"/>
    </row>
    <row r="573" spans="1:29" s="24" customFormat="1" ht="12.75">
      <c r="A573" s="226"/>
      <c r="B573" s="226"/>
      <c r="C573" s="223"/>
      <c r="D573" s="227"/>
      <c r="E573" s="224"/>
      <c r="F573" s="224"/>
      <c r="G573" s="224"/>
      <c r="H573" s="224"/>
      <c r="I573" s="224"/>
      <c r="J573" s="224"/>
      <c r="K573" s="224"/>
      <c r="L573" s="224"/>
      <c r="M573" s="224"/>
      <c r="N573" s="224"/>
      <c r="O573" s="224"/>
      <c r="P573" s="224"/>
      <c r="Q573" s="224"/>
      <c r="R573" s="224"/>
      <c r="S573" s="224"/>
      <c r="T573" s="224"/>
      <c r="U573" s="224"/>
      <c r="V573" s="224"/>
      <c r="W573" s="224"/>
      <c r="X573" s="224"/>
      <c r="Y573" s="224"/>
      <c r="Z573" s="224"/>
      <c r="AA573" s="224"/>
      <c r="AB573" s="224"/>
      <c r="AC573" s="224"/>
    </row>
    <row r="574" spans="1:29" s="24" customFormat="1" ht="12.75">
      <c r="A574" s="226"/>
      <c r="B574" s="226"/>
      <c r="C574" s="223"/>
      <c r="D574" s="227"/>
      <c r="E574" s="224"/>
      <c r="F574" s="224"/>
      <c r="G574" s="224"/>
      <c r="H574" s="224"/>
      <c r="I574" s="224"/>
      <c r="J574" s="224"/>
      <c r="K574" s="224"/>
      <c r="L574" s="224"/>
      <c r="M574" s="224"/>
      <c r="N574" s="224"/>
      <c r="O574" s="224"/>
      <c r="P574" s="224"/>
      <c r="Q574" s="224"/>
      <c r="R574" s="224"/>
      <c r="S574" s="224"/>
      <c r="T574" s="224"/>
      <c r="U574" s="224"/>
      <c r="V574" s="224"/>
      <c r="W574" s="224"/>
      <c r="X574" s="224"/>
      <c r="Y574" s="224"/>
      <c r="Z574" s="224"/>
      <c r="AA574" s="224"/>
      <c r="AB574" s="224"/>
      <c r="AC574" s="224"/>
    </row>
    <row r="575" spans="1:29" s="24" customFormat="1" ht="12.75">
      <c r="A575" s="226"/>
      <c r="B575" s="226"/>
      <c r="C575" s="223"/>
      <c r="D575" s="223"/>
      <c r="E575" s="224"/>
      <c r="F575" s="224"/>
      <c r="G575" s="224"/>
      <c r="H575" s="224"/>
      <c r="I575" s="224"/>
      <c r="J575" s="224"/>
      <c r="K575" s="224"/>
      <c r="L575" s="224"/>
      <c r="M575" s="224"/>
      <c r="N575" s="224"/>
      <c r="O575" s="224"/>
      <c r="P575" s="224"/>
      <c r="Q575" s="224"/>
      <c r="R575" s="224"/>
      <c r="S575" s="224"/>
      <c r="T575" s="224"/>
      <c r="U575" s="224"/>
      <c r="V575" s="224"/>
      <c r="W575" s="224"/>
      <c r="X575" s="224"/>
      <c r="Y575" s="224"/>
      <c r="Z575" s="224"/>
      <c r="AA575" s="224"/>
      <c r="AB575" s="224"/>
      <c r="AC575" s="224"/>
    </row>
    <row r="576" spans="1:29" s="24" customFormat="1" ht="12.75">
      <c r="A576" s="226"/>
      <c r="B576" s="226"/>
      <c r="C576" s="223"/>
      <c r="D576" s="227"/>
      <c r="E576" s="224"/>
      <c r="F576" s="224"/>
      <c r="G576" s="224"/>
      <c r="H576" s="224"/>
      <c r="I576" s="224"/>
      <c r="J576" s="224"/>
      <c r="K576" s="224"/>
      <c r="L576" s="224"/>
      <c r="M576" s="224"/>
      <c r="N576" s="224"/>
      <c r="O576" s="224"/>
      <c r="P576" s="224"/>
      <c r="Q576" s="224"/>
      <c r="R576" s="224"/>
      <c r="S576" s="224"/>
      <c r="T576" s="224"/>
      <c r="U576" s="224"/>
      <c r="V576" s="224"/>
      <c r="W576" s="224"/>
      <c r="X576" s="224"/>
      <c r="Y576" s="224"/>
      <c r="Z576" s="224"/>
      <c r="AA576" s="224"/>
      <c r="AB576" s="224"/>
      <c r="AC576" s="224"/>
    </row>
    <row r="577" spans="1:29" s="24" customFormat="1" ht="12.75">
      <c r="A577" s="226"/>
      <c r="B577" s="226"/>
      <c r="C577" s="223"/>
      <c r="D577" s="227"/>
      <c r="E577" s="224"/>
      <c r="F577" s="224"/>
      <c r="G577" s="224"/>
      <c r="H577" s="224"/>
      <c r="I577" s="224"/>
      <c r="J577" s="224"/>
      <c r="K577" s="224"/>
      <c r="L577" s="224"/>
      <c r="M577" s="224"/>
      <c r="N577" s="224"/>
      <c r="O577" s="224"/>
      <c r="P577" s="224"/>
      <c r="Q577" s="224"/>
      <c r="R577" s="224"/>
      <c r="S577" s="224"/>
      <c r="T577" s="224"/>
      <c r="U577" s="224"/>
      <c r="V577" s="224"/>
      <c r="W577" s="224"/>
      <c r="X577" s="224"/>
      <c r="Y577" s="224"/>
      <c r="Z577" s="224"/>
      <c r="AA577" s="224"/>
      <c r="AB577" s="224"/>
      <c r="AC577" s="224"/>
    </row>
    <row r="578" spans="1:29" s="24" customFormat="1" ht="12.75">
      <c r="A578" s="226"/>
      <c r="B578" s="226"/>
      <c r="C578" s="223"/>
      <c r="D578" s="223"/>
      <c r="E578" s="224"/>
      <c r="F578" s="224"/>
      <c r="G578" s="224"/>
      <c r="H578" s="224"/>
      <c r="I578" s="224"/>
      <c r="J578" s="224"/>
      <c r="K578" s="224"/>
      <c r="L578" s="224"/>
      <c r="M578" s="224"/>
      <c r="N578" s="224"/>
      <c r="O578" s="224"/>
      <c r="P578" s="224"/>
      <c r="Q578" s="224"/>
      <c r="R578" s="224"/>
      <c r="S578" s="224"/>
      <c r="T578" s="224"/>
      <c r="U578" s="224"/>
      <c r="V578" s="224"/>
      <c r="W578" s="224"/>
      <c r="X578" s="224"/>
      <c r="Y578" s="224"/>
      <c r="Z578" s="224"/>
      <c r="AA578" s="224"/>
      <c r="AB578" s="224"/>
      <c r="AC578" s="224"/>
    </row>
    <row r="579" spans="1:29" s="24" customFormat="1" ht="12.75">
      <c r="A579" s="226"/>
      <c r="B579" s="226"/>
      <c r="C579" s="223"/>
      <c r="D579" s="227"/>
      <c r="E579" s="224"/>
      <c r="F579" s="224"/>
      <c r="G579" s="224"/>
      <c r="H579" s="224"/>
      <c r="I579" s="224"/>
      <c r="J579" s="224"/>
      <c r="K579" s="224"/>
      <c r="L579" s="224"/>
      <c r="M579" s="224"/>
      <c r="N579" s="224"/>
      <c r="O579" s="224"/>
      <c r="P579" s="224"/>
      <c r="Q579" s="224"/>
      <c r="R579" s="224"/>
      <c r="S579" s="224"/>
      <c r="T579" s="224"/>
      <c r="U579" s="224"/>
      <c r="V579" s="224"/>
      <c r="W579" s="224"/>
      <c r="X579" s="224"/>
      <c r="Y579" s="224"/>
      <c r="Z579" s="224"/>
      <c r="AA579" s="224"/>
      <c r="AB579" s="224"/>
      <c r="AC579" s="224"/>
    </row>
    <row r="580" spans="1:29" s="24" customFormat="1" ht="12.75">
      <c r="A580" s="226"/>
      <c r="B580" s="226"/>
      <c r="C580" s="223"/>
      <c r="D580" s="227"/>
      <c r="E580" s="224"/>
      <c r="F580" s="224"/>
      <c r="G580" s="224"/>
      <c r="H580" s="224"/>
      <c r="I580" s="224"/>
      <c r="J580" s="224"/>
      <c r="K580" s="224"/>
      <c r="L580" s="224"/>
      <c r="M580" s="224"/>
      <c r="N580" s="224"/>
      <c r="O580" s="224"/>
      <c r="P580" s="224"/>
      <c r="Q580" s="224"/>
      <c r="R580" s="224"/>
      <c r="S580" s="224"/>
      <c r="T580" s="224"/>
      <c r="U580" s="224"/>
      <c r="V580" s="224"/>
      <c r="W580" s="224"/>
      <c r="X580" s="224"/>
      <c r="Y580" s="224"/>
      <c r="Z580" s="224"/>
      <c r="AA580" s="224"/>
      <c r="AB580" s="224"/>
      <c r="AC580" s="224"/>
    </row>
    <row r="581" spans="1:29" s="24" customFormat="1" ht="12.75">
      <c r="A581" s="226"/>
      <c r="B581" s="226"/>
      <c r="C581" s="223"/>
      <c r="D581" s="223"/>
      <c r="E581" s="224"/>
      <c r="F581" s="224"/>
      <c r="G581" s="224"/>
      <c r="H581" s="224"/>
      <c r="I581" s="224"/>
      <c r="J581" s="224"/>
      <c r="K581" s="224"/>
      <c r="L581" s="224"/>
      <c r="M581" s="224"/>
      <c r="N581" s="224"/>
      <c r="O581" s="224"/>
      <c r="P581" s="224"/>
      <c r="Q581" s="224"/>
      <c r="R581" s="224"/>
      <c r="S581" s="224"/>
      <c r="T581" s="224"/>
      <c r="U581" s="224"/>
      <c r="V581" s="224"/>
      <c r="W581" s="224"/>
      <c r="X581" s="224"/>
      <c r="Y581" s="224"/>
      <c r="Z581" s="224"/>
      <c r="AA581" s="224"/>
      <c r="AB581" s="224"/>
      <c r="AC581" s="224"/>
    </row>
    <row r="582" spans="1:29" s="24" customFormat="1" ht="12.75">
      <c r="A582" s="223"/>
      <c r="B582" s="223"/>
      <c r="C582" s="223"/>
      <c r="D582" s="223"/>
      <c r="E582" s="224"/>
      <c r="F582" s="224"/>
      <c r="G582" s="224"/>
      <c r="H582" s="224"/>
      <c r="I582" s="224"/>
      <c r="J582" s="224"/>
      <c r="K582" s="224"/>
      <c r="L582" s="224"/>
      <c r="M582" s="224"/>
      <c r="N582" s="224"/>
      <c r="O582" s="224"/>
      <c r="P582" s="224"/>
      <c r="Q582" s="224"/>
      <c r="R582" s="224"/>
      <c r="S582" s="224"/>
      <c r="T582" s="224"/>
      <c r="U582" s="224"/>
      <c r="V582" s="224"/>
      <c r="W582" s="224"/>
      <c r="X582" s="224"/>
      <c r="Y582" s="224"/>
      <c r="Z582" s="224"/>
      <c r="AA582" s="224"/>
      <c r="AB582" s="224"/>
      <c r="AC582" s="224"/>
    </row>
    <row r="583" spans="1:29" s="24" customFormat="1" ht="12.75">
      <c r="A583" s="223"/>
      <c r="B583" s="223"/>
      <c r="C583" s="223"/>
      <c r="D583" s="223"/>
      <c r="E583" s="224"/>
      <c r="F583" s="224"/>
      <c r="G583" s="224"/>
      <c r="H583" s="224"/>
      <c r="I583" s="224"/>
      <c r="J583" s="224"/>
      <c r="K583" s="224"/>
      <c r="L583" s="224"/>
      <c r="M583" s="224"/>
      <c r="N583" s="224"/>
      <c r="O583" s="224"/>
      <c r="P583" s="224"/>
      <c r="Q583" s="224"/>
      <c r="R583" s="224"/>
      <c r="S583" s="224"/>
      <c r="T583" s="224"/>
      <c r="U583" s="224"/>
      <c r="V583" s="224"/>
      <c r="W583" s="224"/>
      <c r="X583" s="224"/>
      <c r="Y583" s="224"/>
      <c r="Z583" s="224"/>
      <c r="AA583" s="224"/>
      <c r="AB583" s="224"/>
      <c r="AC583" s="224"/>
    </row>
    <row r="584" spans="1:29" s="24" customFormat="1" ht="12.75">
      <c r="A584" s="223"/>
      <c r="B584" s="223"/>
      <c r="C584" s="223"/>
      <c r="D584" s="223"/>
      <c r="E584" s="224"/>
      <c r="F584" s="224"/>
      <c r="G584" s="224"/>
      <c r="H584" s="224"/>
      <c r="I584" s="224"/>
      <c r="J584" s="224"/>
      <c r="K584" s="224"/>
      <c r="L584" s="224"/>
      <c r="M584" s="224"/>
      <c r="N584" s="224"/>
      <c r="O584" s="224"/>
      <c r="P584" s="224"/>
      <c r="Q584" s="224"/>
      <c r="R584" s="224"/>
      <c r="S584" s="224"/>
      <c r="T584" s="224"/>
      <c r="U584" s="224"/>
      <c r="V584" s="224"/>
      <c r="W584" s="224"/>
      <c r="X584" s="224"/>
      <c r="Y584" s="224"/>
      <c r="Z584" s="224"/>
      <c r="AA584" s="224"/>
      <c r="AB584" s="224"/>
      <c r="AC584" s="224"/>
    </row>
    <row r="585" spans="1:29" s="24" customFormat="1" ht="12.75">
      <c r="A585" s="223"/>
      <c r="B585" s="223"/>
      <c r="C585" s="223"/>
      <c r="D585" s="227"/>
      <c r="E585" s="224"/>
      <c r="F585" s="224"/>
      <c r="G585" s="224"/>
      <c r="H585" s="224"/>
      <c r="I585" s="224"/>
      <c r="J585" s="224"/>
      <c r="K585" s="224"/>
      <c r="L585" s="224"/>
      <c r="M585" s="224"/>
      <c r="N585" s="224"/>
      <c r="O585" s="224"/>
      <c r="P585" s="224"/>
      <c r="Q585" s="224"/>
      <c r="R585" s="224"/>
      <c r="S585" s="224"/>
      <c r="T585" s="224"/>
      <c r="U585" s="224"/>
      <c r="V585" s="224"/>
      <c r="W585" s="224"/>
      <c r="X585" s="224"/>
      <c r="Y585" s="224"/>
      <c r="Z585" s="224"/>
      <c r="AA585" s="224"/>
      <c r="AB585" s="224"/>
      <c r="AC585" s="224"/>
    </row>
    <row r="586" spans="1:29" s="24" customFormat="1" ht="12.75">
      <c r="A586" s="223"/>
      <c r="B586" s="223"/>
      <c r="C586" s="223"/>
      <c r="D586" s="223"/>
      <c r="E586" s="224"/>
      <c r="F586" s="224"/>
      <c r="G586" s="224"/>
      <c r="H586" s="224"/>
      <c r="I586" s="224"/>
      <c r="J586" s="224"/>
      <c r="K586" s="224"/>
      <c r="L586" s="224"/>
      <c r="M586" s="224"/>
      <c r="N586" s="224"/>
      <c r="O586" s="224"/>
      <c r="P586" s="224"/>
      <c r="Q586" s="224"/>
      <c r="R586" s="224"/>
      <c r="S586" s="224"/>
      <c r="T586" s="224"/>
      <c r="U586" s="224"/>
      <c r="V586" s="224"/>
      <c r="W586" s="224"/>
      <c r="X586" s="224"/>
      <c r="Y586" s="224"/>
      <c r="Z586" s="224"/>
      <c r="AA586" s="224"/>
      <c r="AB586" s="224"/>
      <c r="AC586" s="224"/>
    </row>
    <row r="587" spans="1:29" s="24" customFormat="1" ht="12.75">
      <c r="A587" s="223"/>
      <c r="B587" s="223"/>
      <c r="C587" s="223"/>
      <c r="D587" s="227"/>
      <c r="E587" s="224"/>
      <c r="F587" s="224"/>
      <c r="G587" s="224"/>
      <c r="H587" s="224"/>
      <c r="I587" s="224"/>
      <c r="J587" s="224"/>
      <c r="K587" s="224"/>
      <c r="L587" s="224"/>
      <c r="M587" s="224"/>
      <c r="N587" s="224"/>
      <c r="O587" s="224"/>
      <c r="P587" s="224"/>
      <c r="Q587" s="224"/>
      <c r="R587" s="224"/>
      <c r="S587" s="224"/>
      <c r="T587" s="224"/>
      <c r="U587" s="224"/>
      <c r="V587" s="224"/>
      <c r="W587" s="224"/>
      <c r="X587" s="224"/>
      <c r="Y587" s="224"/>
      <c r="Z587" s="224"/>
      <c r="AA587" s="224"/>
      <c r="AB587" s="224"/>
      <c r="AC587" s="224"/>
    </row>
    <row r="588" spans="1:29" s="24" customFormat="1" ht="12.75">
      <c r="A588" s="223"/>
      <c r="B588" s="223"/>
      <c r="C588" s="223"/>
      <c r="D588" s="227"/>
      <c r="E588" s="224"/>
      <c r="F588" s="224"/>
      <c r="G588" s="224"/>
      <c r="H588" s="224"/>
      <c r="I588" s="224"/>
      <c r="J588" s="224"/>
      <c r="K588" s="224"/>
      <c r="L588" s="224"/>
      <c r="M588" s="224"/>
      <c r="N588" s="224"/>
      <c r="O588" s="224"/>
      <c r="P588" s="224"/>
      <c r="Q588" s="224"/>
      <c r="R588" s="224"/>
      <c r="S588" s="224"/>
      <c r="T588" s="224"/>
      <c r="U588" s="224"/>
      <c r="V588" s="224"/>
      <c r="W588" s="224"/>
      <c r="X588" s="224"/>
      <c r="Y588" s="224"/>
      <c r="Z588" s="224"/>
      <c r="AA588" s="224"/>
      <c r="AB588" s="224"/>
      <c r="AC588" s="224"/>
    </row>
    <row r="589" spans="1:29" s="24" customFormat="1" ht="12.75">
      <c r="A589" s="223"/>
      <c r="B589" s="223"/>
      <c r="C589" s="223"/>
      <c r="D589" s="227"/>
      <c r="E589" s="224"/>
      <c r="F589" s="224"/>
      <c r="G589" s="224"/>
      <c r="H589" s="224"/>
      <c r="I589" s="224"/>
      <c r="J589" s="224"/>
      <c r="K589" s="224"/>
      <c r="L589" s="224"/>
      <c r="M589" s="224"/>
      <c r="N589" s="224"/>
      <c r="O589" s="224"/>
      <c r="P589" s="224"/>
      <c r="Q589" s="224"/>
      <c r="R589" s="224"/>
      <c r="S589" s="224"/>
      <c r="T589" s="224"/>
      <c r="U589" s="224"/>
      <c r="V589" s="224"/>
      <c r="W589" s="224"/>
      <c r="X589" s="224"/>
      <c r="Y589" s="224"/>
      <c r="Z589" s="224"/>
      <c r="AA589" s="224"/>
      <c r="AB589" s="224"/>
      <c r="AC589" s="224"/>
    </row>
    <row r="590" spans="1:29" s="24" customFormat="1" ht="12.75">
      <c r="A590" s="223"/>
      <c r="B590" s="223"/>
      <c r="C590" s="223"/>
      <c r="D590" s="223"/>
      <c r="E590" s="224"/>
      <c r="F590" s="224"/>
      <c r="G590" s="224"/>
      <c r="H590" s="224"/>
      <c r="I590" s="224"/>
      <c r="J590" s="224"/>
      <c r="K590" s="224"/>
      <c r="L590" s="224"/>
      <c r="M590" s="224"/>
      <c r="N590" s="224"/>
      <c r="O590" s="224"/>
      <c r="P590" s="224"/>
      <c r="Q590" s="224"/>
      <c r="R590" s="224"/>
      <c r="S590" s="224"/>
      <c r="T590" s="224"/>
      <c r="U590" s="224"/>
      <c r="V590" s="224"/>
      <c r="W590" s="224"/>
      <c r="X590" s="224"/>
      <c r="Y590" s="224"/>
      <c r="Z590" s="224"/>
      <c r="AA590" s="224"/>
      <c r="AB590" s="224"/>
      <c r="AC590" s="224"/>
    </row>
    <row r="591" spans="1:29" s="24" customFormat="1" ht="12.75">
      <c r="A591" s="223"/>
      <c r="B591" s="223"/>
      <c r="C591" s="223"/>
      <c r="D591" s="223"/>
      <c r="E591" s="224"/>
      <c r="F591" s="224"/>
      <c r="G591" s="224"/>
      <c r="H591" s="224"/>
      <c r="I591" s="224"/>
      <c r="J591" s="224"/>
      <c r="K591" s="224"/>
      <c r="L591" s="224"/>
      <c r="M591" s="224"/>
      <c r="N591" s="224"/>
      <c r="O591" s="224"/>
      <c r="P591" s="224"/>
      <c r="Q591" s="224"/>
      <c r="R591" s="224"/>
      <c r="S591" s="224"/>
      <c r="T591" s="224"/>
      <c r="U591" s="224"/>
      <c r="V591" s="224"/>
      <c r="W591" s="224"/>
      <c r="X591" s="224"/>
      <c r="Y591" s="224"/>
      <c r="Z591" s="224"/>
      <c r="AA591" s="224"/>
      <c r="AB591" s="224"/>
      <c r="AC591" s="224"/>
    </row>
    <row r="592" spans="1:29" s="24" customFormat="1" ht="12.75">
      <c r="A592" s="223"/>
      <c r="B592" s="223"/>
      <c r="C592" s="223"/>
      <c r="D592" s="223"/>
      <c r="E592" s="224"/>
      <c r="F592" s="224"/>
      <c r="G592" s="224"/>
      <c r="H592" s="224"/>
      <c r="I592" s="224"/>
      <c r="J592" s="224"/>
      <c r="K592" s="224"/>
      <c r="L592" s="224"/>
      <c r="M592" s="224"/>
      <c r="N592" s="224"/>
      <c r="O592" s="224"/>
      <c r="P592" s="224"/>
      <c r="Q592" s="224"/>
      <c r="R592" s="224"/>
      <c r="S592" s="224"/>
      <c r="T592" s="224"/>
      <c r="U592" s="224"/>
      <c r="V592" s="224"/>
      <c r="W592" s="224"/>
      <c r="X592" s="224"/>
      <c r="Y592" s="224"/>
      <c r="Z592" s="224"/>
      <c r="AA592" s="224"/>
      <c r="AB592" s="224"/>
      <c r="AC592" s="224"/>
    </row>
    <row r="593" spans="1:29" s="24" customFormat="1" ht="12.75">
      <c r="A593" s="223"/>
      <c r="B593" s="223"/>
      <c r="C593" s="223"/>
      <c r="D593" s="223"/>
      <c r="E593" s="224"/>
      <c r="F593" s="224"/>
      <c r="G593" s="224"/>
      <c r="H593" s="224"/>
      <c r="I593" s="224"/>
      <c r="J593" s="224"/>
      <c r="K593" s="224"/>
      <c r="L593" s="224"/>
      <c r="M593" s="224"/>
      <c r="N593" s="224"/>
      <c r="O593" s="224"/>
      <c r="P593" s="224"/>
      <c r="Q593" s="224"/>
      <c r="R593" s="224"/>
      <c r="S593" s="224"/>
      <c r="T593" s="224"/>
      <c r="U593" s="224"/>
      <c r="V593" s="224"/>
      <c r="W593" s="224"/>
      <c r="X593" s="224"/>
      <c r="Y593" s="224"/>
      <c r="Z593" s="224"/>
      <c r="AA593" s="224"/>
      <c r="AB593" s="224"/>
      <c r="AC593" s="224"/>
    </row>
    <row r="594" spans="1:29" s="24" customFormat="1" ht="12.75">
      <c r="A594" s="223"/>
      <c r="B594" s="223"/>
      <c r="C594" s="223"/>
      <c r="D594" s="223"/>
      <c r="E594" s="224"/>
      <c r="F594" s="224"/>
      <c r="G594" s="224"/>
      <c r="H594" s="224"/>
      <c r="I594" s="224"/>
      <c r="J594" s="224"/>
      <c r="K594" s="224"/>
      <c r="L594" s="224"/>
      <c r="M594" s="224"/>
      <c r="N594" s="224"/>
      <c r="O594" s="224"/>
      <c r="P594" s="224"/>
      <c r="Q594" s="224"/>
      <c r="R594" s="224"/>
      <c r="S594" s="224"/>
      <c r="T594" s="224"/>
      <c r="U594" s="224"/>
      <c r="V594" s="224"/>
      <c r="W594" s="224"/>
      <c r="X594" s="224"/>
      <c r="Y594" s="224"/>
      <c r="Z594" s="224"/>
      <c r="AA594" s="224"/>
      <c r="AB594" s="224"/>
      <c r="AC594" s="224"/>
    </row>
    <row r="595" spans="1:29" s="24" customFormat="1" ht="12.75">
      <c r="A595" s="223"/>
      <c r="B595" s="223"/>
      <c r="C595" s="223"/>
      <c r="D595" s="223"/>
      <c r="E595" s="224"/>
      <c r="F595" s="224"/>
      <c r="G595" s="224"/>
      <c r="H595" s="224"/>
      <c r="I595" s="224"/>
      <c r="J595" s="224"/>
      <c r="K595" s="224"/>
      <c r="L595" s="224"/>
      <c r="M595" s="224"/>
      <c r="N595" s="224"/>
      <c r="O595" s="224"/>
      <c r="P595" s="224"/>
      <c r="Q595" s="224"/>
      <c r="R595" s="224"/>
      <c r="S595" s="224"/>
      <c r="T595" s="224"/>
      <c r="U595" s="224"/>
      <c r="V595" s="224"/>
      <c r="W595" s="224"/>
      <c r="X595" s="224"/>
      <c r="Y595" s="224"/>
      <c r="Z595" s="224"/>
      <c r="AA595" s="224"/>
      <c r="AB595" s="224"/>
      <c r="AC595" s="224"/>
    </row>
    <row r="596" spans="1:29" s="24" customFormat="1" ht="12.75">
      <c r="A596" s="223"/>
      <c r="B596" s="223"/>
      <c r="C596" s="223"/>
      <c r="D596" s="223"/>
      <c r="E596" s="224"/>
      <c r="F596" s="224"/>
      <c r="G596" s="224"/>
      <c r="H596" s="224"/>
      <c r="I596" s="224"/>
      <c r="J596" s="224"/>
      <c r="K596" s="224"/>
      <c r="L596" s="224"/>
      <c r="M596" s="224"/>
      <c r="N596" s="224"/>
      <c r="O596" s="224"/>
      <c r="P596" s="224"/>
      <c r="Q596" s="224"/>
      <c r="R596" s="224"/>
      <c r="S596" s="224"/>
      <c r="T596" s="224"/>
      <c r="U596" s="224"/>
      <c r="V596" s="224"/>
      <c r="W596" s="224"/>
      <c r="X596" s="224"/>
      <c r="Y596" s="224"/>
      <c r="Z596" s="224"/>
      <c r="AA596" s="224"/>
      <c r="AB596" s="224"/>
      <c r="AC596" s="224"/>
    </row>
    <row r="597" spans="1:29" s="24" customFormat="1" ht="12.75">
      <c r="A597" s="223"/>
      <c r="B597" s="223"/>
      <c r="C597" s="223"/>
      <c r="D597" s="223"/>
      <c r="E597" s="224"/>
      <c r="F597" s="224"/>
      <c r="G597" s="224"/>
      <c r="H597" s="224"/>
      <c r="I597" s="224"/>
      <c r="J597" s="224"/>
      <c r="K597" s="224"/>
      <c r="L597" s="224"/>
      <c r="M597" s="224"/>
      <c r="N597" s="224"/>
      <c r="O597" s="224"/>
      <c r="P597" s="224"/>
      <c r="Q597" s="224"/>
      <c r="R597" s="224"/>
      <c r="S597" s="224"/>
      <c r="T597" s="224"/>
      <c r="U597" s="224"/>
      <c r="V597" s="224"/>
      <c r="W597" s="224"/>
      <c r="X597" s="224"/>
      <c r="Y597" s="224"/>
      <c r="Z597" s="224"/>
      <c r="AA597" s="224"/>
      <c r="AB597" s="224"/>
      <c r="AC597" s="224"/>
    </row>
    <row r="598" spans="1:29" s="24" customFormat="1" ht="12.75">
      <c r="A598" s="223"/>
      <c r="B598" s="223"/>
      <c r="C598" s="223"/>
      <c r="D598" s="223"/>
      <c r="E598" s="224"/>
      <c r="F598" s="224"/>
      <c r="G598" s="224"/>
      <c r="H598" s="224"/>
      <c r="I598" s="224"/>
      <c r="J598" s="224"/>
      <c r="K598" s="224"/>
      <c r="L598" s="224"/>
      <c r="M598" s="224"/>
      <c r="N598" s="224"/>
      <c r="O598" s="224"/>
      <c r="P598" s="224"/>
      <c r="Q598" s="224"/>
      <c r="R598" s="224"/>
      <c r="S598" s="224"/>
      <c r="T598" s="224"/>
      <c r="U598" s="224"/>
      <c r="V598" s="224"/>
      <c r="W598" s="224"/>
      <c r="X598" s="224"/>
      <c r="Y598" s="224"/>
      <c r="Z598" s="224"/>
      <c r="AA598" s="224"/>
      <c r="AB598" s="224"/>
      <c r="AC598" s="224"/>
    </row>
    <row r="599" spans="1:29" s="24" customFormat="1" ht="12.75">
      <c r="A599" s="223"/>
      <c r="B599" s="223"/>
      <c r="C599" s="223"/>
      <c r="D599" s="223"/>
      <c r="E599" s="224"/>
      <c r="F599" s="224"/>
      <c r="G599" s="224"/>
      <c r="H599" s="224"/>
      <c r="I599" s="224"/>
      <c r="J599" s="224"/>
      <c r="K599" s="224"/>
      <c r="L599" s="224"/>
      <c r="M599" s="224"/>
      <c r="N599" s="224"/>
      <c r="O599" s="224"/>
      <c r="P599" s="224"/>
      <c r="Q599" s="224"/>
      <c r="R599" s="224"/>
      <c r="S599" s="224"/>
      <c r="T599" s="224"/>
      <c r="U599" s="224"/>
      <c r="V599" s="224"/>
      <c r="W599" s="224"/>
      <c r="X599" s="224"/>
      <c r="Y599" s="224"/>
      <c r="Z599" s="224"/>
      <c r="AA599" s="224"/>
      <c r="AB599" s="224"/>
      <c r="AC599" s="224"/>
    </row>
    <row r="600" spans="1:29" s="24" customFormat="1" ht="12.75">
      <c r="A600" s="223"/>
      <c r="B600" s="223"/>
      <c r="C600" s="223"/>
      <c r="D600" s="223"/>
      <c r="E600" s="224"/>
      <c r="F600" s="224"/>
      <c r="G600" s="224"/>
      <c r="H600" s="224"/>
      <c r="I600" s="224"/>
      <c r="J600" s="224"/>
      <c r="K600" s="224"/>
      <c r="L600" s="224"/>
      <c r="M600" s="224"/>
      <c r="N600" s="224"/>
      <c r="O600" s="224"/>
      <c r="P600" s="224"/>
      <c r="Q600" s="224"/>
      <c r="R600" s="224"/>
      <c r="S600" s="224"/>
      <c r="T600" s="224"/>
      <c r="U600" s="224"/>
      <c r="V600" s="224"/>
      <c r="W600" s="224"/>
      <c r="X600" s="224"/>
      <c r="Y600" s="224"/>
      <c r="Z600" s="224"/>
      <c r="AA600" s="224"/>
      <c r="AB600" s="224"/>
      <c r="AC600" s="224"/>
    </row>
    <row r="601" spans="1:29" s="24" customFormat="1" ht="12.75">
      <c r="A601" s="223"/>
      <c r="B601" s="223"/>
      <c r="C601" s="223"/>
      <c r="D601" s="223"/>
      <c r="E601" s="224"/>
      <c r="F601" s="224"/>
      <c r="G601" s="224"/>
      <c r="H601" s="224"/>
      <c r="I601" s="224"/>
      <c r="J601" s="224"/>
      <c r="K601" s="224"/>
      <c r="L601" s="224"/>
      <c r="M601" s="224"/>
      <c r="N601" s="224"/>
      <c r="O601" s="224"/>
      <c r="P601" s="224"/>
      <c r="Q601" s="224"/>
      <c r="R601" s="224"/>
      <c r="S601" s="224"/>
      <c r="T601" s="224"/>
      <c r="U601" s="224"/>
      <c r="V601" s="224"/>
      <c r="W601" s="224"/>
      <c r="X601" s="224"/>
      <c r="Y601" s="224"/>
      <c r="Z601" s="224"/>
      <c r="AA601" s="224"/>
      <c r="AB601" s="224"/>
      <c r="AC601" s="224"/>
    </row>
    <row r="602" spans="1:29" s="24" customFormat="1" ht="12.75">
      <c r="A602" s="223"/>
      <c r="B602" s="223"/>
      <c r="C602" s="223"/>
      <c r="D602" s="223"/>
      <c r="E602" s="224"/>
      <c r="F602" s="224"/>
      <c r="G602" s="224"/>
      <c r="H602" s="224"/>
      <c r="I602" s="224"/>
      <c r="J602" s="224"/>
      <c r="K602" s="224"/>
      <c r="L602" s="224"/>
      <c r="M602" s="224"/>
      <c r="N602" s="224"/>
      <c r="O602" s="224"/>
      <c r="P602" s="224"/>
      <c r="Q602" s="224"/>
      <c r="R602" s="224"/>
      <c r="S602" s="224"/>
      <c r="T602" s="224"/>
      <c r="U602" s="224"/>
      <c r="V602" s="224"/>
      <c r="W602" s="224"/>
      <c r="X602" s="224"/>
      <c r="Y602" s="224"/>
      <c r="Z602" s="224"/>
      <c r="AA602" s="224"/>
      <c r="AB602" s="224"/>
      <c r="AC602" s="224"/>
    </row>
    <row r="603" spans="1:29" s="24" customFormat="1" ht="12.75">
      <c r="A603" s="223"/>
      <c r="B603" s="223"/>
      <c r="C603" s="223"/>
      <c r="D603" s="223"/>
      <c r="E603" s="224"/>
      <c r="F603" s="224"/>
      <c r="G603" s="224"/>
      <c r="H603" s="224"/>
      <c r="I603" s="224"/>
      <c r="J603" s="224"/>
      <c r="K603" s="224"/>
      <c r="L603" s="224"/>
      <c r="M603" s="224"/>
      <c r="N603" s="224"/>
      <c r="O603" s="224"/>
      <c r="P603" s="224"/>
      <c r="Q603" s="224"/>
      <c r="R603" s="224"/>
      <c r="S603" s="224"/>
      <c r="T603" s="224"/>
      <c r="U603" s="224"/>
      <c r="V603" s="224"/>
      <c r="W603" s="224"/>
      <c r="X603" s="224"/>
      <c r="Y603" s="224"/>
      <c r="Z603" s="224"/>
      <c r="AA603" s="224"/>
      <c r="AB603" s="224"/>
      <c r="AC603" s="224"/>
    </row>
    <row r="604" spans="1:29" s="24" customFormat="1" ht="12.75">
      <c r="A604" s="223"/>
      <c r="B604" s="223"/>
      <c r="C604" s="223"/>
      <c r="D604" s="223"/>
      <c r="E604" s="224"/>
      <c r="F604" s="224"/>
      <c r="G604" s="224"/>
      <c r="H604" s="224"/>
      <c r="I604" s="224"/>
      <c r="J604" s="224"/>
      <c r="K604" s="224"/>
      <c r="L604" s="224"/>
      <c r="M604" s="224"/>
      <c r="N604" s="224"/>
      <c r="O604" s="224"/>
      <c r="P604" s="224"/>
      <c r="Q604" s="224"/>
      <c r="R604" s="224"/>
      <c r="S604" s="224"/>
      <c r="T604" s="224"/>
      <c r="U604" s="224"/>
      <c r="V604" s="224"/>
      <c r="W604" s="224"/>
      <c r="X604" s="224"/>
      <c r="Y604" s="224"/>
      <c r="Z604" s="224"/>
      <c r="AA604" s="224"/>
      <c r="AB604" s="224"/>
      <c r="AC604" s="224"/>
    </row>
    <row r="605" spans="1:29" s="24" customFormat="1" ht="12.75">
      <c r="A605" s="223"/>
      <c r="B605" s="223"/>
      <c r="C605" s="223"/>
      <c r="D605" s="223"/>
      <c r="E605" s="224"/>
      <c r="F605" s="224"/>
      <c r="G605" s="224"/>
      <c r="H605" s="224"/>
      <c r="I605" s="224"/>
      <c r="J605" s="224"/>
      <c r="K605" s="224"/>
      <c r="L605" s="224"/>
      <c r="M605" s="224"/>
      <c r="N605" s="224"/>
      <c r="O605" s="224"/>
      <c r="P605" s="224"/>
      <c r="Q605" s="224"/>
      <c r="R605" s="224"/>
      <c r="S605" s="224"/>
      <c r="T605" s="224"/>
      <c r="U605" s="224"/>
      <c r="V605" s="224"/>
      <c r="W605" s="224"/>
      <c r="X605" s="224"/>
      <c r="Y605" s="224"/>
      <c r="Z605" s="224"/>
      <c r="AA605" s="224"/>
      <c r="AB605" s="224"/>
      <c r="AC605" s="224"/>
    </row>
    <row r="606" spans="1:29" s="24" customFormat="1" ht="12.75">
      <c r="A606" s="226"/>
      <c r="B606" s="226"/>
      <c r="C606" s="223"/>
      <c r="D606" s="223"/>
      <c r="E606" s="224"/>
      <c r="F606" s="224"/>
      <c r="G606" s="224"/>
      <c r="H606" s="224"/>
      <c r="I606" s="224"/>
      <c r="J606" s="224"/>
      <c r="K606" s="224"/>
      <c r="L606" s="224"/>
      <c r="M606" s="224"/>
      <c r="N606" s="224"/>
      <c r="O606" s="224"/>
      <c r="P606" s="224"/>
      <c r="Q606" s="224"/>
      <c r="R606" s="224"/>
      <c r="S606" s="224"/>
      <c r="T606" s="224"/>
      <c r="U606" s="224"/>
      <c r="V606" s="224"/>
      <c r="W606" s="224"/>
      <c r="X606" s="224"/>
      <c r="Y606" s="224"/>
      <c r="Z606" s="224"/>
      <c r="AA606" s="224"/>
      <c r="AB606" s="224"/>
      <c r="AC606" s="224"/>
    </row>
    <row r="607" spans="1:29" s="24" customFormat="1" ht="12.75">
      <c r="A607" s="223"/>
      <c r="B607" s="223"/>
      <c r="C607" s="223"/>
      <c r="D607" s="223"/>
      <c r="E607" s="224"/>
      <c r="F607" s="224"/>
      <c r="G607" s="224"/>
      <c r="H607" s="224"/>
      <c r="I607" s="224"/>
      <c r="J607" s="224"/>
      <c r="K607" s="224"/>
      <c r="L607" s="224"/>
      <c r="M607" s="224"/>
      <c r="N607" s="224"/>
      <c r="O607" s="224"/>
      <c r="P607" s="224"/>
      <c r="Q607" s="224"/>
      <c r="R607" s="224"/>
      <c r="S607" s="224"/>
      <c r="T607" s="224"/>
      <c r="U607" s="224"/>
      <c r="V607" s="224"/>
      <c r="W607" s="224"/>
      <c r="X607" s="224"/>
      <c r="Y607" s="224"/>
      <c r="Z607" s="224"/>
      <c r="AA607" s="224"/>
      <c r="AB607" s="224"/>
      <c r="AC607" s="224"/>
    </row>
    <row r="608" spans="1:29" s="24" customFormat="1" ht="12.75">
      <c r="A608" s="223"/>
      <c r="B608" s="223"/>
      <c r="C608" s="223"/>
      <c r="D608" s="223"/>
      <c r="E608" s="224"/>
      <c r="F608" s="224"/>
      <c r="G608" s="224"/>
      <c r="H608" s="224"/>
      <c r="I608" s="224"/>
      <c r="J608" s="224"/>
      <c r="K608" s="224"/>
      <c r="L608" s="224"/>
      <c r="M608" s="224"/>
      <c r="N608" s="224"/>
      <c r="O608" s="224"/>
      <c r="P608" s="224"/>
      <c r="Q608" s="224"/>
      <c r="R608" s="224"/>
      <c r="S608" s="224"/>
      <c r="T608" s="224"/>
      <c r="U608" s="224"/>
      <c r="V608" s="224"/>
      <c r="W608" s="224"/>
      <c r="X608" s="224"/>
      <c r="Y608" s="224"/>
      <c r="Z608" s="224"/>
      <c r="AA608" s="224"/>
      <c r="AB608" s="224"/>
      <c r="AC608" s="224"/>
    </row>
    <row r="609" spans="1:29" s="24" customFormat="1" ht="12.75">
      <c r="A609" s="223"/>
      <c r="B609" s="223"/>
      <c r="C609" s="223"/>
      <c r="D609" s="223"/>
      <c r="E609" s="224"/>
      <c r="F609" s="224"/>
      <c r="G609" s="224"/>
      <c r="H609" s="224"/>
      <c r="I609" s="224"/>
      <c r="J609" s="224"/>
      <c r="K609" s="224"/>
      <c r="L609" s="224"/>
      <c r="M609" s="224"/>
      <c r="N609" s="224"/>
      <c r="O609" s="224"/>
      <c r="P609" s="224"/>
      <c r="Q609" s="224"/>
      <c r="R609" s="224"/>
      <c r="S609" s="224"/>
      <c r="T609" s="224"/>
      <c r="U609" s="224"/>
      <c r="V609" s="224"/>
      <c r="W609" s="224"/>
      <c r="X609" s="224"/>
      <c r="Y609" s="224"/>
      <c r="Z609" s="224"/>
      <c r="AA609" s="224"/>
      <c r="AB609" s="224"/>
      <c r="AC609" s="224"/>
    </row>
    <row r="610" spans="1:29" s="24" customFormat="1" ht="12.75">
      <c r="A610" s="223"/>
      <c r="B610" s="223"/>
      <c r="C610" s="223"/>
      <c r="D610" s="223"/>
      <c r="E610" s="224"/>
      <c r="F610" s="224"/>
      <c r="G610" s="224"/>
      <c r="H610" s="224"/>
      <c r="I610" s="224"/>
      <c r="J610" s="224"/>
      <c r="K610" s="224"/>
      <c r="L610" s="224"/>
      <c r="M610" s="224"/>
      <c r="N610" s="224"/>
      <c r="O610" s="224"/>
      <c r="P610" s="224"/>
      <c r="Q610" s="224"/>
      <c r="R610" s="224"/>
      <c r="S610" s="224"/>
      <c r="T610" s="224"/>
      <c r="U610" s="224"/>
      <c r="V610" s="224"/>
      <c r="W610" s="224"/>
      <c r="X610" s="224"/>
      <c r="Y610" s="224"/>
      <c r="Z610" s="224"/>
      <c r="AA610" s="224"/>
      <c r="AB610" s="224"/>
      <c r="AC610" s="224"/>
    </row>
    <row r="611" spans="1:29" s="24" customFormat="1" ht="12.75">
      <c r="A611" s="223"/>
      <c r="B611" s="223"/>
      <c r="C611" s="223"/>
      <c r="D611" s="223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24"/>
      <c r="Q611" s="224"/>
      <c r="R611" s="224"/>
      <c r="S611" s="224"/>
      <c r="T611" s="224"/>
      <c r="U611" s="224"/>
      <c r="V611" s="224"/>
      <c r="W611" s="224"/>
      <c r="X611" s="224"/>
      <c r="Y611" s="224"/>
      <c r="Z611" s="224"/>
      <c r="AA611" s="224"/>
      <c r="AB611" s="224"/>
      <c r="AC611" s="224"/>
    </row>
    <row r="612" spans="1:29" s="24" customFormat="1" ht="12.75">
      <c r="A612" s="223"/>
      <c r="B612" s="223"/>
      <c r="C612" s="223"/>
      <c r="D612" s="223"/>
      <c r="E612" s="224"/>
      <c r="F612" s="224"/>
      <c r="G612" s="224"/>
      <c r="H612" s="224"/>
      <c r="I612" s="224"/>
      <c r="J612" s="224"/>
      <c r="K612" s="224"/>
      <c r="L612" s="224"/>
      <c r="M612" s="224"/>
      <c r="N612" s="224"/>
      <c r="O612" s="224"/>
      <c r="P612" s="224"/>
      <c r="Q612" s="224"/>
      <c r="R612" s="224"/>
      <c r="S612" s="224"/>
      <c r="T612" s="224"/>
      <c r="U612" s="224"/>
      <c r="V612" s="224"/>
      <c r="W612" s="224"/>
      <c r="X612" s="224"/>
      <c r="Y612" s="224"/>
      <c r="Z612" s="224"/>
      <c r="AA612" s="224"/>
      <c r="AB612" s="224"/>
      <c r="AC612" s="224"/>
    </row>
    <row r="613" spans="1:29" s="24" customFormat="1" ht="12.75">
      <c r="A613" s="226"/>
      <c r="B613" s="226"/>
      <c r="C613" s="223"/>
      <c r="D613" s="223"/>
      <c r="E613" s="224"/>
      <c r="F613" s="224"/>
      <c r="G613" s="224"/>
      <c r="H613" s="224"/>
      <c r="I613" s="224"/>
      <c r="J613" s="224"/>
      <c r="K613" s="224"/>
      <c r="L613" s="224"/>
      <c r="M613" s="224"/>
      <c r="N613" s="224"/>
      <c r="O613" s="224"/>
      <c r="P613" s="224"/>
      <c r="Q613" s="224"/>
      <c r="R613" s="224"/>
      <c r="S613" s="224"/>
      <c r="T613" s="224"/>
      <c r="U613" s="224"/>
      <c r="V613" s="224"/>
      <c r="W613" s="224"/>
      <c r="X613" s="224"/>
      <c r="Y613" s="224"/>
      <c r="Z613" s="224"/>
      <c r="AA613" s="224"/>
      <c r="AB613" s="224"/>
      <c r="AC613" s="224"/>
    </row>
    <row r="614" spans="1:29" s="24" customFormat="1" ht="12.75">
      <c r="A614" s="226"/>
      <c r="B614" s="226"/>
      <c r="C614" s="223"/>
      <c r="D614" s="223"/>
      <c r="E614" s="224"/>
      <c r="F614" s="224"/>
      <c r="G614" s="224"/>
      <c r="H614" s="224"/>
      <c r="I614" s="224"/>
      <c r="J614" s="224"/>
      <c r="K614" s="224"/>
      <c r="L614" s="224"/>
      <c r="M614" s="224"/>
      <c r="N614" s="224"/>
      <c r="O614" s="224"/>
      <c r="P614" s="224"/>
      <c r="Q614" s="224"/>
      <c r="R614" s="224"/>
      <c r="S614" s="224"/>
      <c r="T614" s="224"/>
      <c r="U614" s="224"/>
      <c r="V614" s="224"/>
      <c r="W614" s="224"/>
      <c r="X614" s="224"/>
      <c r="Y614" s="224"/>
      <c r="Z614" s="224"/>
      <c r="AA614" s="224"/>
      <c r="AB614" s="224"/>
      <c r="AC614" s="224"/>
    </row>
    <row r="615" spans="1:29" s="24" customFormat="1" ht="12.75">
      <c r="A615" s="226"/>
      <c r="B615" s="226"/>
      <c r="C615" s="223"/>
      <c r="D615" s="227"/>
      <c r="E615" s="224"/>
      <c r="F615" s="224"/>
      <c r="G615" s="224"/>
      <c r="H615" s="224"/>
      <c r="I615" s="224"/>
      <c r="J615" s="224"/>
      <c r="K615" s="224"/>
      <c r="L615" s="224"/>
      <c r="M615" s="224"/>
      <c r="N615" s="224"/>
      <c r="O615" s="224"/>
      <c r="P615" s="224"/>
      <c r="Q615" s="224"/>
      <c r="R615" s="224"/>
      <c r="S615" s="224"/>
      <c r="T615" s="224"/>
      <c r="U615" s="224"/>
      <c r="V615" s="224"/>
      <c r="W615" s="224"/>
      <c r="X615" s="224"/>
      <c r="Y615" s="224"/>
      <c r="Z615" s="224"/>
      <c r="AA615" s="224"/>
      <c r="AB615" s="224"/>
      <c r="AC615" s="224"/>
    </row>
    <row r="616" spans="1:29" s="24" customFormat="1" ht="12.75">
      <c r="A616" s="226"/>
      <c r="B616" s="226"/>
      <c r="C616" s="223"/>
      <c r="D616" s="227"/>
      <c r="E616" s="224"/>
      <c r="F616" s="224"/>
      <c r="G616" s="224"/>
      <c r="H616" s="224"/>
      <c r="I616" s="224"/>
      <c r="J616" s="224"/>
      <c r="K616" s="224"/>
      <c r="L616" s="224"/>
      <c r="M616" s="224"/>
      <c r="N616" s="224"/>
      <c r="O616" s="224"/>
      <c r="P616" s="224"/>
      <c r="Q616" s="224"/>
      <c r="R616" s="224"/>
      <c r="S616" s="224"/>
      <c r="T616" s="224"/>
      <c r="U616" s="224"/>
      <c r="V616" s="224"/>
      <c r="W616" s="224"/>
      <c r="X616" s="224"/>
      <c r="Y616" s="224"/>
      <c r="Z616" s="224"/>
      <c r="AA616" s="224"/>
      <c r="AB616" s="224"/>
      <c r="AC616" s="224"/>
    </row>
    <row r="617" spans="1:29" s="24" customFormat="1" ht="12.75">
      <c r="A617" s="226"/>
      <c r="B617" s="226"/>
      <c r="C617" s="223"/>
      <c r="D617" s="223"/>
      <c r="E617" s="224"/>
      <c r="F617" s="224"/>
      <c r="G617" s="224"/>
      <c r="H617" s="224"/>
      <c r="I617" s="224"/>
      <c r="J617" s="224"/>
      <c r="K617" s="224"/>
      <c r="L617" s="224"/>
      <c r="M617" s="224"/>
      <c r="N617" s="224"/>
      <c r="O617" s="224"/>
      <c r="P617" s="224"/>
      <c r="Q617" s="224"/>
      <c r="R617" s="224"/>
      <c r="S617" s="224"/>
      <c r="T617" s="224"/>
      <c r="U617" s="224"/>
      <c r="V617" s="224"/>
      <c r="W617" s="224"/>
      <c r="X617" s="224"/>
      <c r="Y617" s="224"/>
      <c r="Z617" s="224"/>
      <c r="AA617" s="224"/>
      <c r="AB617" s="224"/>
      <c r="AC617" s="224"/>
    </row>
    <row r="618" spans="1:29" s="24" customFormat="1" ht="12.75">
      <c r="A618" s="226"/>
      <c r="B618" s="226"/>
      <c r="C618" s="223"/>
      <c r="D618" s="227"/>
      <c r="E618" s="224"/>
      <c r="F618" s="224"/>
      <c r="G618" s="224"/>
      <c r="H618" s="224"/>
      <c r="I618" s="224"/>
      <c r="J618" s="224"/>
      <c r="K618" s="224"/>
      <c r="L618" s="224"/>
      <c r="M618" s="224"/>
      <c r="N618" s="224"/>
      <c r="O618" s="224"/>
      <c r="P618" s="224"/>
      <c r="Q618" s="224"/>
      <c r="R618" s="224"/>
      <c r="S618" s="224"/>
      <c r="T618" s="224"/>
      <c r="U618" s="224"/>
      <c r="V618" s="224"/>
      <c r="W618" s="224"/>
      <c r="X618" s="224"/>
      <c r="Y618" s="224"/>
      <c r="Z618" s="224"/>
      <c r="AA618" s="224"/>
      <c r="AB618" s="224"/>
      <c r="AC618" s="224"/>
    </row>
    <row r="619" spans="1:29" s="24" customFormat="1" ht="12.75">
      <c r="A619" s="226"/>
      <c r="B619" s="226"/>
      <c r="C619" s="223"/>
      <c r="D619" s="227"/>
      <c r="E619" s="224"/>
      <c r="F619" s="224"/>
      <c r="G619" s="224"/>
      <c r="H619" s="224"/>
      <c r="I619" s="224"/>
      <c r="J619" s="224"/>
      <c r="K619" s="224"/>
      <c r="L619" s="224"/>
      <c r="M619" s="224"/>
      <c r="N619" s="224"/>
      <c r="O619" s="224"/>
      <c r="P619" s="224"/>
      <c r="Q619" s="224"/>
      <c r="R619" s="224"/>
      <c r="S619" s="224"/>
      <c r="T619" s="224"/>
      <c r="U619" s="224"/>
      <c r="V619" s="224"/>
      <c r="W619" s="224"/>
      <c r="X619" s="224"/>
      <c r="Y619" s="224"/>
      <c r="Z619" s="224"/>
      <c r="AA619" s="224"/>
      <c r="AB619" s="224"/>
      <c r="AC619" s="224"/>
    </row>
    <row r="620" spans="1:29" s="24" customFormat="1" ht="12.75">
      <c r="A620" s="226"/>
      <c r="B620" s="226"/>
      <c r="C620" s="223"/>
      <c r="D620" s="223"/>
      <c r="E620" s="224"/>
      <c r="F620" s="224"/>
      <c r="G620" s="224"/>
      <c r="H620" s="224"/>
      <c r="I620" s="224"/>
      <c r="J620" s="224"/>
      <c r="K620" s="224"/>
      <c r="L620" s="224"/>
      <c r="M620" s="224"/>
      <c r="N620" s="224"/>
      <c r="O620" s="224"/>
      <c r="P620" s="224"/>
      <c r="Q620" s="224"/>
      <c r="R620" s="224"/>
      <c r="S620" s="224"/>
      <c r="T620" s="224"/>
      <c r="U620" s="224"/>
      <c r="V620" s="224"/>
      <c r="W620" s="224"/>
      <c r="X620" s="224"/>
      <c r="Y620" s="224"/>
      <c r="Z620" s="224"/>
      <c r="AA620" s="224"/>
      <c r="AB620" s="224"/>
      <c r="AC620" s="224"/>
    </row>
    <row r="621" spans="1:29" s="24" customFormat="1" ht="12.75">
      <c r="A621" s="226"/>
      <c r="B621" s="226"/>
      <c r="C621" s="223"/>
      <c r="D621" s="227"/>
      <c r="E621" s="224"/>
      <c r="F621" s="224"/>
      <c r="G621" s="224"/>
      <c r="H621" s="224"/>
      <c r="I621" s="224"/>
      <c r="J621" s="224"/>
      <c r="K621" s="224"/>
      <c r="L621" s="224"/>
      <c r="M621" s="224"/>
      <c r="N621" s="224"/>
      <c r="O621" s="224"/>
      <c r="P621" s="224"/>
      <c r="Q621" s="224"/>
      <c r="R621" s="224"/>
      <c r="S621" s="224"/>
      <c r="T621" s="224"/>
      <c r="U621" s="224"/>
      <c r="V621" s="224"/>
      <c r="W621" s="224"/>
      <c r="X621" s="224"/>
      <c r="Y621" s="224"/>
      <c r="Z621" s="224"/>
      <c r="AA621" s="224"/>
      <c r="AB621" s="224"/>
      <c r="AC621" s="224"/>
    </row>
    <row r="622" spans="1:29" s="24" customFormat="1" ht="12.75">
      <c r="A622" s="226"/>
      <c r="B622" s="226"/>
      <c r="C622" s="223"/>
      <c r="D622" s="227"/>
      <c r="E622" s="224"/>
      <c r="F622" s="224"/>
      <c r="G622" s="224"/>
      <c r="H622" s="224"/>
      <c r="I622" s="224"/>
      <c r="J622" s="224"/>
      <c r="K622" s="224"/>
      <c r="L622" s="224"/>
      <c r="M622" s="224"/>
      <c r="N622" s="224"/>
      <c r="O622" s="224"/>
      <c r="P622" s="224"/>
      <c r="Q622" s="224"/>
      <c r="R622" s="224"/>
      <c r="S622" s="224"/>
      <c r="T622" s="224"/>
      <c r="U622" s="224"/>
      <c r="V622" s="224"/>
      <c r="W622" s="224"/>
      <c r="X622" s="224"/>
      <c r="Y622" s="224"/>
      <c r="Z622" s="224"/>
      <c r="AA622" s="224"/>
      <c r="AB622" s="224"/>
      <c r="AC622" s="224"/>
    </row>
    <row r="623" spans="1:29" s="24" customFormat="1" ht="12.75">
      <c r="A623" s="226"/>
      <c r="B623" s="226"/>
      <c r="C623" s="223"/>
      <c r="D623" s="223"/>
      <c r="E623" s="224"/>
      <c r="F623" s="224"/>
      <c r="G623" s="224"/>
      <c r="H623" s="224"/>
      <c r="I623" s="224"/>
      <c r="J623" s="224"/>
      <c r="K623" s="224"/>
      <c r="L623" s="224"/>
      <c r="M623" s="224"/>
      <c r="N623" s="224"/>
      <c r="O623" s="224"/>
      <c r="P623" s="224"/>
      <c r="Q623" s="224"/>
      <c r="R623" s="224"/>
      <c r="S623" s="224"/>
      <c r="T623" s="224"/>
      <c r="U623" s="224"/>
      <c r="V623" s="224"/>
      <c r="W623" s="224"/>
      <c r="X623" s="224"/>
      <c r="Y623" s="224"/>
      <c r="Z623" s="224"/>
      <c r="AA623" s="224"/>
      <c r="AB623" s="224"/>
      <c r="AC623" s="224"/>
    </row>
    <row r="624" spans="1:29" s="24" customFormat="1" ht="12.75">
      <c r="A624" s="223"/>
      <c r="B624" s="223"/>
      <c r="C624" s="223"/>
      <c r="D624" s="223"/>
      <c r="E624" s="224"/>
      <c r="F624" s="224"/>
      <c r="G624" s="224"/>
      <c r="H624" s="224"/>
      <c r="I624" s="224"/>
      <c r="J624" s="224"/>
      <c r="K624" s="224"/>
      <c r="L624" s="224"/>
      <c r="M624" s="224"/>
      <c r="N624" s="224"/>
      <c r="O624" s="224"/>
      <c r="P624" s="224"/>
      <c r="Q624" s="224"/>
      <c r="R624" s="224"/>
      <c r="S624" s="224"/>
      <c r="T624" s="224"/>
      <c r="U624" s="224"/>
      <c r="V624" s="224"/>
      <c r="W624" s="224"/>
      <c r="X624" s="224"/>
      <c r="Y624" s="224"/>
      <c r="Z624" s="224"/>
      <c r="AA624" s="224"/>
      <c r="AB624" s="224"/>
      <c r="AC624" s="224"/>
    </row>
    <row r="625" spans="1:29" s="24" customFormat="1" ht="12.75">
      <c r="A625" s="223"/>
      <c r="B625" s="223"/>
      <c r="C625" s="223"/>
      <c r="D625" s="223"/>
      <c r="E625" s="224"/>
      <c r="F625" s="224"/>
      <c r="G625" s="224"/>
      <c r="H625" s="224"/>
      <c r="I625" s="224"/>
      <c r="J625" s="224"/>
      <c r="K625" s="224"/>
      <c r="L625" s="224"/>
      <c r="M625" s="224"/>
      <c r="N625" s="224"/>
      <c r="O625" s="224"/>
      <c r="P625" s="224"/>
      <c r="Q625" s="224"/>
      <c r="R625" s="224"/>
      <c r="S625" s="224"/>
      <c r="T625" s="224"/>
      <c r="U625" s="224"/>
      <c r="V625" s="224"/>
      <c r="W625" s="224"/>
      <c r="X625" s="224"/>
      <c r="Y625" s="224"/>
      <c r="Z625" s="224"/>
      <c r="AA625" s="224"/>
      <c r="AB625" s="224"/>
      <c r="AC625" s="224"/>
    </row>
    <row r="626" spans="1:29" s="24" customFormat="1" ht="12.75">
      <c r="A626" s="223"/>
      <c r="B626" s="223"/>
      <c r="C626" s="223"/>
      <c r="D626" s="223"/>
      <c r="E626" s="224"/>
      <c r="F626" s="224"/>
      <c r="G626" s="224"/>
      <c r="H626" s="224"/>
      <c r="I626" s="224"/>
      <c r="J626" s="224"/>
      <c r="K626" s="224"/>
      <c r="L626" s="224"/>
      <c r="M626" s="224"/>
      <c r="N626" s="224"/>
      <c r="O626" s="224"/>
      <c r="P626" s="224"/>
      <c r="Q626" s="224"/>
      <c r="R626" s="224"/>
      <c r="S626" s="224"/>
      <c r="T626" s="224"/>
      <c r="U626" s="224"/>
      <c r="V626" s="224"/>
      <c r="W626" s="224"/>
      <c r="X626" s="224"/>
      <c r="Y626" s="224"/>
      <c r="Z626" s="224"/>
      <c r="AA626" s="224"/>
      <c r="AB626" s="224"/>
      <c r="AC626" s="224"/>
    </row>
    <row r="627" spans="1:29" s="24" customFormat="1" ht="12.75">
      <c r="A627" s="223"/>
      <c r="B627" s="223"/>
      <c r="C627" s="223"/>
      <c r="D627" s="223"/>
      <c r="E627" s="224"/>
      <c r="F627" s="224"/>
      <c r="G627" s="224"/>
      <c r="H627" s="224"/>
      <c r="I627" s="224"/>
      <c r="J627" s="224"/>
      <c r="K627" s="224"/>
      <c r="L627" s="224"/>
      <c r="M627" s="224"/>
      <c r="N627" s="224"/>
      <c r="O627" s="224"/>
      <c r="P627" s="224"/>
      <c r="Q627" s="224"/>
      <c r="R627" s="224"/>
      <c r="S627" s="224"/>
      <c r="T627" s="224"/>
      <c r="U627" s="224"/>
      <c r="V627" s="224"/>
      <c r="W627" s="224"/>
      <c r="X627" s="224"/>
      <c r="Y627" s="224"/>
      <c r="Z627" s="224"/>
      <c r="AA627" s="224"/>
      <c r="AB627" s="224"/>
      <c r="AC627" s="224"/>
    </row>
    <row r="628" spans="1:29" s="24" customFormat="1" ht="12.75">
      <c r="A628" s="223"/>
      <c r="B628" s="223"/>
      <c r="C628" s="223"/>
      <c r="D628" s="223"/>
      <c r="E628" s="224"/>
      <c r="F628" s="224"/>
      <c r="G628" s="224"/>
      <c r="H628" s="224"/>
      <c r="I628" s="224"/>
      <c r="J628" s="224"/>
      <c r="K628" s="224"/>
      <c r="L628" s="224"/>
      <c r="M628" s="224"/>
      <c r="N628" s="224"/>
      <c r="O628" s="224"/>
      <c r="P628" s="224"/>
      <c r="Q628" s="224"/>
      <c r="R628" s="224"/>
      <c r="S628" s="224"/>
      <c r="T628" s="224"/>
      <c r="U628" s="224"/>
      <c r="V628" s="224"/>
      <c r="W628" s="224"/>
      <c r="X628" s="224"/>
      <c r="Y628" s="224"/>
      <c r="Z628" s="224"/>
      <c r="AA628" s="224"/>
      <c r="AB628" s="224"/>
      <c r="AC628" s="224"/>
    </row>
    <row r="629" spans="1:29" s="24" customFormat="1" ht="12.75">
      <c r="A629" s="223"/>
      <c r="B629" s="223"/>
      <c r="C629" s="223"/>
      <c r="D629" s="223"/>
      <c r="E629" s="224"/>
      <c r="F629" s="224"/>
      <c r="G629" s="224"/>
      <c r="H629" s="224"/>
      <c r="I629" s="224"/>
      <c r="J629" s="224"/>
      <c r="K629" s="224"/>
      <c r="L629" s="224"/>
      <c r="M629" s="224"/>
      <c r="N629" s="224"/>
      <c r="O629" s="224"/>
      <c r="P629" s="224"/>
      <c r="Q629" s="224"/>
      <c r="R629" s="224"/>
      <c r="S629" s="224"/>
      <c r="T629" s="224"/>
      <c r="U629" s="224"/>
      <c r="V629" s="224"/>
      <c r="W629" s="224"/>
      <c r="X629" s="224"/>
      <c r="Y629" s="224"/>
      <c r="Z629" s="224"/>
      <c r="AA629" s="224"/>
      <c r="AB629" s="224"/>
      <c r="AC629" s="224"/>
    </row>
    <row r="630" spans="1:29" s="24" customFormat="1" ht="12.75">
      <c r="A630" s="223"/>
      <c r="B630" s="223"/>
      <c r="C630" s="223"/>
      <c r="D630" s="223"/>
      <c r="E630" s="224"/>
      <c r="F630" s="224"/>
      <c r="G630" s="224"/>
      <c r="H630" s="224"/>
      <c r="I630" s="224"/>
      <c r="J630" s="224"/>
      <c r="K630" s="224"/>
      <c r="L630" s="224"/>
      <c r="M630" s="224"/>
      <c r="N630" s="224"/>
      <c r="O630" s="224"/>
      <c r="P630" s="224"/>
      <c r="Q630" s="224"/>
      <c r="R630" s="224"/>
      <c r="S630" s="224"/>
      <c r="T630" s="224"/>
      <c r="U630" s="224"/>
      <c r="V630" s="224"/>
      <c r="W630" s="224"/>
      <c r="X630" s="224"/>
      <c r="Y630" s="224"/>
      <c r="Z630" s="224"/>
      <c r="AA630" s="224"/>
      <c r="AB630" s="224"/>
      <c r="AC630" s="224"/>
    </row>
    <row r="631" spans="1:29" s="24" customFormat="1" ht="12.75">
      <c r="A631" s="223"/>
      <c r="B631" s="223"/>
      <c r="C631" s="223"/>
      <c r="D631" s="223"/>
      <c r="E631" s="224"/>
      <c r="F631" s="224"/>
      <c r="G631" s="224"/>
      <c r="H631" s="224"/>
      <c r="I631" s="224"/>
      <c r="J631" s="224"/>
      <c r="K631" s="224"/>
      <c r="L631" s="224"/>
      <c r="M631" s="224"/>
      <c r="N631" s="224"/>
      <c r="O631" s="224"/>
      <c r="P631" s="224"/>
      <c r="Q631" s="224"/>
      <c r="R631" s="224"/>
      <c r="S631" s="224"/>
      <c r="T631" s="224"/>
      <c r="U631" s="224"/>
      <c r="V631" s="224"/>
      <c r="W631" s="224"/>
      <c r="X631" s="224"/>
      <c r="Y631" s="224"/>
      <c r="Z631" s="224"/>
      <c r="AA631" s="224"/>
      <c r="AB631" s="224"/>
      <c r="AC631" s="224"/>
    </row>
    <row r="632" spans="1:29" s="24" customFormat="1" ht="12.75">
      <c r="A632" s="223"/>
      <c r="B632" s="223"/>
      <c r="C632" s="223"/>
      <c r="D632" s="223"/>
      <c r="E632" s="224"/>
      <c r="F632" s="224"/>
      <c r="G632" s="224"/>
      <c r="H632" s="224"/>
      <c r="I632" s="224"/>
      <c r="J632" s="224"/>
      <c r="K632" s="224"/>
      <c r="L632" s="224"/>
      <c r="M632" s="224"/>
      <c r="N632" s="224"/>
      <c r="O632" s="224"/>
      <c r="P632" s="224"/>
      <c r="Q632" s="224"/>
      <c r="R632" s="224"/>
      <c r="S632" s="224"/>
      <c r="T632" s="224"/>
      <c r="U632" s="224"/>
      <c r="V632" s="224"/>
      <c r="W632" s="224"/>
      <c r="X632" s="224"/>
      <c r="Y632" s="224"/>
      <c r="Z632" s="224"/>
      <c r="AA632" s="224"/>
      <c r="AB632" s="224"/>
      <c r="AC632" s="224"/>
    </row>
    <row r="633" spans="1:29" s="24" customFormat="1" ht="12.75">
      <c r="A633" s="223"/>
      <c r="B633" s="223"/>
      <c r="C633" s="223"/>
      <c r="D633" s="223"/>
      <c r="E633" s="224"/>
      <c r="F633" s="224"/>
      <c r="G633" s="224"/>
      <c r="H633" s="224"/>
      <c r="I633" s="224"/>
      <c r="J633" s="224"/>
      <c r="K633" s="224"/>
      <c r="L633" s="224"/>
      <c r="M633" s="224"/>
      <c r="N633" s="224"/>
      <c r="O633" s="224"/>
      <c r="P633" s="224"/>
      <c r="Q633" s="224"/>
      <c r="R633" s="224"/>
      <c r="S633" s="224"/>
      <c r="T633" s="224"/>
      <c r="U633" s="224"/>
      <c r="V633" s="224"/>
      <c r="W633" s="224"/>
      <c r="X633" s="224"/>
      <c r="Y633" s="224"/>
      <c r="Z633" s="224"/>
      <c r="AA633" s="224"/>
      <c r="AB633" s="224"/>
      <c r="AC633" s="224"/>
    </row>
    <row r="634" spans="1:29" s="24" customFormat="1" ht="12.75">
      <c r="A634" s="223"/>
      <c r="B634" s="223"/>
      <c r="C634" s="223"/>
      <c r="D634" s="223"/>
      <c r="E634" s="224"/>
      <c r="F634" s="224"/>
      <c r="G634" s="224"/>
      <c r="H634" s="224"/>
      <c r="I634" s="224"/>
      <c r="J634" s="224"/>
      <c r="K634" s="224"/>
      <c r="L634" s="224"/>
      <c r="M634" s="224"/>
      <c r="N634" s="224"/>
      <c r="O634" s="224"/>
      <c r="P634" s="224"/>
      <c r="Q634" s="224"/>
      <c r="R634" s="224"/>
      <c r="S634" s="224"/>
      <c r="T634" s="224"/>
      <c r="U634" s="224"/>
      <c r="V634" s="224"/>
      <c r="W634" s="224"/>
      <c r="X634" s="224"/>
      <c r="Y634" s="224"/>
      <c r="Z634" s="224"/>
      <c r="AA634" s="224"/>
      <c r="AB634" s="224"/>
      <c r="AC634" s="224"/>
    </row>
    <row r="635" spans="1:29" s="24" customFormat="1" ht="12.75">
      <c r="A635" s="223"/>
      <c r="B635" s="223"/>
      <c r="C635" s="223"/>
      <c r="D635" s="223"/>
      <c r="E635" s="224"/>
      <c r="F635" s="224"/>
      <c r="G635" s="224"/>
      <c r="H635" s="224"/>
      <c r="I635" s="224"/>
      <c r="J635" s="224"/>
      <c r="K635" s="224"/>
      <c r="L635" s="224"/>
      <c r="M635" s="224"/>
      <c r="N635" s="224"/>
      <c r="O635" s="224"/>
      <c r="P635" s="224"/>
      <c r="Q635" s="224"/>
      <c r="R635" s="224"/>
      <c r="S635" s="224"/>
      <c r="T635" s="224"/>
      <c r="U635" s="224"/>
      <c r="V635" s="224"/>
      <c r="W635" s="224"/>
      <c r="X635" s="224"/>
      <c r="Y635" s="224"/>
      <c r="Z635" s="224"/>
      <c r="AA635" s="224"/>
      <c r="AB635" s="224"/>
      <c r="AC635" s="224"/>
    </row>
    <row r="636" spans="1:29" s="24" customFormat="1" ht="12.75">
      <c r="A636" s="223"/>
      <c r="B636" s="223"/>
      <c r="C636" s="223"/>
      <c r="D636" s="223"/>
      <c r="E636" s="224"/>
      <c r="F636" s="224"/>
      <c r="G636" s="224"/>
      <c r="H636" s="224"/>
      <c r="I636" s="224"/>
      <c r="J636" s="224"/>
      <c r="K636" s="224"/>
      <c r="L636" s="224"/>
      <c r="M636" s="224"/>
      <c r="N636" s="224"/>
      <c r="O636" s="224"/>
      <c r="P636" s="224"/>
      <c r="Q636" s="224"/>
      <c r="R636" s="224"/>
      <c r="S636" s="224"/>
      <c r="T636" s="224"/>
      <c r="U636" s="224"/>
      <c r="V636" s="224"/>
      <c r="W636" s="224"/>
      <c r="X636" s="224"/>
      <c r="Y636" s="224"/>
      <c r="Z636" s="224"/>
      <c r="AA636" s="224"/>
      <c r="AB636" s="224"/>
      <c r="AC636" s="224"/>
    </row>
    <row r="637" spans="1:29" s="24" customFormat="1" ht="12.75">
      <c r="A637" s="223"/>
      <c r="B637" s="223"/>
      <c r="C637" s="223"/>
      <c r="D637" s="223"/>
      <c r="E637" s="224"/>
      <c r="F637" s="224"/>
      <c r="G637" s="224"/>
      <c r="H637" s="224"/>
      <c r="I637" s="224"/>
      <c r="J637" s="224"/>
      <c r="K637" s="224"/>
      <c r="L637" s="224"/>
      <c r="M637" s="224"/>
      <c r="N637" s="224"/>
      <c r="O637" s="224"/>
      <c r="P637" s="224"/>
      <c r="Q637" s="224"/>
      <c r="R637" s="224"/>
      <c r="S637" s="224"/>
      <c r="T637" s="224"/>
      <c r="U637" s="224"/>
      <c r="V637" s="224"/>
      <c r="W637" s="224"/>
      <c r="X637" s="224"/>
      <c r="Y637" s="224"/>
      <c r="Z637" s="224"/>
      <c r="AA637" s="224"/>
      <c r="AB637" s="224"/>
      <c r="AC637" s="224"/>
    </row>
    <row r="638" spans="1:29" s="24" customFormat="1" ht="12.75">
      <c r="A638" s="223"/>
      <c r="B638" s="223"/>
      <c r="C638" s="223"/>
      <c r="D638" s="223"/>
      <c r="E638" s="224"/>
      <c r="F638" s="224"/>
      <c r="G638" s="224"/>
      <c r="H638" s="224"/>
      <c r="I638" s="224"/>
      <c r="J638" s="224"/>
      <c r="K638" s="224"/>
      <c r="L638" s="224"/>
      <c r="M638" s="224"/>
      <c r="N638" s="224"/>
      <c r="O638" s="224"/>
      <c r="P638" s="224"/>
      <c r="Q638" s="224"/>
      <c r="R638" s="224"/>
      <c r="S638" s="224"/>
      <c r="T638" s="224"/>
      <c r="U638" s="224"/>
      <c r="V638" s="224"/>
      <c r="W638" s="224"/>
      <c r="X638" s="224"/>
      <c r="Y638" s="224"/>
      <c r="Z638" s="224"/>
      <c r="AA638" s="224"/>
      <c r="AB638" s="224"/>
      <c r="AC638" s="224"/>
    </row>
    <row r="639" spans="1:29" s="24" customFormat="1" ht="12.75">
      <c r="A639" s="223"/>
      <c r="B639" s="223"/>
      <c r="C639" s="223"/>
      <c r="D639" s="227"/>
      <c r="E639" s="224"/>
      <c r="F639" s="224"/>
      <c r="G639" s="224"/>
      <c r="H639" s="224"/>
      <c r="I639" s="224"/>
      <c r="J639" s="224"/>
      <c r="K639" s="224"/>
      <c r="L639" s="224"/>
      <c r="M639" s="224"/>
      <c r="N639" s="224"/>
      <c r="O639" s="224"/>
      <c r="P639" s="224"/>
      <c r="Q639" s="224"/>
      <c r="R639" s="224"/>
      <c r="S639" s="224"/>
      <c r="T639" s="224"/>
      <c r="U639" s="224"/>
      <c r="V639" s="224"/>
      <c r="W639" s="224"/>
      <c r="X639" s="224"/>
      <c r="Y639" s="224"/>
      <c r="Z639" s="224"/>
      <c r="AA639" s="224"/>
      <c r="AB639" s="224"/>
      <c r="AC639" s="224"/>
    </row>
    <row r="640" spans="1:29" s="24" customFormat="1" ht="12.75">
      <c r="A640" s="223"/>
      <c r="B640" s="223"/>
      <c r="C640" s="223"/>
      <c r="D640" s="223"/>
      <c r="E640" s="224"/>
      <c r="F640" s="224"/>
      <c r="G640" s="224"/>
      <c r="H640" s="224"/>
      <c r="I640" s="224"/>
      <c r="J640" s="224"/>
      <c r="K640" s="224"/>
      <c r="L640" s="224"/>
      <c r="M640" s="224"/>
      <c r="N640" s="224"/>
      <c r="O640" s="224"/>
      <c r="P640" s="224"/>
      <c r="Q640" s="224"/>
      <c r="R640" s="224"/>
      <c r="S640" s="224"/>
      <c r="T640" s="224"/>
      <c r="U640" s="224"/>
      <c r="V640" s="224"/>
      <c r="W640" s="224"/>
      <c r="X640" s="224"/>
      <c r="Y640" s="224"/>
      <c r="Z640" s="224"/>
      <c r="AA640" s="224"/>
      <c r="AB640" s="224"/>
      <c r="AC640" s="224"/>
    </row>
    <row r="641" spans="1:29" s="24" customFormat="1" ht="12.75">
      <c r="A641" s="223"/>
      <c r="B641" s="223"/>
      <c r="C641" s="223"/>
      <c r="D641" s="223"/>
      <c r="E641" s="224"/>
      <c r="F641" s="224"/>
      <c r="G641" s="224"/>
      <c r="H641" s="224"/>
      <c r="I641" s="224"/>
      <c r="J641" s="224"/>
      <c r="K641" s="224"/>
      <c r="L641" s="224"/>
      <c r="M641" s="224"/>
      <c r="N641" s="224"/>
      <c r="O641" s="224"/>
      <c r="P641" s="224"/>
      <c r="Q641" s="224"/>
      <c r="R641" s="224"/>
      <c r="S641" s="224"/>
      <c r="T641" s="224"/>
      <c r="U641" s="224"/>
      <c r="V641" s="224"/>
      <c r="W641" s="224"/>
      <c r="X641" s="224"/>
      <c r="Y641" s="224"/>
      <c r="Z641" s="224"/>
      <c r="AA641" s="224"/>
      <c r="AB641" s="224"/>
      <c r="AC641" s="224"/>
    </row>
    <row r="642" spans="1:29" s="24" customFormat="1" ht="12.75">
      <c r="A642" s="223"/>
      <c r="B642" s="223"/>
      <c r="C642" s="223"/>
      <c r="D642" s="227"/>
      <c r="E642" s="224"/>
      <c r="F642" s="224"/>
      <c r="G642" s="224"/>
      <c r="H642" s="224"/>
      <c r="I642" s="224"/>
      <c r="J642" s="224"/>
      <c r="K642" s="224"/>
      <c r="L642" s="224"/>
      <c r="M642" s="224"/>
      <c r="N642" s="224"/>
      <c r="O642" s="224"/>
      <c r="P642" s="224"/>
      <c r="Q642" s="224"/>
      <c r="R642" s="224"/>
      <c r="S642" s="224"/>
      <c r="T642" s="224"/>
      <c r="U642" s="224"/>
      <c r="V642" s="224"/>
      <c r="W642" s="224"/>
      <c r="X642" s="224"/>
      <c r="Y642" s="224"/>
      <c r="Z642" s="224"/>
      <c r="AA642" s="224"/>
      <c r="AB642" s="224"/>
      <c r="AC642" s="224"/>
    </row>
    <row r="643" spans="1:29" s="24" customFormat="1" ht="12.75">
      <c r="A643" s="223"/>
      <c r="B643" s="223"/>
      <c r="C643" s="223"/>
      <c r="D643" s="223"/>
      <c r="E643" s="224"/>
      <c r="F643" s="224"/>
      <c r="G643" s="224"/>
      <c r="H643" s="224"/>
      <c r="I643" s="224"/>
      <c r="J643" s="224"/>
      <c r="K643" s="224"/>
      <c r="L643" s="224"/>
      <c r="M643" s="224"/>
      <c r="N643" s="224"/>
      <c r="O643" s="224"/>
      <c r="P643" s="224"/>
      <c r="Q643" s="224"/>
      <c r="R643" s="224"/>
      <c r="S643" s="224"/>
      <c r="T643" s="224"/>
      <c r="U643" s="224"/>
      <c r="V643" s="224"/>
      <c r="W643" s="224"/>
      <c r="X643" s="224"/>
      <c r="Y643" s="224"/>
      <c r="Z643" s="224"/>
      <c r="AA643" s="224"/>
      <c r="AB643" s="224"/>
      <c r="AC643" s="224"/>
    </row>
    <row r="644" spans="1:29" s="24" customFormat="1" ht="12.75">
      <c r="A644" s="223"/>
      <c r="B644" s="223"/>
      <c r="C644" s="223"/>
      <c r="D644" s="223"/>
      <c r="E644" s="224"/>
      <c r="F644" s="224"/>
      <c r="G644" s="224"/>
      <c r="H644" s="224"/>
      <c r="I644" s="224"/>
      <c r="J644" s="224"/>
      <c r="K644" s="224"/>
      <c r="L644" s="224"/>
      <c r="M644" s="224"/>
      <c r="N644" s="224"/>
      <c r="O644" s="224"/>
      <c r="P644" s="224"/>
      <c r="Q644" s="224"/>
      <c r="R644" s="224"/>
      <c r="S644" s="224"/>
      <c r="T644" s="224"/>
      <c r="U644" s="224"/>
      <c r="V644" s="224"/>
      <c r="W644" s="224"/>
      <c r="X644" s="224"/>
      <c r="Y644" s="224"/>
      <c r="Z644" s="224"/>
      <c r="AA644" s="224"/>
      <c r="AB644" s="224"/>
      <c r="AC644" s="224"/>
    </row>
    <row r="645" spans="1:29" s="24" customFormat="1" ht="12.75">
      <c r="A645" s="223"/>
      <c r="B645" s="223"/>
      <c r="C645" s="223"/>
      <c r="D645" s="223"/>
      <c r="E645" s="224"/>
      <c r="F645" s="224"/>
      <c r="G645" s="224"/>
      <c r="H645" s="224"/>
      <c r="I645" s="224"/>
      <c r="J645" s="224"/>
      <c r="K645" s="224"/>
      <c r="L645" s="224"/>
      <c r="M645" s="224"/>
      <c r="N645" s="224"/>
      <c r="O645" s="224"/>
      <c r="P645" s="224"/>
      <c r="Q645" s="224"/>
      <c r="R645" s="224"/>
      <c r="S645" s="224"/>
      <c r="T645" s="224"/>
      <c r="U645" s="224"/>
      <c r="V645" s="224"/>
      <c r="W645" s="224"/>
      <c r="X645" s="224"/>
      <c r="Y645" s="224"/>
      <c r="Z645" s="224"/>
      <c r="AA645" s="224"/>
      <c r="AB645" s="224"/>
      <c r="AC645" s="224"/>
    </row>
    <row r="646" spans="1:29" s="24" customFormat="1" ht="12.75">
      <c r="A646" s="223"/>
      <c r="B646" s="223"/>
      <c r="C646" s="223"/>
      <c r="D646" s="223"/>
      <c r="E646" s="224"/>
      <c r="F646" s="224"/>
      <c r="G646" s="224"/>
      <c r="H646" s="224"/>
      <c r="I646" s="224"/>
      <c r="J646" s="224"/>
      <c r="K646" s="224"/>
      <c r="L646" s="224"/>
      <c r="M646" s="224"/>
      <c r="N646" s="224"/>
      <c r="O646" s="224"/>
      <c r="P646" s="224"/>
      <c r="Q646" s="224"/>
      <c r="R646" s="224"/>
      <c r="S646" s="224"/>
      <c r="T646" s="224"/>
      <c r="U646" s="224"/>
      <c r="V646" s="224"/>
      <c r="W646" s="224"/>
      <c r="X646" s="224"/>
      <c r="Y646" s="224"/>
      <c r="Z646" s="224"/>
      <c r="AA646" s="224"/>
      <c r="AB646" s="224"/>
      <c r="AC646" s="224"/>
    </row>
    <row r="647" spans="1:29" s="24" customFormat="1" ht="12.75">
      <c r="A647" s="223"/>
      <c r="B647" s="223"/>
      <c r="C647" s="223"/>
      <c r="D647" s="223"/>
      <c r="E647" s="224"/>
      <c r="F647" s="224"/>
      <c r="G647" s="224"/>
      <c r="H647" s="224"/>
      <c r="I647" s="224"/>
      <c r="J647" s="224"/>
      <c r="K647" s="224"/>
      <c r="L647" s="224"/>
      <c r="M647" s="224"/>
      <c r="N647" s="224"/>
      <c r="O647" s="224"/>
      <c r="P647" s="224"/>
      <c r="Q647" s="224"/>
      <c r="R647" s="224"/>
      <c r="S647" s="224"/>
      <c r="T647" s="224"/>
      <c r="U647" s="224"/>
      <c r="V647" s="224"/>
      <c r="W647" s="224"/>
      <c r="X647" s="224"/>
      <c r="Y647" s="224"/>
      <c r="Z647" s="224"/>
      <c r="AA647" s="224"/>
      <c r="AB647" s="224"/>
      <c r="AC647" s="224"/>
    </row>
    <row r="648" spans="1:29" s="24" customFormat="1" ht="12.75">
      <c r="A648" s="223"/>
      <c r="B648" s="223"/>
      <c r="C648" s="223"/>
      <c r="D648" s="223"/>
      <c r="E648" s="224"/>
      <c r="F648" s="224"/>
      <c r="G648" s="224"/>
      <c r="H648" s="224"/>
      <c r="I648" s="224"/>
      <c r="J648" s="224"/>
      <c r="K648" s="224"/>
      <c r="L648" s="224"/>
      <c r="M648" s="224"/>
      <c r="N648" s="224"/>
      <c r="O648" s="224"/>
      <c r="P648" s="224"/>
      <c r="Q648" s="224"/>
      <c r="R648" s="224"/>
      <c r="S648" s="224"/>
      <c r="T648" s="224"/>
      <c r="U648" s="224"/>
      <c r="V648" s="224"/>
      <c r="W648" s="224"/>
      <c r="X648" s="224"/>
      <c r="Y648" s="224"/>
      <c r="Z648" s="224"/>
      <c r="AA648" s="224"/>
      <c r="AB648" s="224"/>
      <c r="AC648" s="224"/>
    </row>
    <row r="649" spans="1:29" s="24" customFormat="1" ht="12.75">
      <c r="A649" s="223"/>
      <c r="B649" s="223"/>
      <c r="C649" s="223"/>
      <c r="D649" s="223"/>
      <c r="E649" s="224"/>
      <c r="F649" s="224"/>
      <c r="G649" s="224"/>
      <c r="H649" s="224"/>
      <c r="I649" s="224"/>
      <c r="J649" s="224"/>
      <c r="K649" s="224"/>
      <c r="L649" s="224"/>
      <c r="M649" s="224"/>
      <c r="N649" s="224"/>
      <c r="O649" s="224"/>
      <c r="P649" s="224"/>
      <c r="Q649" s="224"/>
      <c r="R649" s="224"/>
      <c r="S649" s="224"/>
      <c r="T649" s="224"/>
      <c r="U649" s="224"/>
      <c r="V649" s="224"/>
      <c r="W649" s="224"/>
      <c r="X649" s="224"/>
      <c r="Y649" s="224"/>
      <c r="Z649" s="224"/>
      <c r="AA649" s="224"/>
      <c r="AB649" s="224"/>
      <c r="AC649" s="224"/>
    </row>
    <row r="650" spans="1:29" s="24" customFormat="1" ht="12.75">
      <c r="A650" s="223"/>
      <c r="B650" s="223"/>
      <c r="C650" s="223"/>
      <c r="D650" s="227"/>
      <c r="E650" s="224"/>
      <c r="F650" s="224"/>
      <c r="G650" s="224"/>
      <c r="H650" s="224"/>
      <c r="I650" s="224"/>
      <c r="J650" s="224"/>
      <c r="K650" s="224"/>
      <c r="L650" s="224"/>
      <c r="M650" s="224"/>
      <c r="N650" s="224"/>
      <c r="O650" s="224"/>
      <c r="P650" s="224"/>
      <c r="Q650" s="224"/>
      <c r="R650" s="224"/>
      <c r="S650" s="224"/>
      <c r="T650" s="224"/>
      <c r="U650" s="224"/>
      <c r="V650" s="224"/>
      <c r="W650" s="224"/>
      <c r="X650" s="224"/>
      <c r="Y650" s="224"/>
      <c r="Z650" s="224"/>
      <c r="AA650" s="224"/>
      <c r="AB650" s="224"/>
      <c r="AC650" s="224"/>
    </row>
    <row r="651" spans="1:29" s="24" customFormat="1" ht="12.75">
      <c r="A651" s="223"/>
      <c r="B651" s="223"/>
      <c r="C651" s="223"/>
      <c r="D651" s="223"/>
      <c r="E651" s="224"/>
      <c r="F651" s="224"/>
      <c r="G651" s="224"/>
      <c r="H651" s="224"/>
      <c r="I651" s="224"/>
      <c r="J651" s="224"/>
      <c r="K651" s="224"/>
      <c r="L651" s="224"/>
      <c r="M651" s="224"/>
      <c r="N651" s="224"/>
      <c r="O651" s="224"/>
      <c r="P651" s="224"/>
      <c r="Q651" s="224"/>
      <c r="R651" s="224"/>
      <c r="S651" s="224"/>
      <c r="T651" s="224"/>
      <c r="U651" s="224"/>
      <c r="V651" s="224"/>
      <c r="W651" s="224"/>
      <c r="X651" s="224"/>
      <c r="Y651" s="224"/>
      <c r="Z651" s="224"/>
      <c r="AA651" s="224"/>
      <c r="AB651" s="224"/>
      <c r="AC651" s="224"/>
    </row>
    <row r="652" spans="1:29" s="24" customFormat="1" ht="12.75">
      <c r="A652" s="223"/>
      <c r="B652" s="223"/>
      <c r="C652" s="223"/>
      <c r="D652" s="223"/>
      <c r="E652" s="224"/>
      <c r="F652" s="224"/>
      <c r="G652" s="224"/>
      <c r="H652" s="224"/>
      <c r="I652" s="224"/>
      <c r="J652" s="224"/>
      <c r="K652" s="224"/>
      <c r="L652" s="224"/>
      <c r="M652" s="224"/>
      <c r="N652" s="224"/>
      <c r="O652" s="224"/>
      <c r="P652" s="224"/>
      <c r="Q652" s="224"/>
      <c r="R652" s="224"/>
      <c r="S652" s="224"/>
      <c r="T652" s="224"/>
      <c r="U652" s="224"/>
      <c r="V652" s="224"/>
      <c r="W652" s="224"/>
      <c r="X652" s="224"/>
      <c r="Y652" s="224"/>
      <c r="Z652" s="224"/>
      <c r="AA652" s="224"/>
      <c r="AB652" s="224"/>
      <c r="AC652" s="224"/>
    </row>
    <row r="653" spans="1:29" s="24" customFormat="1" ht="12.75">
      <c r="A653" s="223"/>
      <c r="B653" s="223"/>
      <c r="C653" s="223"/>
      <c r="D653" s="223"/>
      <c r="E653" s="224"/>
      <c r="F653" s="224"/>
      <c r="G653" s="224"/>
      <c r="H653" s="224"/>
      <c r="I653" s="224"/>
      <c r="J653" s="224"/>
      <c r="K653" s="224"/>
      <c r="L653" s="224"/>
      <c r="M653" s="224"/>
      <c r="N653" s="224"/>
      <c r="O653" s="224"/>
      <c r="P653" s="224"/>
      <c r="Q653" s="224"/>
      <c r="R653" s="224"/>
      <c r="S653" s="224"/>
      <c r="T653" s="224"/>
      <c r="U653" s="224"/>
      <c r="V653" s="224"/>
      <c r="W653" s="224"/>
      <c r="X653" s="224"/>
      <c r="Y653" s="224"/>
      <c r="Z653" s="224"/>
      <c r="AA653" s="224"/>
      <c r="AB653" s="224"/>
      <c r="AC653" s="224"/>
    </row>
    <row r="654" spans="1:29" s="24" customFormat="1" ht="12.75">
      <c r="A654" s="223"/>
      <c r="B654" s="223"/>
      <c r="C654" s="223"/>
      <c r="D654" s="223"/>
      <c r="E654" s="224"/>
      <c r="F654" s="224"/>
      <c r="G654" s="224"/>
      <c r="H654" s="224"/>
      <c r="I654" s="224"/>
      <c r="J654" s="224"/>
      <c r="K654" s="224"/>
      <c r="L654" s="224"/>
      <c r="M654" s="224"/>
      <c r="N654" s="224"/>
      <c r="O654" s="224"/>
      <c r="P654" s="224"/>
      <c r="Q654" s="224"/>
      <c r="R654" s="224"/>
      <c r="S654" s="224"/>
      <c r="T654" s="224"/>
      <c r="U654" s="224"/>
      <c r="V654" s="224"/>
      <c r="W654" s="224"/>
      <c r="X654" s="224"/>
      <c r="Y654" s="224"/>
      <c r="Z654" s="224"/>
      <c r="AA654" s="224"/>
      <c r="AB654" s="224"/>
      <c r="AC654" s="224"/>
    </row>
    <row r="655" spans="1:29" s="24" customFormat="1" ht="12.75">
      <c r="A655" s="223"/>
      <c r="B655" s="223"/>
      <c r="C655" s="223"/>
      <c r="D655" s="223"/>
      <c r="E655" s="224"/>
      <c r="F655" s="224"/>
      <c r="G655" s="224"/>
      <c r="H655" s="224"/>
      <c r="I655" s="224"/>
      <c r="J655" s="224"/>
      <c r="K655" s="224"/>
      <c r="L655" s="224"/>
      <c r="M655" s="224"/>
      <c r="N655" s="224"/>
      <c r="O655" s="224"/>
      <c r="P655" s="224"/>
      <c r="Q655" s="224"/>
      <c r="R655" s="224"/>
      <c r="S655" s="224"/>
      <c r="T655" s="224"/>
      <c r="U655" s="224"/>
      <c r="V655" s="224"/>
      <c r="W655" s="224"/>
      <c r="X655" s="224"/>
      <c r="Y655" s="224"/>
      <c r="Z655" s="224"/>
      <c r="AA655" s="224"/>
      <c r="AB655" s="224"/>
      <c r="AC655" s="224"/>
    </row>
    <row r="656" spans="1:29" s="24" customFormat="1" ht="12.75">
      <c r="A656" s="223"/>
      <c r="B656" s="223"/>
      <c r="C656" s="223"/>
      <c r="D656" s="223"/>
      <c r="E656" s="224"/>
      <c r="F656" s="224"/>
      <c r="G656" s="224"/>
      <c r="H656" s="224"/>
      <c r="I656" s="224"/>
      <c r="J656" s="224"/>
      <c r="K656" s="224"/>
      <c r="L656" s="224"/>
      <c r="M656" s="224"/>
      <c r="N656" s="224"/>
      <c r="O656" s="224"/>
      <c r="P656" s="224"/>
      <c r="Q656" s="224"/>
      <c r="R656" s="224"/>
      <c r="S656" s="224"/>
      <c r="T656" s="224"/>
      <c r="U656" s="224"/>
      <c r="V656" s="224"/>
      <c r="W656" s="224"/>
      <c r="X656" s="224"/>
      <c r="Y656" s="224"/>
      <c r="Z656" s="224"/>
      <c r="AA656" s="224"/>
      <c r="AB656" s="224"/>
      <c r="AC656" s="224"/>
    </row>
    <row r="657" spans="1:29" s="24" customFormat="1" ht="12.75">
      <c r="A657" s="223"/>
      <c r="B657" s="223"/>
      <c r="C657" s="223"/>
      <c r="D657" s="223"/>
      <c r="E657" s="224"/>
      <c r="F657" s="224"/>
      <c r="G657" s="224"/>
      <c r="H657" s="224"/>
      <c r="I657" s="224"/>
      <c r="J657" s="224"/>
      <c r="K657" s="224"/>
      <c r="L657" s="224"/>
      <c r="M657" s="224"/>
      <c r="N657" s="224"/>
      <c r="O657" s="224"/>
      <c r="P657" s="224"/>
      <c r="Q657" s="224"/>
      <c r="R657" s="224"/>
      <c r="S657" s="224"/>
      <c r="T657" s="224"/>
      <c r="U657" s="224"/>
      <c r="V657" s="224"/>
      <c r="W657" s="224"/>
      <c r="X657" s="224"/>
      <c r="Y657" s="224"/>
      <c r="Z657" s="224"/>
      <c r="AA657" s="224"/>
      <c r="AB657" s="224"/>
      <c r="AC657" s="224"/>
    </row>
    <row r="658" spans="1:29" s="24" customFormat="1" ht="12.75">
      <c r="A658" s="223"/>
      <c r="B658" s="223"/>
      <c r="C658" s="223"/>
      <c r="D658" s="223"/>
      <c r="E658" s="224"/>
      <c r="F658" s="224"/>
      <c r="G658" s="224"/>
      <c r="H658" s="224"/>
      <c r="I658" s="224"/>
      <c r="J658" s="224"/>
      <c r="K658" s="224"/>
      <c r="L658" s="224"/>
      <c r="M658" s="224"/>
      <c r="N658" s="224"/>
      <c r="O658" s="224"/>
      <c r="P658" s="224"/>
      <c r="Q658" s="224"/>
      <c r="R658" s="224"/>
      <c r="S658" s="224"/>
      <c r="T658" s="224"/>
      <c r="U658" s="224"/>
      <c r="V658" s="224"/>
      <c r="W658" s="224"/>
      <c r="X658" s="224"/>
      <c r="Y658" s="224"/>
      <c r="Z658" s="224"/>
      <c r="AA658" s="224"/>
      <c r="AB658" s="224"/>
      <c r="AC658" s="224"/>
    </row>
    <row r="659" spans="1:29" s="24" customFormat="1" ht="12.75">
      <c r="A659" s="223"/>
      <c r="B659" s="223"/>
      <c r="C659" s="223"/>
      <c r="D659" s="223"/>
      <c r="E659" s="224"/>
      <c r="F659" s="224"/>
      <c r="G659" s="224"/>
      <c r="H659" s="224"/>
      <c r="I659" s="224"/>
      <c r="J659" s="224"/>
      <c r="K659" s="224"/>
      <c r="L659" s="224"/>
      <c r="M659" s="224"/>
      <c r="N659" s="224"/>
      <c r="O659" s="224"/>
      <c r="P659" s="224"/>
      <c r="Q659" s="224"/>
      <c r="R659" s="224"/>
      <c r="S659" s="224"/>
      <c r="T659" s="224"/>
      <c r="U659" s="224"/>
      <c r="V659" s="224"/>
      <c r="W659" s="224"/>
      <c r="X659" s="224"/>
      <c r="Y659" s="224"/>
      <c r="Z659" s="224"/>
      <c r="AA659" s="224"/>
      <c r="AB659" s="224"/>
      <c r="AC659" s="224"/>
    </row>
    <row r="660" spans="1:29" s="24" customFormat="1" ht="12.75">
      <c r="A660" s="223"/>
      <c r="B660" s="223"/>
      <c r="C660" s="223"/>
      <c r="D660" s="227"/>
      <c r="E660" s="224"/>
      <c r="F660" s="224"/>
      <c r="G660" s="224"/>
      <c r="H660" s="224"/>
      <c r="I660" s="224"/>
      <c r="J660" s="224"/>
      <c r="K660" s="224"/>
      <c r="L660" s="224"/>
      <c r="M660" s="224"/>
      <c r="N660" s="224"/>
      <c r="O660" s="224"/>
      <c r="P660" s="224"/>
      <c r="Q660" s="224"/>
      <c r="R660" s="224"/>
      <c r="S660" s="224"/>
      <c r="T660" s="224"/>
      <c r="U660" s="224"/>
      <c r="V660" s="224"/>
      <c r="W660" s="224"/>
      <c r="X660" s="224"/>
      <c r="Y660" s="224"/>
      <c r="Z660" s="224"/>
      <c r="AA660" s="224"/>
      <c r="AB660" s="224"/>
      <c r="AC660" s="224"/>
    </row>
    <row r="661" spans="1:29" s="24" customFormat="1" ht="12.75">
      <c r="A661" s="223"/>
      <c r="B661" s="223"/>
      <c r="C661" s="223"/>
      <c r="D661" s="223"/>
      <c r="E661" s="224"/>
      <c r="F661" s="224"/>
      <c r="G661" s="224"/>
      <c r="H661" s="224"/>
      <c r="I661" s="224"/>
      <c r="J661" s="224"/>
      <c r="K661" s="224"/>
      <c r="L661" s="224"/>
      <c r="M661" s="224"/>
      <c r="N661" s="224"/>
      <c r="O661" s="224"/>
      <c r="P661" s="224"/>
      <c r="Q661" s="224"/>
      <c r="R661" s="224"/>
      <c r="S661" s="224"/>
      <c r="T661" s="224"/>
      <c r="U661" s="224"/>
      <c r="V661" s="224"/>
      <c r="W661" s="224"/>
      <c r="X661" s="224"/>
      <c r="Y661" s="224"/>
      <c r="Z661" s="224"/>
      <c r="AA661" s="224"/>
      <c r="AB661" s="224"/>
      <c r="AC661" s="224"/>
    </row>
    <row r="662" spans="1:29" s="24" customFormat="1" ht="12.75">
      <c r="A662" s="223"/>
      <c r="B662" s="223"/>
      <c r="C662" s="223"/>
      <c r="D662" s="223"/>
      <c r="E662" s="224"/>
      <c r="F662" s="224"/>
      <c r="G662" s="224"/>
      <c r="H662" s="224"/>
      <c r="I662" s="224"/>
      <c r="J662" s="224"/>
      <c r="K662" s="224"/>
      <c r="L662" s="224"/>
      <c r="M662" s="224"/>
      <c r="N662" s="224"/>
      <c r="O662" s="224"/>
      <c r="P662" s="224"/>
      <c r="Q662" s="224"/>
      <c r="R662" s="224"/>
      <c r="S662" s="224"/>
      <c r="T662" s="224"/>
      <c r="U662" s="224"/>
      <c r="V662" s="224"/>
      <c r="W662" s="224"/>
      <c r="X662" s="224"/>
      <c r="Y662" s="224"/>
      <c r="Z662" s="224"/>
      <c r="AA662" s="224"/>
      <c r="AB662" s="224"/>
      <c r="AC662" s="224"/>
    </row>
    <row r="663" spans="1:29" s="24" customFormat="1" ht="12.75">
      <c r="A663" s="223"/>
      <c r="B663" s="223"/>
      <c r="C663" s="223"/>
      <c r="D663" s="223"/>
      <c r="E663" s="224"/>
      <c r="F663" s="224"/>
      <c r="G663" s="224"/>
      <c r="H663" s="224"/>
      <c r="I663" s="224"/>
      <c r="J663" s="224"/>
      <c r="K663" s="224"/>
      <c r="L663" s="224"/>
      <c r="M663" s="224"/>
      <c r="N663" s="224"/>
      <c r="O663" s="224"/>
      <c r="P663" s="224"/>
      <c r="Q663" s="224"/>
      <c r="R663" s="224"/>
      <c r="S663" s="224"/>
      <c r="T663" s="224"/>
      <c r="U663" s="224"/>
      <c r="V663" s="224"/>
      <c r="W663" s="224"/>
      <c r="X663" s="224"/>
      <c r="Y663" s="224"/>
      <c r="Z663" s="224"/>
      <c r="AA663" s="224"/>
      <c r="AB663" s="224"/>
      <c r="AC663" s="224"/>
    </row>
    <row r="664" spans="1:29" s="24" customFormat="1" ht="12.75">
      <c r="A664" s="223"/>
      <c r="B664" s="223"/>
      <c r="C664" s="223"/>
      <c r="D664" s="223"/>
      <c r="E664" s="224"/>
      <c r="F664" s="224"/>
      <c r="G664" s="224"/>
      <c r="H664" s="224"/>
      <c r="I664" s="224"/>
      <c r="J664" s="224"/>
      <c r="K664" s="224"/>
      <c r="L664" s="224"/>
      <c r="M664" s="224"/>
      <c r="N664" s="224"/>
      <c r="O664" s="224"/>
      <c r="P664" s="224"/>
      <c r="Q664" s="224"/>
      <c r="R664" s="224"/>
      <c r="S664" s="224"/>
      <c r="T664" s="224"/>
      <c r="U664" s="224"/>
      <c r="V664" s="224"/>
      <c r="W664" s="224"/>
      <c r="X664" s="224"/>
      <c r="Y664" s="224"/>
      <c r="Z664" s="224"/>
      <c r="AA664" s="224"/>
      <c r="AB664" s="224"/>
      <c r="AC664" s="224"/>
    </row>
    <row r="665" spans="1:29" s="24" customFormat="1" ht="12.75">
      <c r="A665" s="223"/>
      <c r="B665" s="223"/>
      <c r="C665" s="223"/>
      <c r="D665" s="223"/>
      <c r="E665" s="224"/>
      <c r="F665" s="224"/>
      <c r="G665" s="224"/>
      <c r="H665" s="224"/>
      <c r="I665" s="224"/>
      <c r="J665" s="224"/>
      <c r="K665" s="224"/>
      <c r="L665" s="224"/>
      <c r="M665" s="224"/>
      <c r="N665" s="224"/>
      <c r="O665" s="224"/>
      <c r="P665" s="224"/>
      <c r="Q665" s="224"/>
      <c r="R665" s="224"/>
      <c r="S665" s="224"/>
      <c r="T665" s="224"/>
      <c r="U665" s="224"/>
      <c r="V665" s="224"/>
      <c r="W665" s="224"/>
      <c r="X665" s="224"/>
      <c r="Y665" s="224"/>
      <c r="Z665" s="224"/>
      <c r="AA665" s="224"/>
      <c r="AB665" s="224"/>
      <c r="AC665" s="224"/>
    </row>
    <row r="666" spans="1:29" s="24" customFormat="1" ht="12.75">
      <c r="A666" s="223"/>
      <c r="B666" s="223"/>
      <c r="C666" s="223"/>
      <c r="D666" s="223"/>
      <c r="E666" s="224"/>
      <c r="F666" s="224"/>
      <c r="G666" s="224"/>
      <c r="H666" s="224"/>
      <c r="I666" s="224"/>
      <c r="J666" s="224"/>
      <c r="K666" s="224"/>
      <c r="L666" s="224"/>
      <c r="M666" s="224"/>
      <c r="N666" s="224"/>
      <c r="O666" s="224"/>
      <c r="P666" s="224"/>
      <c r="Q666" s="224"/>
      <c r="R666" s="224"/>
      <c r="S666" s="224"/>
      <c r="T666" s="224"/>
      <c r="U666" s="224"/>
      <c r="V666" s="224"/>
      <c r="W666" s="224"/>
      <c r="X666" s="224"/>
      <c r="Y666" s="224"/>
      <c r="Z666" s="224"/>
      <c r="AA666" s="224"/>
      <c r="AB666" s="224"/>
      <c r="AC666" s="224"/>
    </row>
    <row r="667" spans="1:29" s="24" customFormat="1" ht="12.75">
      <c r="A667" s="223"/>
      <c r="B667" s="223"/>
      <c r="C667" s="223"/>
      <c r="D667" s="223"/>
      <c r="E667" s="224"/>
      <c r="F667" s="224"/>
      <c r="G667" s="224"/>
      <c r="H667" s="224"/>
      <c r="I667" s="224"/>
      <c r="J667" s="224"/>
      <c r="K667" s="224"/>
      <c r="L667" s="224"/>
      <c r="M667" s="224"/>
      <c r="N667" s="224"/>
      <c r="O667" s="224"/>
      <c r="P667" s="224"/>
      <c r="Q667" s="224"/>
      <c r="R667" s="224"/>
      <c r="S667" s="224"/>
      <c r="T667" s="224"/>
      <c r="U667" s="224"/>
      <c r="V667" s="224"/>
      <c r="W667" s="224"/>
      <c r="X667" s="224"/>
      <c r="Y667" s="224"/>
      <c r="Z667" s="224"/>
      <c r="AA667" s="224"/>
      <c r="AB667" s="224"/>
      <c r="AC667" s="224"/>
    </row>
    <row r="668" spans="1:29" s="24" customFormat="1" ht="12.75">
      <c r="A668" s="223"/>
      <c r="B668" s="223"/>
      <c r="C668" s="223"/>
      <c r="D668" s="223"/>
      <c r="E668" s="224"/>
      <c r="F668" s="224"/>
      <c r="G668" s="224"/>
      <c r="H668" s="224"/>
      <c r="I668" s="224"/>
      <c r="J668" s="224"/>
      <c r="K668" s="224"/>
      <c r="L668" s="224"/>
      <c r="M668" s="224"/>
      <c r="N668" s="224"/>
      <c r="O668" s="224"/>
      <c r="P668" s="224"/>
      <c r="Q668" s="224"/>
      <c r="R668" s="224"/>
      <c r="S668" s="224"/>
      <c r="T668" s="224"/>
      <c r="U668" s="224"/>
      <c r="V668" s="224"/>
      <c r="W668" s="224"/>
      <c r="X668" s="224"/>
      <c r="Y668" s="224"/>
      <c r="Z668" s="224"/>
      <c r="AA668" s="224"/>
      <c r="AB668" s="224"/>
      <c r="AC668" s="224"/>
    </row>
    <row r="669" spans="1:29" s="24" customFormat="1" ht="12.75">
      <c r="A669" s="223"/>
      <c r="B669" s="223"/>
      <c r="C669" s="223"/>
      <c r="D669" s="223"/>
      <c r="E669" s="224"/>
      <c r="F669" s="224"/>
      <c r="G669" s="224"/>
      <c r="H669" s="224"/>
      <c r="I669" s="224"/>
      <c r="J669" s="224"/>
      <c r="K669" s="224"/>
      <c r="L669" s="224"/>
      <c r="M669" s="224"/>
      <c r="N669" s="224"/>
      <c r="O669" s="224"/>
      <c r="P669" s="224"/>
      <c r="Q669" s="224"/>
      <c r="R669" s="224"/>
      <c r="S669" s="224"/>
      <c r="T669" s="224"/>
      <c r="U669" s="224"/>
      <c r="V669" s="224"/>
      <c r="W669" s="224"/>
      <c r="X669" s="224"/>
      <c r="Y669" s="224"/>
      <c r="Z669" s="224"/>
      <c r="AA669" s="224"/>
      <c r="AB669" s="224"/>
      <c r="AC669" s="224"/>
    </row>
    <row r="670" spans="1:29" s="24" customFormat="1" ht="12.75">
      <c r="A670" s="223"/>
      <c r="B670" s="223"/>
      <c r="C670" s="223"/>
      <c r="D670" s="223"/>
      <c r="E670" s="224"/>
      <c r="F670" s="224"/>
      <c r="G670" s="224"/>
      <c r="H670" s="224"/>
      <c r="I670" s="224"/>
      <c r="J670" s="224"/>
      <c r="K670" s="224"/>
      <c r="L670" s="224"/>
      <c r="M670" s="224"/>
      <c r="N670" s="224"/>
      <c r="O670" s="224"/>
      <c r="P670" s="224"/>
      <c r="Q670" s="224"/>
      <c r="R670" s="224"/>
      <c r="S670" s="224"/>
      <c r="T670" s="224"/>
      <c r="U670" s="224"/>
      <c r="V670" s="224"/>
      <c r="W670" s="224"/>
      <c r="X670" s="224"/>
      <c r="Y670" s="224"/>
      <c r="Z670" s="224"/>
      <c r="AA670" s="224"/>
      <c r="AB670" s="224"/>
      <c r="AC670" s="224"/>
    </row>
    <row r="671" spans="1:29" s="24" customFormat="1" ht="12.75">
      <c r="A671" s="223"/>
      <c r="B671" s="223"/>
      <c r="C671" s="223"/>
      <c r="D671" s="223"/>
      <c r="E671" s="224"/>
      <c r="F671" s="224"/>
      <c r="G671" s="224"/>
      <c r="H671" s="224"/>
      <c r="I671" s="224"/>
      <c r="J671" s="224"/>
      <c r="K671" s="224"/>
      <c r="L671" s="224"/>
      <c r="M671" s="224"/>
      <c r="N671" s="224"/>
      <c r="O671" s="224"/>
      <c r="P671" s="224"/>
      <c r="Q671" s="224"/>
      <c r="R671" s="224"/>
      <c r="S671" s="224"/>
      <c r="T671" s="224"/>
      <c r="U671" s="224"/>
      <c r="V671" s="224"/>
      <c r="W671" s="224"/>
      <c r="X671" s="224"/>
      <c r="Y671" s="224"/>
      <c r="Z671" s="224"/>
      <c r="AA671" s="224"/>
      <c r="AB671" s="224"/>
      <c r="AC671" s="224"/>
    </row>
    <row r="672" spans="1:29" s="24" customFormat="1" ht="12.75">
      <c r="A672" s="223"/>
      <c r="B672" s="223"/>
      <c r="C672" s="223"/>
      <c r="D672" s="223"/>
      <c r="E672" s="224"/>
      <c r="F672" s="224"/>
      <c r="G672" s="224"/>
      <c r="H672" s="224"/>
      <c r="I672" s="224"/>
      <c r="J672" s="224"/>
      <c r="K672" s="224"/>
      <c r="L672" s="224"/>
      <c r="M672" s="224"/>
      <c r="N672" s="224"/>
      <c r="O672" s="224"/>
      <c r="P672" s="224"/>
      <c r="Q672" s="224"/>
      <c r="R672" s="224"/>
      <c r="S672" s="224"/>
      <c r="T672" s="224"/>
      <c r="U672" s="224"/>
      <c r="V672" s="224"/>
      <c r="W672" s="224"/>
      <c r="X672" s="224"/>
      <c r="Y672" s="224"/>
      <c r="Z672" s="224"/>
      <c r="AA672" s="224"/>
      <c r="AB672" s="224"/>
      <c r="AC672" s="224"/>
    </row>
    <row r="673" spans="1:29" s="24" customFormat="1" ht="12.75">
      <c r="A673" s="223"/>
      <c r="B673" s="223"/>
      <c r="C673" s="223"/>
      <c r="D673" s="223"/>
      <c r="E673" s="224"/>
      <c r="F673" s="224"/>
      <c r="G673" s="224"/>
      <c r="H673" s="224"/>
      <c r="I673" s="224"/>
      <c r="J673" s="224"/>
      <c r="K673" s="224"/>
      <c r="L673" s="224"/>
      <c r="M673" s="224"/>
      <c r="N673" s="224"/>
      <c r="O673" s="224"/>
      <c r="P673" s="224"/>
      <c r="Q673" s="224"/>
      <c r="R673" s="224"/>
      <c r="S673" s="224"/>
      <c r="T673" s="224"/>
      <c r="U673" s="224"/>
      <c r="V673" s="224"/>
      <c r="W673" s="224"/>
      <c r="X673" s="224"/>
      <c r="Y673" s="224"/>
      <c r="Z673" s="224"/>
      <c r="AA673" s="224"/>
      <c r="AB673" s="224"/>
      <c r="AC673" s="224"/>
    </row>
    <row r="674" spans="1:29" s="24" customFormat="1" ht="12.75">
      <c r="A674" s="225"/>
      <c r="B674" s="225"/>
      <c r="C674" s="223"/>
      <c r="D674" s="223"/>
      <c r="E674" s="224"/>
      <c r="F674" s="224"/>
      <c r="G674" s="224"/>
      <c r="H674" s="224"/>
      <c r="I674" s="224"/>
      <c r="J674" s="224"/>
      <c r="K674" s="224"/>
      <c r="L674" s="224"/>
      <c r="M674" s="224"/>
      <c r="N674" s="224"/>
      <c r="O674" s="224"/>
      <c r="P674" s="224"/>
      <c r="Q674" s="224"/>
      <c r="R674" s="224"/>
      <c r="S674" s="224"/>
      <c r="T674" s="224"/>
      <c r="U674" s="224"/>
      <c r="V674" s="224"/>
      <c r="W674" s="224"/>
      <c r="X674" s="224"/>
      <c r="Y674" s="224"/>
      <c r="Z674" s="224"/>
      <c r="AA674" s="224"/>
      <c r="AB674" s="224"/>
      <c r="AC674" s="224"/>
    </row>
    <row r="675" spans="1:29" s="24" customFormat="1" ht="12.75">
      <c r="A675" s="223"/>
      <c r="B675" s="223"/>
      <c r="C675" s="223"/>
      <c r="D675" s="223"/>
      <c r="E675" s="224"/>
      <c r="F675" s="224"/>
      <c r="G675" s="224"/>
      <c r="H675" s="224"/>
      <c r="I675" s="224"/>
      <c r="J675" s="224"/>
      <c r="K675" s="224"/>
      <c r="L675" s="224"/>
      <c r="M675" s="224"/>
      <c r="N675" s="224"/>
      <c r="O675" s="224"/>
      <c r="P675" s="224"/>
      <c r="Q675" s="224"/>
      <c r="R675" s="224"/>
      <c r="S675" s="224"/>
      <c r="T675" s="224"/>
      <c r="U675" s="224"/>
      <c r="V675" s="224"/>
      <c r="W675" s="224"/>
      <c r="X675" s="224"/>
      <c r="Y675" s="224"/>
      <c r="Z675" s="224"/>
      <c r="AA675" s="224"/>
      <c r="AB675" s="224"/>
      <c r="AC675" s="224"/>
    </row>
    <row r="676" spans="1:29" s="24" customFormat="1" ht="12.75">
      <c r="A676" s="223"/>
      <c r="B676" s="223"/>
      <c r="C676" s="223"/>
      <c r="D676" s="223"/>
      <c r="E676" s="224"/>
      <c r="F676" s="224"/>
      <c r="G676" s="224"/>
      <c r="H676" s="224"/>
      <c r="I676" s="224"/>
      <c r="J676" s="224"/>
      <c r="K676" s="224"/>
      <c r="L676" s="224"/>
      <c r="M676" s="224"/>
      <c r="N676" s="224"/>
      <c r="O676" s="224"/>
      <c r="P676" s="224"/>
      <c r="Q676" s="224"/>
      <c r="R676" s="224"/>
      <c r="S676" s="224"/>
      <c r="T676" s="224"/>
      <c r="U676" s="224"/>
      <c r="V676" s="224"/>
      <c r="W676" s="224"/>
      <c r="X676" s="224"/>
      <c r="Y676" s="224"/>
      <c r="Z676" s="224"/>
      <c r="AA676" s="224"/>
      <c r="AB676" s="224"/>
      <c r="AC676" s="224"/>
    </row>
    <row r="677" spans="1:29" s="24" customFormat="1" ht="12.75">
      <c r="A677" s="223"/>
      <c r="B677" s="223"/>
      <c r="C677" s="223"/>
      <c r="D677" s="223"/>
      <c r="E677" s="224"/>
      <c r="F677" s="224"/>
      <c r="G677" s="224"/>
      <c r="H677" s="224"/>
      <c r="I677" s="224"/>
      <c r="J677" s="224"/>
      <c r="K677" s="224"/>
      <c r="L677" s="224"/>
      <c r="M677" s="224"/>
      <c r="N677" s="224"/>
      <c r="O677" s="224"/>
      <c r="P677" s="224"/>
      <c r="Q677" s="224"/>
      <c r="R677" s="224"/>
      <c r="S677" s="224"/>
      <c r="T677" s="224"/>
      <c r="U677" s="224"/>
      <c r="V677" s="224"/>
      <c r="W677" s="224"/>
      <c r="X677" s="224"/>
      <c r="Y677" s="224"/>
      <c r="Z677" s="224"/>
      <c r="AA677" s="224"/>
      <c r="AB677" s="224"/>
      <c r="AC677" s="224"/>
    </row>
    <row r="678" spans="1:29" s="24" customFormat="1" ht="12.75">
      <c r="A678" s="223"/>
      <c r="B678" s="223"/>
      <c r="C678" s="223"/>
      <c r="D678" s="223"/>
      <c r="E678" s="224"/>
      <c r="F678" s="224"/>
      <c r="G678" s="224"/>
      <c r="H678" s="224"/>
      <c r="I678" s="224"/>
      <c r="J678" s="224"/>
      <c r="K678" s="224"/>
      <c r="L678" s="224"/>
      <c r="M678" s="224"/>
      <c r="N678" s="224"/>
      <c r="O678" s="224"/>
      <c r="P678" s="224"/>
      <c r="Q678" s="224"/>
      <c r="R678" s="224"/>
      <c r="S678" s="224"/>
      <c r="T678" s="224"/>
      <c r="U678" s="224"/>
      <c r="V678" s="224"/>
      <c r="W678" s="224"/>
      <c r="X678" s="224"/>
      <c r="Y678" s="224"/>
      <c r="Z678" s="224"/>
      <c r="AA678" s="224"/>
      <c r="AB678" s="224"/>
      <c r="AC678" s="224"/>
    </row>
    <row r="679" spans="1:29" s="24" customFormat="1" ht="12.75">
      <c r="A679" s="223"/>
      <c r="B679" s="223"/>
      <c r="C679" s="223"/>
      <c r="D679" s="223"/>
      <c r="E679" s="224"/>
      <c r="F679" s="224"/>
      <c r="G679" s="224"/>
      <c r="H679" s="224"/>
      <c r="I679" s="224"/>
      <c r="J679" s="224"/>
      <c r="K679" s="224"/>
      <c r="L679" s="224"/>
      <c r="M679" s="224"/>
      <c r="N679" s="224"/>
      <c r="O679" s="224"/>
      <c r="P679" s="224"/>
      <c r="Q679" s="224"/>
      <c r="R679" s="224"/>
      <c r="S679" s="224"/>
      <c r="T679" s="224"/>
      <c r="U679" s="224"/>
      <c r="V679" s="224"/>
      <c r="W679" s="224"/>
      <c r="X679" s="224"/>
      <c r="Y679" s="224"/>
      <c r="Z679" s="224"/>
      <c r="AA679" s="224"/>
      <c r="AB679" s="224"/>
      <c r="AC679" s="224"/>
    </row>
    <row r="680" spans="1:29" s="24" customFormat="1" ht="12.75">
      <c r="A680" s="223"/>
      <c r="B680" s="223"/>
      <c r="C680" s="223"/>
      <c r="D680" s="223"/>
      <c r="E680" s="224"/>
      <c r="F680" s="224"/>
      <c r="G680" s="224"/>
      <c r="H680" s="224"/>
      <c r="I680" s="224"/>
      <c r="J680" s="224"/>
      <c r="K680" s="224"/>
      <c r="L680" s="224"/>
      <c r="M680" s="224"/>
      <c r="N680" s="224"/>
      <c r="O680" s="224"/>
      <c r="P680" s="224"/>
      <c r="Q680" s="224"/>
      <c r="R680" s="224"/>
      <c r="S680" s="224"/>
      <c r="T680" s="224"/>
      <c r="U680" s="224"/>
      <c r="V680" s="224"/>
      <c r="W680" s="224"/>
      <c r="X680" s="224"/>
      <c r="Y680" s="224"/>
      <c r="Z680" s="224"/>
      <c r="AA680" s="224"/>
      <c r="AB680" s="224"/>
      <c r="AC680" s="224"/>
    </row>
    <row r="681" spans="1:29" s="24" customFormat="1" ht="12.75">
      <c r="A681" s="223"/>
      <c r="B681" s="223"/>
      <c r="C681" s="223"/>
      <c r="D681" s="223"/>
      <c r="E681" s="224"/>
      <c r="F681" s="224"/>
      <c r="G681" s="224"/>
      <c r="H681" s="224"/>
      <c r="I681" s="224"/>
      <c r="J681" s="224"/>
      <c r="K681" s="224"/>
      <c r="L681" s="224"/>
      <c r="M681" s="224"/>
      <c r="N681" s="224"/>
      <c r="O681" s="224"/>
      <c r="P681" s="224"/>
      <c r="Q681" s="224"/>
      <c r="R681" s="224"/>
      <c r="S681" s="224"/>
      <c r="T681" s="224"/>
      <c r="U681" s="224"/>
      <c r="V681" s="224"/>
      <c r="W681" s="224"/>
      <c r="X681" s="224"/>
      <c r="Y681" s="224"/>
      <c r="Z681" s="224"/>
      <c r="AA681" s="224"/>
      <c r="AB681" s="224"/>
      <c r="AC681" s="224"/>
    </row>
    <row r="682" spans="1:29" s="24" customFormat="1" ht="12.75">
      <c r="A682" s="223"/>
      <c r="B682" s="223"/>
      <c r="C682" s="223"/>
      <c r="D682" s="223"/>
      <c r="E682" s="224"/>
      <c r="F682" s="224"/>
      <c r="G682" s="224"/>
      <c r="H682" s="224"/>
      <c r="I682" s="224"/>
      <c r="J682" s="224"/>
      <c r="K682" s="224"/>
      <c r="L682" s="224"/>
      <c r="M682" s="224"/>
      <c r="N682" s="224"/>
      <c r="O682" s="224"/>
      <c r="P682" s="224"/>
      <c r="Q682" s="224"/>
      <c r="R682" s="224"/>
      <c r="S682" s="224"/>
      <c r="T682" s="224"/>
      <c r="U682" s="224"/>
      <c r="V682" s="224"/>
      <c r="W682" s="224"/>
      <c r="X682" s="224"/>
      <c r="Y682" s="224"/>
      <c r="Z682" s="224"/>
      <c r="AA682" s="224"/>
      <c r="AB682" s="224"/>
      <c r="AC682" s="224"/>
    </row>
    <row r="683" spans="1:29" s="24" customFormat="1" ht="12.75">
      <c r="A683" s="223"/>
      <c r="B683" s="223"/>
      <c r="C683" s="223"/>
      <c r="D683" s="223"/>
      <c r="E683" s="224"/>
      <c r="F683" s="224"/>
      <c r="G683" s="224"/>
      <c r="H683" s="224"/>
      <c r="I683" s="224"/>
      <c r="J683" s="224"/>
      <c r="K683" s="224"/>
      <c r="L683" s="224"/>
      <c r="M683" s="224"/>
      <c r="N683" s="224"/>
      <c r="O683" s="224"/>
      <c r="P683" s="224"/>
      <c r="Q683" s="224"/>
      <c r="R683" s="224"/>
      <c r="S683" s="224"/>
      <c r="T683" s="224"/>
      <c r="U683" s="224"/>
      <c r="V683" s="224"/>
      <c r="W683" s="224"/>
      <c r="X683" s="224"/>
      <c r="Y683" s="224"/>
      <c r="Z683" s="224"/>
      <c r="AA683" s="224"/>
      <c r="AB683" s="224"/>
      <c r="AC683" s="224"/>
    </row>
    <row r="684" spans="1:29" s="24" customFormat="1" ht="12.75">
      <c r="A684" s="223"/>
      <c r="B684" s="223"/>
      <c r="C684" s="223"/>
      <c r="D684" s="223"/>
      <c r="E684" s="224"/>
      <c r="F684" s="224"/>
      <c r="G684" s="224"/>
      <c r="H684" s="224"/>
      <c r="I684" s="224"/>
      <c r="J684" s="224"/>
      <c r="K684" s="224"/>
      <c r="L684" s="224"/>
      <c r="M684" s="224"/>
      <c r="N684" s="224"/>
      <c r="O684" s="224"/>
      <c r="P684" s="224"/>
      <c r="Q684" s="224"/>
      <c r="R684" s="224"/>
      <c r="S684" s="224"/>
      <c r="T684" s="224"/>
      <c r="U684" s="224"/>
      <c r="V684" s="224"/>
      <c r="W684" s="224"/>
      <c r="X684" s="224"/>
      <c r="Y684" s="224"/>
      <c r="Z684" s="224"/>
      <c r="AA684" s="224"/>
      <c r="AB684" s="224"/>
      <c r="AC684" s="224"/>
    </row>
    <row r="685" spans="1:29" s="24" customFormat="1" ht="12.75">
      <c r="A685" s="223"/>
      <c r="B685" s="223"/>
      <c r="C685" s="223"/>
      <c r="D685" s="223"/>
      <c r="E685" s="224"/>
      <c r="F685" s="224"/>
      <c r="G685" s="224"/>
      <c r="H685" s="224"/>
      <c r="I685" s="224"/>
      <c r="J685" s="224"/>
      <c r="K685" s="224"/>
      <c r="L685" s="224"/>
      <c r="M685" s="224"/>
      <c r="N685" s="224"/>
      <c r="O685" s="224"/>
      <c r="P685" s="224"/>
      <c r="Q685" s="224"/>
      <c r="R685" s="224"/>
      <c r="S685" s="224"/>
      <c r="T685" s="224"/>
      <c r="U685" s="224"/>
      <c r="V685" s="224"/>
      <c r="W685" s="224"/>
      <c r="X685" s="224"/>
      <c r="Y685" s="224"/>
      <c r="Z685" s="224"/>
      <c r="AA685" s="224"/>
      <c r="AB685" s="224"/>
      <c r="AC685" s="224"/>
    </row>
    <row r="686" spans="1:29" s="24" customFormat="1" ht="12.75">
      <c r="A686" s="223"/>
      <c r="B686" s="223"/>
      <c r="C686" s="223"/>
      <c r="D686" s="223"/>
      <c r="E686" s="224"/>
      <c r="F686" s="224"/>
      <c r="G686" s="224"/>
      <c r="H686" s="224"/>
      <c r="I686" s="224"/>
      <c r="J686" s="224"/>
      <c r="K686" s="224"/>
      <c r="L686" s="224"/>
      <c r="M686" s="224"/>
      <c r="N686" s="224"/>
      <c r="O686" s="224"/>
      <c r="P686" s="224"/>
      <c r="Q686" s="224"/>
      <c r="R686" s="224"/>
      <c r="S686" s="224"/>
      <c r="T686" s="224"/>
      <c r="U686" s="224"/>
      <c r="V686" s="224"/>
      <c r="W686" s="224"/>
      <c r="X686" s="224"/>
      <c r="Y686" s="224"/>
      <c r="Z686" s="224"/>
      <c r="AA686" s="224"/>
      <c r="AB686" s="224"/>
      <c r="AC686" s="224"/>
    </row>
    <row r="687" spans="1:29" s="24" customFormat="1" ht="12.75">
      <c r="A687" s="223"/>
      <c r="B687" s="223"/>
      <c r="C687" s="223"/>
      <c r="D687" s="223"/>
      <c r="E687" s="224"/>
      <c r="F687" s="224"/>
      <c r="G687" s="224"/>
      <c r="H687" s="224"/>
      <c r="I687" s="224"/>
      <c r="J687" s="224"/>
      <c r="K687" s="224"/>
      <c r="L687" s="224"/>
      <c r="M687" s="224"/>
      <c r="N687" s="224"/>
      <c r="O687" s="224"/>
      <c r="P687" s="224"/>
      <c r="Q687" s="224"/>
      <c r="R687" s="224"/>
      <c r="S687" s="224"/>
      <c r="T687" s="224"/>
      <c r="U687" s="224"/>
      <c r="V687" s="224"/>
      <c r="W687" s="224"/>
      <c r="X687" s="224"/>
      <c r="Y687" s="224"/>
      <c r="Z687" s="224"/>
      <c r="AA687" s="224"/>
      <c r="AB687" s="224"/>
      <c r="AC687" s="224"/>
    </row>
    <row r="688" spans="1:29" s="24" customFormat="1" ht="12.75">
      <c r="A688" s="223"/>
      <c r="B688" s="223"/>
      <c r="C688" s="223"/>
      <c r="D688" s="223"/>
      <c r="E688" s="224"/>
      <c r="F688" s="224"/>
      <c r="G688" s="224"/>
      <c r="H688" s="224"/>
      <c r="I688" s="224"/>
      <c r="J688" s="224"/>
      <c r="K688" s="224"/>
      <c r="L688" s="224"/>
      <c r="M688" s="224"/>
      <c r="N688" s="224"/>
      <c r="O688" s="224"/>
      <c r="P688" s="224"/>
      <c r="Q688" s="224"/>
      <c r="R688" s="224"/>
      <c r="S688" s="224"/>
      <c r="T688" s="224"/>
      <c r="U688" s="224"/>
      <c r="V688" s="224"/>
      <c r="W688" s="224"/>
      <c r="X688" s="224"/>
      <c r="Y688" s="224"/>
      <c r="Z688" s="224"/>
      <c r="AA688" s="224"/>
      <c r="AB688" s="224"/>
      <c r="AC688" s="224"/>
    </row>
    <row r="689" spans="1:29" s="24" customFormat="1" ht="12.75">
      <c r="A689" s="223"/>
      <c r="B689" s="223"/>
      <c r="C689" s="223"/>
      <c r="D689" s="223"/>
      <c r="E689" s="224"/>
      <c r="F689" s="224"/>
      <c r="G689" s="224"/>
      <c r="H689" s="224"/>
      <c r="I689" s="224"/>
      <c r="J689" s="224"/>
      <c r="K689" s="224"/>
      <c r="L689" s="224"/>
      <c r="M689" s="224"/>
      <c r="N689" s="224"/>
      <c r="O689" s="224"/>
      <c r="P689" s="224"/>
      <c r="Q689" s="224"/>
      <c r="R689" s="224"/>
      <c r="S689" s="224"/>
      <c r="T689" s="224"/>
      <c r="U689" s="224"/>
      <c r="V689" s="224"/>
      <c r="W689" s="224"/>
      <c r="X689" s="224"/>
      <c r="Y689" s="224"/>
      <c r="Z689" s="224"/>
      <c r="AA689" s="224"/>
      <c r="AB689" s="224"/>
      <c r="AC689" s="224"/>
    </row>
    <row r="690" spans="1:29" s="24" customFormat="1" ht="12.75">
      <c r="A690" s="223"/>
      <c r="B690" s="223"/>
      <c r="C690" s="223"/>
      <c r="D690" s="223"/>
      <c r="E690" s="224"/>
      <c r="F690" s="224"/>
      <c r="G690" s="224"/>
      <c r="H690" s="224"/>
      <c r="I690" s="224"/>
      <c r="J690" s="224"/>
      <c r="K690" s="224"/>
      <c r="L690" s="224"/>
      <c r="M690" s="224"/>
      <c r="N690" s="224"/>
      <c r="O690" s="224"/>
      <c r="P690" s="224"/>
      <c r="Q690" s="224"/>
      <c r="R690" s="224"/>
      <c r="S690" s="224"/>
      <c r="T690" s="224"/>
      <c r="U690" s="224"/>
      <c r="V690" s="224"/>
      <c r="W690" s="224"/>
      <c r="X690" s="224"/>
      <c r="Y690" s="224"/>
      <c r="Z690" s="224"/>
      <c r="AA690" s="224"/>
      <c r="AB690" s="224"/>
      <c r="AC690" s="224"/>
    </row>
    <row r="691" spans="1:29" s="24" customFormat="1" ht="12.75">
      <c r="A691" s="223"/>
      <c r="B691" s="223"/>
      <c r="C691" s="223"/>
      <c r="D691" s="223"/>
      <c r="E691" s="224"/>
      <c r="F691" s="224"/>
      <c r="G691" s="224"/>
      <c r="H691" s="224"/>
      <c r="I691" s="224"/>
      <c r="J691" s="224"/>
      <c r="K691" s="224"/>
      <c r="L691" s="224"/>
      <c r="M691" s="224"/>
      <c r="N691" s="224"/>
      <c r="O691" s="224"/>
      <c r="P691" s="224"/>
      <c r="Q691" s="224"/>
      <c r="R691" s="224"/>
      <c r="S691" s="224"/>
      <c r="T691" s="224"/>
      <c r="U691" s="224"/>
      <c r="V691" s="224"/>
      <c r="W691" s="224"/>
      <c r="X691" s="224"/>
      <c r="Y691" s="224"/>
      <c r="Z691" s="224"/>
      <c r="AA691" s="224"/>
      <c r="AB691" s="224"/>
      <c r="AC691" s="224"/>
    </row>
    <row r="692" spans="1:29" s="24" customFormat="1" ht="12.75">
      <c r="A692" s="223"/>
      <c r="B692" s="223"/>
      <c r="C692" s="223"/>
      <c r="D692" s="223"/>
      <c r="E692" s="224"/>
      <c r="F692" s="224"/>
      <c r="G692" s="224"/>
      <c r="H692" s="224"/>
      <c r="I692" s="224"/>
      <c r="J692" s="224"/>
      <c r="K692" s="224"/>
      <c r="L692" s="224"/>
      <c r="M692" s="224"/>
      <c r="N692" s="224"/>
      <c r="O692" s="224"/>
      <c r="P692" s="224"/>
      <c r="Q692" s="224"/>
      <c r="R692" s="224"/>
      <c r="S692" s="224"/>
      <c r="T692" s="224"/>
      <c r="U692" s="224"/>
      <c r="V692" s="224"/>
      <c r="W692" s="224"/>
      <c r="X692" s="224"/>
      <c r="Y692" s="224"/>
      <c r="Z692" s="224"/>
      <c r="AA692" s="224"/>
      <c r="AB692" s="224"/>
      <c r="AC692" s="224"/>
    </row>
    <row r="693" spans="1:29" s="24" customFormat="1" ht="12.75">
      <c r="A693" s="223"/>
      <c r="B693" s="223"/>
      <c r="C693" s="223"/>
      <c r="D693" s="223"/>
      <c r="E693" s="224"/>
      <c r="F693" s="224"/>
      <c r="G693" s="224"/>
      <c r="H693" s="224"/>
      <c r="I693" s="224"/>
      <c r="J693" s="224"/>
      <c r="K693" s="224"/>
      <c r="L693" s="224"/>
      <c r="M693" s="224"/>
      <c r="N693" s="224"/>
      <c r="O693" s="224"/>
      <c r="P693" s="224"/>
      <c r="Q693" s="224"/>
      <c r="R693" s="224"/>
      <c r="S693" s="224"/>
      <c r="T693" s="224"/>
      <c r="U693" s="224"/>
      <c r="V693" s="224"/>
      <c r="W693" s="224"/>
      <c r="X693" s="224"/>
      <c r="Y693" s="224"/>
      <c r="Z693" s="224"/>
      <c r="AA693" s="224"/>
      <c r="AB693" s="224"/>
      <c r="AC693" s="224"/>
    </row>
    <row r="694" spans="1:29" s="24" customFormat="1" ht="12.75">
      <c r="A694" s="223"/>
      <c r="B694" s="223"/>
      <c r="C694" s="223"/>
      <c r="D694" s="223"/>
      <c r="E694" s="224"/>
      <c r="F694" s="224"/>
      <c r="G694" s="224"/>
      <c r="H694" s="224"/>
      <c r="I694" s="224"/>
      <c r="J694" s="224"/>
      <c r="K694" s="224"/>
      <c r="L694" s="224"/>
      <c r="M694" s="224"/>
      <c r="N694" s="224"/>
      <c r="O694" s="224"/>
      <c r="P694" s="224"/>
      <c r="Q694" s="224"/>
      <c r="R694" s="224"/>
      <c r="S694" s="224"/>
      <c r="T694" s="224"/>
      <c r="U694" s="224"/>
      <c r="V694" s="224"/>
      <c r="W694" s="224"/>
      <c r="X694" s="224"/>
      <c r="Y694" s="224"/>
      <c r="Z694" s="224"/>
      <c r="AA694" s="224"/>
      <c r="AB694" s="224"/>
      <c r="AC694" s="224"/>
    </row>
    <row r="695" spans="1:29" s="24" customFormat="1" ht="12.75">
      <c r="A695" s="223"/>
      <c r="B695" s="223"/>
      <c r="C695" s="223"/>
      <c r="D695" s="223"/>
      <c r="E695" s="224"/>
      <c r="F695" s="224"/>
      <c r="G695" s="224"/>
      <c r="H695" s="224"/>
      <c r="I695" s="224"/>
      <c r="J695" s="224"/>
      <c r="K695" s="224"/>
      <c r="L695" s="224"/>
      <c r="M695" s="224"/>
      <c r="N695" s="224"/>
      <c r="O695" s="224"/>
      <c r="P695" s="224"/>
      <c r="Q695" s="224"/>
      <c r="R695" s="224"/>
      <c r="S695" s="224"/>
      <c r="T695" s="224"/>
      <c r="U695" s="224"/>
      <c r="V695" s="224"/>
      <c r="W695" s="224"/>
      <c r="X695" s="224"/>
      <c r="Y695" s="224"/>
      <c r="Z695" s="224"/>
      <c r="AA695" s="224"/>
      <c r="AB695" s="224"/>
      <c r="AC695" s="224"/>
    </row>
    <row r="696" spans="1:29" s="24" customFormat="1" ht="12.75">
      <c r="A696" s="223"/>
      <c r="B696" s="223"/>
      <c r="C696" s="223"/>
      <c r="D696" s="223"/>
      <c r="E696" s="224"/>
      <c r="F696" s="224"/>
      <c r="G696" s="224"/>
      <c r="H696" s="224"/>
      <c r="I696" s="224"/>
      <c r="J696" s="224"/>
      <c r="K696" s="224"/>
      <c r="L696" s="224"/>
      <c r="M696" s="224"/>
      <c r="N696" s="224"/>
      <c r="O696" s="224"/>
      <c r="P696" s="224"/>
      <c r="Q696" s="224"/>
      <c r="R696" s="224"/>
      <c r="S696" s="224"/>
      <c r="T696" s="224"/>
      <c r="U696" s="224"/>
      <c r="V696" s="224"/>
      <c r="W696" s="224"/>
      <c r="X696" s="224"/>
      <c r="Y696" s="224"/>
      <c r="Z696" s="224"/>
      <c r="AA696" s="224"/>
      <c r="AB696" s="224"/>
      <c r="AC696" s="224"/>
    </row>
    <row r="697" spans="1:29" s="24" customFormat="1" ht="12.75">
      <c r="A697" s="223"/>
      <c r="B697" s="223"/>
      <c r="C697" s="223"/>
      <c r="D697" s="223"/>
      <c r="E697" s="224"/>
      <c r="F697" s="224"/>
      <c r="G697" s="224"/>
      <c r="H697" s="224"/>
      <c r="I697" s="224"/>
      <c r="J697" s="224"/>
      <c r="K697" s="224"/>
      <c r="L697" s="224"/>
      <c r="M697" s="224"/>
      <c r="N697" s="224"/>
      <c r="O697" s="224"/>
      <c r="P697" s="224"/>
      <c r="Q697" s="224"/>
      <c r="R697" s="224"/>
      <c r="S697" s="224"/>
      <c r="T697" s="224"/>
      <c r="U697" s="224"/>
      <c r="V697" s="224"/>
      <c r="W697" s="224"/>
      <c r="X697" s="224"/>
      <c r="Y697" s="224"/>
      <c r="Z697" s="224"/>
      <c r="AA697" s="224"/>
      <c r="AB697" s="224"/>
      <c r="AC697" s="224"/>
    </row>
    <row r="698" spans="1:29" s="24" customFormat="1" ht="12.75">
      <c r="A698" s="223"/>
      <c r="B698" s="223"/>
      <c r="C698" s="223"/>
      <c r="D698" s="223"/>
      <c r="E698" s="224"/>
      <c r="F698" s="224"/>
      <c r="G698" s="224"/>
      <c r="H698" s="224"/>
      <c r="I698" s="224"/>
      <c r="J698" s="224"/>
      <c r="K698" s="224"/>
      <c r="L698" s="224"/>
      <c r="M698" s="224"/>
      <c r="N698" s="224"/>
      <c r="O698" s="224"/>
      <c r="P698" s="224"/>
      <c r="Q698" s="224"/>
      <c r="R698" s="224"/>
      <c r="S698" s="224"/>
      <c r="T698" s="224"/>
      <c r="U698" s="224"/>
      <c r="V698" s="224"/>
      <c r="W698" s="224"/>
      <c r="X698" s="224"/>
      <c r="Y698" s="224"/>
      <c r="Z698" s="224"/>
      <c r="AA698" s="224"/>
      <c r="AB698" s="224"/>
      <c r="AC698" s="224"/>
    </row>
    <row r="699" spans="1:29" s="24" customFormat="1" ht="12.75">
      <c r="A699" s="223"/>
      <c r="B699" s="223"/>
      <c r="C699" s="223"/>
      <c r="D699" s="223"/>
      <c r="E699" s="224"/>
      <c r="F699" s="224"/>
      <c r="G699" s="224"/>
      <c r="H699" s="224"/>
      <c r="I699" s="224"/>
      <c r="J699" s="224"/>
      <c r="K699" s="224"/>
      <c r="L699" s="224"/>
      <c r="M699" s="224"/>
      <c r="N699" s="224"/>
      <c r="O699" s="224"/>
      <c r="P699" s="224"/>
      <c r="Q699" s="224"/>
      <c r="R699" s="224"/>
      <c r="S699" s="224"/>
      <c r="T699" s="224"/>
      <c r="U699" s="224"/>
      <c r="V699" s="224"/>
      <c r="W699" s="224"/>
      <c r="X699" s="224"/>
      <c r="Y699" s="224"/>
      <c r="Z699" s="224"/>
      <c r="AA699" s="224"/>
      <c r="AB699" s="224"/>
      <c r="AC699" s="224"/>
    </row>
    <row r="700" spans="1:29" s="24" customFormat="1" ht="12.75">
      <c r="A700" s="223"/>
      <c r="B700" s="223"/>
      <c r="C700" s="223"/>
      <c r="D700" s="223"/>
      <c r="E700" s="224"/>
      <c r="F700" s="224"/>
      <c r="G700" s="224"/>
      <c r="H700" s="224"/>
      <c r="I700" s="224"/>
      <c r="J700" s="224"/>
      <c r="K700" s="224"/>
      <c r="L700" s="224"/>
      <c r="M700" s="224"/>
      <c r="N700" s="224"/>
      <c r="O700" s="224"/>
      <c r="P700" s="224"/>
      <c r="Q700" s="224"/>
      <c r="R700" s="224"/>
      <c r="S700" s="224"/>
      <c r="T700" s="224"/>
      <c r="U700" s="224"/>
      <c r="V700" s="224"/>
      <c r="W700" s="224"/>
      <c r="X700" s="224"/>
      <c r="Y700" s="224"/>
      <c r="Z700" s="224"/>
      <c r="AA700" s="224"/>
      <c r="AB700" s="224"/>
      <c r="AC700" s="224"/>
    </row>
    <row r="701" spans="1:29" s="24" customFormat="1" ht="12.75">
      <c r="A701" s="223"/>
      <c r="B701" s="223"/>
      <c r="C701" s="223"/>
      <c r="D701" s="223"/>
      <c r="E701" s="224"/>
      <c r="F701" s="224"/>
      <c r="G701" s="224"/>
      <c r="H701" s="224"/>
      <c r="I701" s="224"/>
      <c r="J701" s="224"/>
      <c r="K701" s="224"/>
      <c r="L701" s="224"/>
      <c r="M701" s="224"/>
      <c r="N701" s="224"/>
      <c r="O701" s="224"/>
      <c r="P701" s="224"/>
      <c r="Q701" s="224"/>
      <c r="R701" s="224"/>
      <c r="S701" s="224"/>
      <c r="T701" s="224"/>
      <c r="U701" s="224"/>
      <c r="V701" s="224"/>
      <c r="W701" s="224"/>
      <c r="X701" s="224"/>
      <c r="Y701" s="224"/>
      <c r="Z701" s="224"/>
      <c r="AA701" s="224"/>
      <c r="AB701" s="224"/>
      <c r="AC701" s="224"/>
    </row>
    <row r="702" spans="1:29" s="24" customFormat="1" ht="12.75">
      <c r="A702" s="223"/>
      <c r="B702" s="223"/>
      <c r="C702" s="223"/>
      <c r="D702" s="223"/>
      <c r="E702" s="224"/>
      <c r="F702" s="224"/>
      <c r="G702" s="224"/>
      <c r="H702" s="224"/>
      <c r="I702" s="224"/>
      <c r="J702" s="224"/>
      <c r="K702" s="224"/>
      <c r="L702" s="224"/>
      <c r="M702" s="224"/>
      <c r="N702" s="224"/>
      <c r="O702" s="224"/>
      <c r="P702" s="224"/>
      <c r="Q702" s="224"/>
      <c r="R702" s="224"/>
      <c r="S702" s="224"/>
      <c r="T702" s="224"/>
      <c r="U702" s="224"/>
      <c r="V702" s="224"/>
      <c r="W702" s="224"/>
      <c r="X702" s="224"/>
      <c r="Y702" s="224"/>
      <c r="Z702" s="224"/>
      <c r="AA702" s="224"/>
      <c r="AB702" s="224"/>
      <c r="AC702" s="224"/>
    </row>
    <row r="703" spans="1:29" s="24" customFormat="1" ht="12.75">
      <c r="A703" s="223"/>
      <c r="B703" s="223"/>
      <c r="C703" s="223"/>
      <c r="D703" s="223"/>
      <c r="E703" s="224"/>
      <c r="F703" s="224"/>
      <c r="G703" s="224"/>
      <c r="H703" s="224"/>
      <c r="I703" s="224"/>
      <c r="J703" s="224"/>
      <c r="K703" s="224"/>
      <c r="L703" s="224"/>
      <c r="M703" s="224"/>
      <c r="N703" s="224"/>
      <c r="O703" s="224"/>
      <c r="P703" s="224"/>
      <c r="Q703" s="224"/>
      <c r="R703" s="224"/>
      <c r="S703" s="224"/>
      <c r="T703" s="224"/>
      <c r="U703" s="224"/>
      <c r="V703" s="224"/>
      <c r="W703" s="224"/>
      <c r="X703" s="224"/>
      <c r="Y703" s="224"/>
      <c r="Z703" s="224"/>
      <c r="AA703" s="224"/>
      <c r="AB703" s="224"/>
      <c r="AC703" s="224"/>
    </row>
    <row r="704" spans="1:29" s="24" customFormat="1" ht="12.75">
      <c r="A704" s="223"/>
      <c r="B704" s="223"/>
      <c r="C704" s="223"/>
      <c r="D704" s="223"/>
      <c r="E704" s="224"/>
      <c r="F704" s="224"/>
      <c r="G704" s="224"/>
      <c r="H704" s="224"/>
      <c r="I704" s="224"/>
      <c r="J704" s="224"/>
      <c r="K704" s="224"/>
      <c r="L704" s="224"/>
      <c r="M704" s="224"/>
      <c r="N704" s="224"/>
      <c r="O704" s="224"/>
      <c r="P704" s="224"/>
      <c r="Q704" s="224"/>
      <c r="R704" s="224"/>
      <c r="S704" s="224"/>
      <c r="T704" s="224"/>
      <c r="U704" s="224"/>
      <c r="V704" s="224"/>
      <c r="W704" s="224"/>
      <c r="X704" s="224"/>
      <c r="Y704" s="224"/>
      <c r="Z704" s="224"/>
      <c r="AA704" s="224"/>
      <c r="AB704" s="224"/>
      <c r="AC704" s="224"/>
    </row>
    <row r="705" spans="1:29" s="24" customFormat="1" ht="12.75">
      <c r="A705" s="223"/>
      <c r="B705" s="223"/>
      <c r="C705" s="223"/>
      <c r="D705" s="223"/>
      <c r="E705" s="224"/>
      <c r="F705" s="224"/>
      <c r="G705" s="224"/>
      <c r="H705" s="224"/>
      <c r="I705" s="224"/>
      <c r="J705" s="224"/>
      <c r="K705" s="224"/>
      <c r="L705" s="224"/>
      <c r="M705" s="224"/>
      <c r="N705" s="224"/>
      <c r="O705" s="224"/>
      <c r="P705" s="224"/>
      <c r="Q705" s="224"/>
      <c r="R705" s="224"/>
      <c r="S705" s="224"/>
      <c r="T705" s="224"/>
      <c r="U705" s="224"/>
      <c r="V705" s="224"/>
      <c r="W705" s="224"/>
      <c r="X705" s="224"/>
      <c r="Y705" s="224"/>
      <c r="Z705" s="224"/>
      <c r="AA705" s="224"/>
      <c r="AB705" s="224"/>
      <c r="AC705" s="224"/>
    </row>
    <row r="706" spans="1:29" s="24" customFormat="1" ht="12.75">
      <c r="A706" s="223"/>
      <c r="B706" s="223"/>
      <c r="C706" s="223"/>
      <c r="D706" s="223"/>
      <c r="E706" s="224"/>
      <c r="F706" s="224"/>
      <c r="G706" s="224"/>
      <c r="H706" s="224"/>
      <c r="I706" s="224"/>
      <c r="J706" s="224"/>
      <c r="K706" s="224"/>
      <c r="L706" s="224"/>
      <c r="M706" s="224"/>
      <c r="N706" s="224"/>
      <c r="O706" s="224"/>
      <c r="P706" s="224"/>
      <c r="Q706" s="224"/>
      <c r="R706" s="224"/>
      <c r="S706" s="224"/>
      <c r="T706" s="224"/>
      <c r="U706" s="224"/>
      <c r="V706" s="224"/>
      <c r="W706" s="224"/>
      <c r="X706" s="224"/>
      <c r="Y706" s="224"/>
      <c r="Z706" s="224"/>
      <c r="AA706" s="224"/>
      <c r="AB706" s="224"/>
      <c r="AC706" s="224"/>
    </row>
    <row r="707" spans="1:29" s="24" customFormat="1" ht="12.75">
      <c r="A707" s="223"/>
      <c r="B707" s="223"/>
      <c r="C707" s="223"/>
      <c r="D707" s="223"/>
      <c r="E707" s="224"/>
      <c r="F707" s="224"/>
      <c r="G707" s="224"/>
      <c r="H707" s="224"/>
      <c r="I707" s="224"/>
      <c r="J707" s="224"/>
      <c r="K707" s="224"/>
      <c r="L707" s="224"/>
      <c r="M707" s="224"/>
      <c r="N707" s="224"/>
      <c r="O707" s="224"/>
      <c r="P707" s="224"/>
      <c r="Q707" s="224"/>
      <c r="R707" s="224"/>
      <c r="S707" s="224"/>
      <c r="T707" s="224"/>
      <c r="U707" s="224"/>
      <c r="V707" s="224"/>
      <c r="W707" s="224"/>
      <c r="X707" s="224"/>
      <c r="Y707" s="224"/>
      <c r="Z707" s="224"/>
      <c r="AA707" s="224"/>
      <c r="AB707" s="224"/>
      <c r="AC707" s="224"/>
    </row>
    <row r="708" spans="1:29" s="24" customFormat="1" ht="12.75">
      <c r="A708" s="223"/>
      <c r="B708" s="223"/>
      <c r="C708" s="223"/>
      <c r="D708" s="223"/>
      <c r="E708" s="224"/>
      <c r="F708" s="224"/>
      <c r="G708" s="224"/>
      <c r="H708" s="224"/>
      <c r="I708" s="224"/>
      <c r="J708" s="224"/>
      <c r="K708" s="224"/>
      <c r="L708" s="224"/>
      <c r="M708" s="224"/>
      <c r="N708" s="224"/>
      <c r="O708" s="224"/>
      <c r="P708" s="224"/>
      <c r="Q708" s="224"/>
      <c r="R708" s="224"/>
      <c r="S708" s="224"/>
      <c r="T708" s="224"/>
      <c r="U708" s="224"/>
      <c r="V708" s="224"/>
      <c r="W708" s="224"/>
      <c r="X708" s="224"/>
      <c r="Y708" s="224"/>
      <c r="Z708" s="224"/>
      <c r="AA708" s="224"/>
      <c r="AB708" s="224"/>
      <c r="AC708" s="224"/>
    </row>
    <row r="709" spans="1:29" s="24" customFormat="1" ht="12.75">
      <c r="A709" s="223"/>
      <c r="B709" s="223"/>
      <c r="C709" s="223"/>
      <c r="D709" s="223"/>
      <c r="E709" s="224"/>
      <c r="F709" s="224"/>
      <c r="G709" s="224"/>
      <c r="H709" s="224"/>
      <c r="I709" s="224"/>
      <c r="J709" s="224"/>
      <c r="K709" s="224"/>
      <c r="L709" s="224"/>
      <c r="M709" s="224"/>
      <c r="N709" s="224"/>
      <c r="O709" s="224"/>
      <c r="P709" s="224"/>
      <c r="Q709" s="224"/>
      <c r="R709" s="224"/>
      <c r="S709" s="224"/>
      <c r="T709" s="224"/>
      <c r="U709" s="224"/>
      <c r="V709" s="224"/>
      <c r="W709" s="224"/>
      <c r="X709" s="224"/>
      <c r="Y709" s="224"/>
      <c r="Z709" s="224"/>
      <c r="AA709" s="224"/>
      <c r="AB709" s="224"/>
      <c r="AC709" s="224"/>
    </row>
    <row r="710" spans="1:29" s="24" customFormat="1" ht="12.75">
      <c r="A710" s="223"/>
      <c r="B710" s="223"/>
      <c r="C710" s="223"/>
      <c r="D710" s="223"/>
      <c r="E710" s="224"/>
      <c r="F710" s="224"/>
      <c r="G710" s="224"/>
      <c r="H710" s="224"/>
      <c r="I710" s="224"/>
      <c r="J710" s="224"/>
      <c r="K710" s="224"/>
      <c r="L710" s="224"/>
      <c r="M710" s="224"/>
      <c r="N710" s="224"/>
      <c r="O710" s="224"/>
      <c r="P710" s="224"/>
      <c r="Q710" s="224"/>
      <c r="R710" s="224"/>
      <c r="S710" s="224"/>
      <c r="T710" s="224"/>
      <c r="U710" s="224"/>
      <c r="V710" s="224"/>
      <c r="W710" s="224"/>
      <c r="X710" s="224"/>
      <c r="Y710" s="224"/>
      <c r="Z710" s="224"/>
      <c r="AA710" s="224"/>
      <c r="AB710" s="224"/>
      <c r="AC710" s="224"/>
    </row>
    <row r="711" spans="1:29" s="24" customFormat="1" ht="12.75">
      <c r="A711" s="223"/>
      <c r="B711" s="223"/>
      <c r="C711" s="223"/>
      <c r="D711" s="223"/>
      <c r="E711" s="224"/>
      <c r="F711" s="224"/>
      <c r="G711" s="224"/>
      <c r="H711" s="224"/>
      <c r="I711" s="224"/>
      <c r="J711" s="224"/>
      <c r="K711" s="224"/>
      <c r="L711" s="224"/>
      <c r="M711" s="224"/>
      <c r="N711" s="224"/>
      <c r="O711" s="224"/>
      <c r="P711" s="224"/>
      <c r="Q711" s="224"/>
      <c r="R711" s="224"/>
      <c r="S711" s="224"/>
      <c r="T711" s="224"/>
      <c r="U711" s="224"/>
      <c r="V711" s="224"/>
      <c r="W711" s="224"/>
      <c r="X711" s="224"/>
      <c r="Y711" s="224"/>
      <c r="Z711" s="224"/>
      <c r="AA711" s="224"/>
      <c r="AB711" s="224"/>
      <c r="AC711" s="224"/>
    </row>
    <row r="712" spans="1:29" s="24" customFormat="1" ht="12.75">
      <c r="A712" s="223"/>
      <c r="B712" s="223"/>
      <c r="C712" s="223"/>
      <c r="D712" s="223"/>
      <c r="E712" s="224"/>
      <c r="F712" s="224"/>
      <c r="G712" s="224"/>
      <c r="H712" s="224"/>
      <c r="I712" s="224"/>
      <c r="J712" s="224"/>
      <c r="K712" s="224"/>
      <c r="L712" s="224"/>
      <c r="M712" s="224"/>
      <c r="N712" s="224"/>
      <c r="O712" s="224"/>
      <c r="P712" s="224"/>
      <c r="Q712" s="224"/>
      <c r="R712" s="224"/>
      <c r="S712" s="224"/>
      <c r="T712" s="224"/>
      <c r="U712" s="224"/>
      <c r="V712" s="224"/>
      <c r="W712" s="224"/>
      <c r="X712" s="224"/>
      <c r="Y712" s="224"/>
      <c r="Z712" s="224"/>
      <c r="AA712" s="224"/>
      <c r="AB712" s="224"/>
      <c r="AC712" s="224"/>
    </row>
    <row r="713" spans="1:29" s="24" customFormat="1" ht="12.75">
      <c r="A713" s="223"/>
      <c r="B713" s="223"/>
      <c r="C713" s="223"/>
      <c r="D713" s="223"/>
      <c r="E713" s="224"/>
      <c r="F713" s="224"/>
      <c r="G713" s="224"/>
      <c r="H713" s="224"/>
      <c r="I713" s="224"/>
      <c r="J713" s="224"/>
      <c r="K713" s="224"/>
      <c r="L713" s="224"/>
      <c r="M713" s="224"/>
      <c r="N713" s="224"/>
      <c r="O713" s="224"/>
      <c r="P713" s="224"/>
      <c r="Q713" s="224"/>
      <c r="R713" s="224"/>
      <c r="S713" s="224"/>
      <c r="T713" s="224"/>
      <c r="U713" s="224"/>
      <c r="V713" s="224"/>
      <c r="W713" s="224"/>
      <c r="X713" s="224"/>
      <c r="Y713" s="224"/>
      <c r="Z713" s="224"/>
      <c r="AA713" s="224"/>
      <c r="AB713" s="224"/>
      <c r="AC713" s="224"/>
    </row>
    <row r="714" spans="1:29" s="24" customFormat="1" ht="12.75">
      <c r="A714" s="223"/>
      <c r="B714" s="223"/>
      <c r="C714" s="223"/>
      <c r="D714" s="223"/>
      <c r="E714" s="224"/>
      <c r="F714" s="224"/>
      <c r="G714" s="224"/>
      <c r="H714" s="224"/>
      <c r="I714" s="224"/>
      <c r="J714" s="224"/>
      <c r="K714" s="224"/>
      <c r="L714" s="224"/>
      <c r="M714" s="224"/>
      <c r="N714" s="224"/>
      <c r="O714" s="224"/>
      <c r="P714" s="224"/>
      <c r="Q714" s="224"/>
      <c r="R714" s="224"/>
      <c r="S714" s="224"/>
      <c r="T714" s="224"/>
      <c r="U714" s="224"/>
      <c r="V714" s="224"/>
      <c r="W714" s="224"/>
      <c r="X714" s="224"/>
      <c r="Y714" s="224"/>
      <c r="Z714" s="224"/>
      <c r="AA714" s="224"/>
      <c r="AB714" s="224"/>
      <c r="AC714" s="224"/>
    </row>
    <row r="715" spans="1:29" s="24" customFormat="1" ht="12.75">
      <c r="A715" s="223"/>
      <c r="B715" s="223"/>
      <c r="C715" s="223"/>
      <c r="D715" s="223"/>
      <c r="E715" s="224"/>
      <c r="F715" s="224"/>
      <c r="G715" s="224"/>
      <c r="H715" s="224"/>
      <c r="I715" s="224"/>
      <c r="J715" s="224"/>
      <c r="K715" s="224"/>
      <c r="L715" s="224"/>
      <c r="M715" s="224"/>
      <c r="N715" s="224"/>
      <c r="O715" s="224"/>
      <c r="P715" s="224"/>
      <c r="Q715" s="224"/>
      <c r="R715" s="224"/>
      <c r="S715" s="224"/>
      <c r="T715" s="224"/>
      <c r="U715" s="224"/>
      <c r="V715" s="224"/>
      <c r="W715" s="224"/>
      <c r="X715" s="224"/>
      <c r="Y715" s="224"/>
      <c r="Z715" s="224"/>
      <c r="AA715" s="224"/>
      <c r="AB715" s="224"/>
      <c r="AC715" s="224"/>
    </row>
    <row r="716" spans="1:29" s="24" customFormat="1" ht="12.75">
      <c r="A716" s="223"/>
      <c r="B716" s="223"/>
      <c r="C716" s="223"/>
      <c r="D716" s="223"/>
      <c r="E716" s="224"/>
      <c r="F716" s="224"/>
      <c r="G716" s="224"/>
      <c r="H716" s="224"/>
      <c r="I716" s="224"/>
      <c r="J716" s="224"/>
      <c r="K716" s="224"/>
      <c r="L716" s="224"/>
      <c r="M716" s="224"/>
      <c r="N716" s="224"/>
      <c r="O716" s="224"/>
      <c r="P716" s="224"/>
      <c r="Q716" s="224"/>
      <c r="R716" s="224"/>
      <c r="S716" s="224"/>
      <c r="T716" s="224"/>
      <c r="U716" s="224"/>
      <c r="V716" s="224"/>
      <c r="W716" s="224"/>
      <c r="X716" s="224"/>
      <c r="Y716" s="224"/>
      <c r="Z716" s="224"/>
      <c r="AA716" s="224"/>
      <c r="AB716" s="224"/>
      <c r="AC716" s="224"/>
    </row>
    <row r="717" spans="1:29" s="24" customFormat="1" ht="12.75">
      <c r="A717" s="223"/>
      <c r="B717" s="223"/>
      <c r="C717" s="223"/>
      <c r="D717" s="223"/>
      <c r="E717" s="224"/>
      <c r="F717" s="224"/>
      <c r="G717" s="224"/>
      <c r="H717" s="224"/>
      <c r="I717" s="224"/>
      <c r="J717" s="224"/>
      <c r="K717" s="224"/>
      <c r="L717" s="224"/>
      <c r="M717" s="224"/>
      <c r="N717" s="224"/>
      <c r="O717" s="224"/>
      <c r="P717" s="224"/>
      <c r="Q717" s="224"/>
      <c r="R717" s="224"/>
      <c r="S717" s="224"/>
      <c r="T717" s="224"/>
      <c r="U717" s="224"/>
      <c r="V717" s="224"/>
      <c r="W717" s="224"/>
      <c r="X717" s="224"/>
      <c r="Y717" s="224"/>
      <c r="Z717" s="224"/>
      <c r="AA717" s="224"/>
      <c r="AB717" s="224"/>
      <c r="AC717" s="224"/>
    </row>
    <row r="718" spans="1:29" s="24" customFormat="1" ht="12.75">
      <c r="A718" s="223"/>
      <c r="B718" s="223"/>
      <c r="C718" s="223"/>
      <c r="D718" s="223"/>
      <c r="E718" s="224"/>
      <c r="F718" s="224"/>
      <c r="G718" s="224"/>
      <c r="H718" s="224"/>
      <c r="I718" s="224"/>
      <c r="J718" s="224"/>
      <c r="K718" s="224"/>
      <c r="L718" s="224"/>
      <c r="M718" s="224"/>
      <c r="N718" s="224"/>
      <c r="O718" s="224"/>
      <c r="P718" s="224"/>
      <c r="Q718" s="224"/>
      <c r="R718" s="224"/>
      <c r="S718" s="224"/>
      <c r="T718" s="224"/>
      <c r="U718" s="224"/>
      <c r="V718" s="224"/>
      <c r="W718" s="224"/>
      <c r="X718" s="224"/>
      <c r="Y718" s="224"/>
      <c r="Z718" s="224"/>
      <c r="AA718" s="224"/>
      <c r="AB718" s="224"/>
      <c r="AC718" s="224"/>
    </row>
    <row r="719" spans="1:29" s="24" customFormat="1" ht="12.75">
      <c r="A719" s="223"/>
      <c r="B719" s="223"/>
      <c r="C719" s="223"/>
      <c r="D719" s="223"/>
      <c r="E719" s="224"/>
      <c r="F719" s="224"/>
      <c r="G719" s="224"/>
      <c r="H719" s="224"/>
      <c r="I719" s="224"/>
      <c r="J719" s="224"/>
      <c r="K719" s="224"/>
      <c r="L719" s="224"/>
      <c r="M719" s="224"/>
      <c r="N719" s="224"/>
      <c r="O719" s="224"/>
      <c r="P719" s="224"/>
      <c r="Q719" s="224"/>
      <c r="R719" s="224"/>
      <c r="S719" s="224"/>
      <c r="T719" s="224"/>
      <c r="U719" s="224"/>
      <c r="V719" s="224"/>
      <c r="W719" s="224"/>
      <c r="X719" s="224"/>
      <c r="Y719" s="224"/>
      <c r="Z719" s="224"/>
      <c r="AA719" s="224"/>
      <c r="AB719" s="224"/>
      <c r="AC719" s="224"/>
    </row>
    <row r="720" spans="1:29" s="24" customFormat="1" ht="12.75">
      <c r="A720" s="223"/>
      <c r="B720" s="223"/>
      <c r="C720" s="223"/>
      <c r="D720" s="223"/>
      <c r="E720" s="224"/>
      <c r="F720" s="224"/>
      <c r="G720" s="224"/>
      <c r="H720" s="224"/>
      <c r="I720" s="224"/>
      <c r="J720" s="224"/>
      <c r="K720" s="224"/>
      <c r="L720" s="224"/>
      <c r="M720" s="224"/>
      <c r="N720" s="224"/>
      <c r="O720" s="224"/>
      <c r="P720" s="224"/>
      <c r="Q720" s="224"/>
      <c r="R720" s="224"/>
      <c r="S720" s="224"/>
      <c r="T720" s="224"/>
      <c r="U720" s="224"/>
      <c r="V720" s="224"/>
      <c r="W720" s="224"/>
      <c r="X720" s="224"/>
      <c r="Y720" s="224"/>
      <c r="Z720" s="224"/>
      <c r="AA720" s="224"/>
      <c r="AB720" s="224"/>
      <c r="AC720" s="224"/>
    </row>
    <row r="721" spans="1:29" s="24" customFormat="1" ht="12.75">
      <c r="A721" s="223"/>
      <c r="B721" s="223"/>
      <c r="C721" s="223"/>
      <c r="D721" s="223"/>
      <c r="E721" s="224"/>
      <c r="F721" s="224"/>
      <c r="G721" s="224"/>
      <c r="H721" s="224"/>
      <c r="I721" s="224"/>
      <c r="J721" s="224"/>
      <c r="K721" s="224"/>
      <c r="L721" s="224"/>
      <c r="M721" s="224"/>
      <c r="N721" s="224"/>
      <c r="O721" s="224"/>
      <c r="P721" s="224"/>
      <c r="Q721" s="224"/>
      <c r="R721" s="224"/>
      <c r="S721" s="224"/>
      <c r="T721" s="224"/>
      <c r="U721" s="224"/>
      <c r="V721" s="224"/>
      <c r="W721" s="224"/>
      <c r="X721" s="224"/>
      <c r="Y721" s="224"/>
      <c r="Z721" s="224"/>
      <c r="AA721" s="224"/>
      <c r="AB721" s="224"/>
      <c r="AC721" s="224"/>
    </row>
    <row r="722" spans="1:29" s="24" customFormat="1" ht="12.75">
      <c r="A722" s="223"/>
      <c r="B722" s="223"/>
      <c r="C722" s="223"/>
      <c r="D722" s="223"/>
      <c r="E722" s="224"/>
      <c r="F722" s="224"/>
      <c r="G722" s="224"/>
      <c r="H722" s="224"/>
      <c r="I722" s="224"/>
      <c r="J722" s="224"/>
      <c r="K722" s="224"/>
      <c r="L722" s="224"/>
      <c r="M722" s="224"/>
      <c r="N722" s="224"/>
      <c r="O722" s="224"/>
      <c r="P722" s="224"/>
      <c r="Q722" s="224"/>
      <c r="R722" s="224"/>
      <c r="S722" s="224"/>
      <c r="T722" s="224"/>
      <c r="U722" s="224"/>
      <c r="V722" s="224"/>
      <c r="W722" s="224"/>
      <c r="X722" s="224"/>
      <c r="Y722" s="224"/>
      <c r="Z722" s="224"/>
      <c r="AA722" s="224"/>
      <c r="AB722" s="224"/>
      <c r="AC722" s="224"/>
    </row>
    <row r="723" spans="1:29" s="24" customFormat="1" ht="12.75">
      <c r="A723" s="223"/>
      <c r="B723" s="223"/>
      <c r="C723" s="223"/>
      <c r="D723" s="223"/>
      <c r="E723" s="224"/>
      <c r="F723" s="224"/>
      <c r="G723" s="224"/>
      <c r="H723" s="224"/>
      <c r="I723" s="224"/>
      <c r="J723" s="224"/>
      <c r="K723" s="224"/>
      <c r="L723" s="224"/>
      <c r="M723" s="224"/>
      <c r="N723" s="224"/>
      <c r="O723" s="224"/>
      <c r="P723" s="224"/>
      <c r="Q723" s="224"/>
      <c r="R723" s="224"/>
      <c r="S723" s="224"/>
      <c r="T723" s="224"/>
      <c r="U723" s="224"/>
      <c r="V723" s="224"/>
      <c r="W723" s="224"/>
      <c r="X723" s="224"/>
      <c r="Y723" s="224"/>
      <c r="Z723" s="224"/>
      <c r="AA723" s="224"/>
      <c r="AB723" s="224"/>
      <c r="AC723" s="224"/>
    </row>
    <row r="724" spans="1:29" s="24" customFormat="1" ht="12.75">
      <c r="A724" s="223"/>
      <c r="B724" s="223"/>
      <c r="C724" s="223"/>
      <c r="D724" s="223"/>
      <c r="E724" s="224"/>
      <c r="F724" s="224"/>
      <c r="G724" s="224"/>
      <c r="H724" s="224"/>
      <c r="I724" s="224"/>
      <c r="J724" s="224"/>
      <c r="K724" s="224"/>
      <c r="L724" s="224"/>
      <c r="M724" s="224"/>
      <c r="N724" s="224"/>
      <c r="O724" s="224"/>
      <c r="P724" s="224"/>
      <c r="Q724" s="224"/>
      <c r="R724" s="224"/>
      <c r="S724" s="224"/>
      <c r="T724" s="224"/>
      <c r="U724" s="224"/>
      <c r="V724" s="224"/>
      <c r="W724" s="224"/>
      <c r="X724" s="224"/>
      <c r="Y724" s="224"/>
      <c r="Z724" s="224"/>
      <c r="AA724" s="224"/>
      <c r="AB724" s="224"/>
      <c r="AC724" s="224"/>
    </row>
    <row r="725" spans="1:29" s="24" customFormat="1" ht="12.75">
      <c r="A725" s="223"/>
      <c r="B725" s="223"/>
      <c r="C725" s="223"/>
      <c r="D725" s="223"/>
      <c r="E725" s="224"/>
      <c r="F725" s="224"/>
      <c r="G725" s="224"/>
      <c r="H725" s="224"/>
      <c r="I725" s="224"/>
      <c r="J725" s="224"/>
      <c r="K725" s="224"/>
      <c r="L725" s="224"/>
      <c r="M725" s="224"/>
      <c r="N725" s="224"/>
      <c r="O725" s="224"/>
      <c r="P725" s="224"/>
      <c r="Q725" s="224"/>
      <c r="R725" s="224"/>
      <c r="S725" s="224"/>
      <c r="T725" s="224"/>
      <c r="U725" s="224"/>
      <c r="V725" s="224"/>
      <c r="W725" s="224"/>
      <c r="X725" s="224"/>
      <c r="Y725" s="224"/>
      <c r="Z725" s="224"/>
      <c r="AA725" s="224"/>
      <c r="AB725" s="224"/>
      <c r="AC725" s="224"/>
    </row>
    <row r="726" spans="1:29" s="24" customFormat="1" ht="12.75">
      <c r="A726" s="223"/>
      <c r="B726" s="223"/>
      <c r="C726" s="223"/>
      <c r="D726" s="223"/>
      <c r="E726" s="224"/>
      <c r="F726" s="224"/>
      <c r="G726" s="224"/>
      <c r="H726" s="224"/>
      <c r="I726" s="224"/>
      <c r="J726" s="224"/>
      <c r="K726" s="224"/>
      <c r="L726" s="224"/>
      <c r="M726" s="224"/>
      <c r="N726" s="224"/>
      <c r="O726" s="224"/>
      <c r="P726" s="224"/>
      <c r="Q726" s="224"/>
      <c r="R726" s="224"/>
      <c r="S726" s="224"/>
      <c r="T726" s="224"/>
      <c r="U726" s="224"/>
      <c r="V726" s="224"/>
      <c r="W726" s="224"/>
      <c r="X726" s="224"/>
      <c r="Y726" s="224"/>
      <c r="Z726" s="224"/>
      <c r="AA726" s="224"/>
      <c r="AB726" s="224"/>
      <c r="AC726" s="224"/>
    </row>
    <row r="727" spans="1:29" s="24" customFormat="1" ht="12.75">
      <c r="A727" s="223"/>
      <c r="B727" s="223"/>
      <c r="C727" s="223"/>
      <c r="D727" s="223"/>
      <c r="E727" s="224"/>
      <c r="F727" s="224"/>
      <c r="G727" s="224"/>
      <c r="H727" s="224"/>
      <c r="I727" s="224"/>
      <c r="J727" s="224"/>
      <c r="K727" s="224"/>
      <c r="L727" s="224"/>
      <c r="M727" s="224"/>
      <c r="N727" s="224"/>
      <c r="O727" s="224"/>
      <c r="P727" s="224"/>
      <c r="Q727" s="224"/>
      <c r="R727" s="224"/>
      <c r="S727" s="224"/>
      <c r="T727" s="224"/>
      <c r="U727" s="224"/>
      <c r="V727" s="224"/>
      <c r="W727" s="224"/>
      <c r="X727" s="224"/>
      <c r="Y727" s="224"/>
      <c r="Z727" s="224"/>
      <c r="AA727" s="224"/>
      <c r="AB727" s="224"/>
      <c r="AC727" s="224"/>
    </row>
    <row r="728" spans="1:29" s="24" customFormat="1" ht="12.75">
      <c r="A728" s="223"/>
      <c r="B728" s="223"/>
      <c r="C728" s="223"/>
      <c r="D728" s="223"/>
      <c r="E728" s="224"/>
      <c r="F728" s="224"/>
      <c r="G728" s="224"/>
      <c r="H728" s="224"/>
      <c r="I728" s="224"/>
      <c r="J728" s="224"/>
      <c r="K728" s="224"/>
      <c r="L728" s="224"/>
      <c r="M728" s="224"/>
      <c r="N728" s="224"/>
      <c r="O728" s="224"/>
      <c r="P728" s="224"/>
      <c r="Q728" s="224"/>
      <c r="R728" s="224"/>
      <c r="S728" s="224"/>
      <c r="T728" s="224"/>
      <c r="U728" s="224"/>
      <c r="V728" s="224"/>
      <c r="W728" s="224"/>
      <c r="X728" s="224"/>
      <c r="Y728" s="224"/>
      <c r="Z728" s="224"/>
      <c r="AA728" s="224"/>
      <c r="AB728" s="224"/>
      <c r="AC728" s="224"/>
    </row>
    <row r="729" spans="1:29" s="24" customFormat="1" ht="12.75">
      <c r="A729" s="223"/>
      <c r="B729" s="223"/>
      <c r="C729" s="223"/>
      <c r="D729" s="223"/>
      <c r="E729" s="224"/>
      <c r="F729" s="224"/>
      <c r="G729" s="224"/>
      <c r="H729" s="224"/>
      <c r="I729" s="224"/>
      <c r="J729" s="224"/>
      <c r="K729" s="224"/>
      <c r="L729" s="224"/>
      <c r="M729" s="224"/>
      <c r="N729" s="224"/>
      <c r="O729" s="224"/>
      <c r="P729" s="224"/>
      <c r="Q729" s="224"/>
      <c r="R729" s="224"/>
      <c r="S729" s="224"/>
      <c r="T729" s="224"/>
      <c r="U729" s="224"/>
      <c r="V729" s="224"/>
      <c r="W729" s="224"/>
      <c r="X729" s="224"/>
      <c r="Y729" s="224"/>
      <c r="Z729" s="224"/>
      <c r="AA729" s="224"/>
      <c r="AB729" s="224"/>
      <c r="AC729" s="224"/>
    </row>
    <row r="730" spans="1:29" s="24" customFormat="1" ht="12.75">
      <c r="A730" s="223"/>
      <c r="B730" s="223"/>
      <c r="C730" s="223"/>
      <c r="D730" s="223"/>
      <c r="E730" s="224"/>
      <c r="F730" s="224"/>
      <c r="G730" s="224"/>
      <c r="H730" s="224"/>
      <c r="I730" s="224"/>
      <c r="J730" s="224"/>
      <c r="K730" s="224"/>
      <c r="L730" s="224"/>
      <c r="M730" s="224"/>
      <c r="N730" s="224"/>
      <c r="O730" s="224"/>
      <c r="P730" s="224"/>
      <c r="Q730" s="224"/>
      <c r="R730" s="224"/>
      <c r="S730" s="224"/>
      <c r="T730" s="224"/>
      <c r="U730" s="224"/>
      <c r="V730" s="224"/>
      <c r="W730" s="224"/>
      <c r="X730" s="224"/>
      <c r="Y730" s="224"/>
      <c r="Z730" s="224"/>
      <c r="AA730" s="224"/>
      <c r="AB730" s="224"/>
      <c r="AC730" s="224"/>
    </row>
  </sheetData>
  <sheetProtection/>
  <printOptions horizontalCentered="1"/>
  <pageMargins left="0.35433070866141736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3"/>
  <headerFooter alignWithMargins="0">
    <oddFooter>&amp;C&amp;8Wydatki - str.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2"/>
  <sheetViews>
    <sheetView zoomScalePageLayoutView="0" workbookViewId="0" topLeftCell="A1">
      <selection activeCell="AA9" sqref="AA9"/>
    </sheetView>
  </sheetViews>
  <sheetFormatPr defaultColWidth="9.00390625" defaultRowHeight="12.75"/>
  <cols>
    <col min="1" max="1" width="5.625" style="7" customWidth="1"/>
    <col min="2" max="2" width="7.25390625" style="7" bestFit="1" customWidth="1"/>
    <col min="3" max="3" width="5.75390625" style="7" customWidth="1"/>
    <col min="4" max="4" width="32.625" style="7" customWidth="1"/>
    <col min="5" max="5" width="13.75390625" style="7" hidden="1" customWidth="1"/>
    <col min="6" max="6" width="14.875" style="7" hidden="1" customWidth="1"/>
    <col min="7" max="7" width="13.75390625" style="7" hidden="1" customWidth="1"/>
    <col min="8" max="8" width="13.00390625" style="7" hidden="1" customWidth="1"/>
    <col min="9" max="9" width="13.75390625" style="7" hidden="1" customWidth="1"/>
    <col min="10" max="10" width="13.00390625" style="7" hidden="1" customWidth="1"/>
    <col min="11" max="11" width="13.75390625" style="7" hidden="1" customWidth="1"/>
    <col min="12" max="12" width="13.00390625" style="7" hidden="1" customWidth="1"/>
    <col min="13" max="13" width="13.75390625" style="7" hidden="1" customWidth="1"/>
    <col min="14" max="14" width="13.00390625" style="7" hidden="1" customWidth="1"/>
    <col min="15" max="15" width="13.75390625" style="7" hidden="1" customWidth="1"/>
    <col min="16" max="16" width="13.00390625" style="7" hidden="1" customWidth="1"/>
    <col min="17" max="17" width="41.375" style="7" hidden="1" customWidth="1"/>
    <col min="18" max="18" width="10.25390625" style="7" hidden="1" customWidth="1"/>
    <col min="19" max="19" width="45.75390625" style="7" hidden="1" customWidth="1"/>
    <col min="20" max="20" width="9.75390625" style="7" hidden="1" customWidth="1"/>
    <col min="21" max="21" width="13.75390625" style="7" customWidth="1"/>
    <col min="22" max="22" width="13.00390625" style="7" customWidth="1"/>
    <col min="23" max="23" width="13.75390625" style="7" customWidth="1"/>
  </cols>
  <sheetData>
    <row r="1" spans="1:23" ht="12.75">
      <c r="A1" s="45"/>
      <c r="B1" s="45"/>
      <c r="C1" s="45"/>
      <c r="D1" s="45"/>
      <c r="E1" s="46" t="s">
        <v>360</v>
      </c>
      <c r="F1" s="46"/>
      <c r="G1" s="46" t="s">
        <v>361</v>
      </c>
      <c r="H1" s="46"/>
      <c r="I1" s="46" t="s">
        <v>362</v>
      </c>
      <c r="J1" s="46"/>
      <c r="K1" s="46" t="s">
        <v>363</v>
      </c>
      <c r="L1" s="46"/>
      <c r="M1" s="46" t="s">
        <v>364</v>
      </c>
      <c r="N1" s="46"/>
      <c r="O1" s="46" t="s">
        <v>365</v>
      </c>
      <c r="P1" s="46"/>
      <c r="Q1" s="46" t="s">
        <v>366</v>
      </c>
      <c r="R1" s="46"/>
      <c r="S1" s="46" t="s">
        <v>487</v>
      </c>
      <c r="T1" s="46"/>
      <c r="U1" s="46" t="s">
        <v>500</v>
      </c>
      <c r="V1" s="46"/>
      <c r="W1" s="46"/>
    </row>
    <row r="2" spans="1:23" ht="12.75">
      <c r="A2" s="45"/>
      <c r="B2" s="45"/>
      <c r="C2" s="45"/>
      <c r="D2" s="45"/>
      <c r="E2" s="46" t="s">
        <v>273</v>
      </c>
      <c r="F2" s="46"/>
      <c r="G2" s="46" t="s">
        <v>314</v>
      </c>
      <c r="H2" s="46"/>
      <c r="I2" s="46" t="s">
        <v>318</v>
      </c>
      <c r="J2" s="46"/>
      <c r="K2" s="46" t="s">
        <v>322</v>
      </c>
      <c r="L2" s="46"/>
      <c r="M2" s="46" t="s">
        <v>324</v>
      </c>
      <c r="N2" s="46"/>
      <c r="O2" s="46" t="s">
        <v>338</v>
      </c>
      <c r="P2" s="46"/>
      <c r="Q2" s="46" t="s">
        <v>367</v>
      </c>
      <c r="R2" s="46"/>
      <c r="S2" s="46" t="s">
        <v>486</v>
      </c>
      <c r="T2" s="46"/>
      <c r="U2" s="46" t="s">
        <v>497</v>
      </c>
      <c r="V2" s="46"/>
      <c r="W2" s="46"/>
    </row>
    <row r="3" spans="1:23" ht="12.75">
      <c r="A3" s="45"/>
      <c r="B3" s="45"/>
      <c r="C3" s="45"/>
      <c r="D3" s="45"/>
      <c r="E3" s="46" t="s">
        <v>368</v>
      </c>
      <c r="F3" s="46"/>
      <c r="G3" s="46" t="s">
        <v>360</v>
      </c>
      <c r="H3" s="46"/>
      <c r="I3" s="46" t="s">
        <v>361</v>
      </c>
      <c r="J3" s="46"/>
      <c r="K3" s="46" t="s">
        <v>362</v>
      </c>
      <c r="L3" s="46"/>
      <c r="M3" s="46" t="s">
        <v>363</v>
      </c>
      <c r="N3" s="46"/>
      <c r="O3" s="46" t="s">
        <v>364</v>
      </c>
      <c r="P3" s="46"/>
      <c r="Q3" s="46" t="s">
        <v>369</v>
      </c>
      <c r="R3" s="46"/>
      <c r="S3" s="46" t="s">
        <v>366</v>
      </c>
      <c r="T3" s="46"/>
      <c r="U3" s="46" t="s">
        <v>487</v>
      </c>
      <c r="V3" s="46"/>
      <c r="W3" s="46"/>
    </row>
    <row r="4" spans="1:23" ht="12.75">
      <c r="A4" s="45"/>
      <c r="B4" s="45"/>
      <c r="C4" s="45"/>
      <c r="D4" s="45"/>
      <c r="E4" s="46" t="s">
        <v>271</v>
      </c>
      <c r="F4" s="46"/>
      <c r="G4" s="46" t="s">
        <v>297</v>
      </c>
      <c r="H4" s="46"/>
      <c r="I4" s="46" t="s">
        <v>316</v>
      </c>
      <c r="J4" s="46"/>
      <c r="K4" s="46" t="s">
        <v>320</v>
      </c>
      <c r="L4" s="46"/>
      <c r="M4" s="46" t="s">
        <v>323</v>
      </c>
      <c r="N4" s="46"/>
      <c r="O4" s="46" t="s">
        <v>326</v>
      </c>
      <c r="P4" s="46"/>
      <c r="Q4" s="46" t="s">
        <v>359</v>
      </c>
      <c r="R4" s="46"/>
      <c r="S4" s="46" t="s">
        <v>378</v>
      </c>
      <c r="T4" s="46"/>
      <c r="U4" s="46" t="s">
        <v>490</v>
      </c>
      <c r="V4" s="46"/>
      <c r="W4" s="46"/>
    </row>
    <row r="5" spans="1:23" ht="27.75" customHeight="1">
      <c r="A5" s="241" t="s">
        <v>370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/>
      <c r="W5"/>
    </row>
    <row r="6" spans="1:23" s="7" customFormat="1" ht="28.5" customHeight="1">
      <c r="A6" s="168" t="s">
        <v>0</v>
      </c>
      <c r="B6" s="168" t="s">
        <v>1</v>
      </c>
      <c r="C6" s="169" t="s">
        <v>2</v>
      </c>
      <c r="D6" s="168" t="s">
        <v>3</v>
      </c>
      <c r="E6" s="170" t="s">
        <v>116</v>
      </c>
      <c r="F6" s="170" t="s">
        <v>264</v>
      </c>
      <c r="G6" s="170" t="s">
        <v>117</v>
      </c>
      <c r="H6" s="170" t="s">
        <v>263</v>
      </c>
      <c r="I6" s="170" t="s">
        <v>117</v>
      </c>
      <c r="J6" s="170" t="s">
        <v>263</v>
      </c>
      <c r="K6" s="170" t="s">
        <v>117</v>
      </c>
      <c r="L6" s="170" t="s">
        <v>263</v>
      </c>
      <c r="M6" s="170" t="s">
        <v>117</v>
      </c>
      <c r="N6" s="170" t="s">
        <v>263</v>
      </c>
      <c r="O6" s="170" t="s">
        <v>117</v>
      </c>
      <c r="P6" s="170" t="s">
        <v>263</v>
      </c>
      <c r="Q6" s="170" t="s">
        <v>117</v>
      </c>
      <c r="R6" s="170" t="s">
        <v>263</v>
      </c>
      <c r="S6" s="170" t="s">
        <v>117</v>
      </c>
      <c r="T6" s="170" t="s">
        <v>263</v>
      </c>
      <c r="U6" s="170" t="s">
        <v>117</v>
      </c>
      <c r="V6" s="170" t="s">
        <v>263</v>
      </c>
      <c r="W6" s="170" t="s">
        <v>371</v>
      </c>
    </row>
    <row r="7" spans="1:23" s="7" customFormat="1" ht="28.5" customHeight="1">
      <c r="A7" s="32" t="s">
        <v>4</v>
      </c>
      <c r="B7" s="168"/>
      <c r="C7" s="169"/>
      <c r="D7" s="35" t="s">
        <v>5</v>
      </c>
      <c r="E7" s="170"/>
      <c r="F7" s="170"/>
      <c r="G7" s="170"/>
      <c r="H7" s="170"/>
      <c r="I7" s="170"/>
      <c r="J7" s="170"/>
      <c r="K7" s="170"/>
      <c r="L7" s="170"/>
      <c r="M7" s="171">
        <f aca="true" t="shared" si="0" ref="M7:W8">SUM(M8)</f>
        <v>0</v>
      </c>
      <c r="N7" s="171">
        <f t="shared" si="0"/>
        <v>285502</v>
      </c>
      <c r="O7" s="171">
        <f t="shared" si="0"/>
        <v>285502</v>
      </c>
      <c r="P7" s="171">
        <f t="shared" si="0"/>
        <v>0</v>
      </c>
      <c r="Q7" s="171">
        <f t="shared" si="0"/>
        <v>285502</v>
      </c>
      <c r="R7" s="171">
        <f t="shared" si="0"/>
        <v>0</v>
      </c>
      <c r="S7" s="171">
        <f t="shared" si="0"/>
        <v>285502</v>
      </c>
      <c r="T7" s="171">
        <f t="shared" si="0"/>
        <v>0</v>
      </c>
      <c r="U7" s="171">
        <f t="shared" si="0"/>
        <v>285502</v>
      </c>
      <c r="V7" s="171">
        <f t="shared" si="0"/>
        <v>0</v>
      </c>
      <c r="W7" s="171">
        <f t="shared" si="0"/>
        <v>285502</v>
      </c>
    </row>
    <row r="8" spans="1:23" s="100" customFormat="1" ht="28.5" customHeight="1">
      <c r="A8" s="172"/>
      <c r="B8" s="173" t="s">
        <v>218</v>
      </c>
      <c r="C8" s="174"/>
      <c r="D8" s="158" t="s">
        <v>6</v>
      </c>
      <c r="E8" s="175"/>
      <c r="F8" s="175"/>
      <c r="G8" s="175"/>
      <c r="H8" s="175"/>
      <c r="I8" s="175"/>
      <c r="J8" s="175"/>
      <c r="K8" s="175"/>
      <c r="L8" s="175"/>
      <c r="M8" s="176">
        <f t="shared" si="0"/>
        <v>0</v>
      </c>
      <c r="N8" s="176">
        <f t="shared" si="0"/>
        <v>285502</v>
      </c>
      <c r="O8" s="176">
        <f t="shared" si="0"/>
        <v>285502</v>
      </c>
      <c r="P8" s="176">
        <f t="shared" si="0"/>
        <v>0</v>
      </c>
      <c r="Q8" s="176">
        <f t="shared" si="0"/>
        <v>285502</v>
      </c>
      <c r="R8" s="176">
        <f t="shared" si="0"/>
        <v>0</v>
      </c>
      <c r="S8" s="176">
        <f t="shared" si="0"/>
        <v>285502</v>
      </c>
      <c r="T8" s="176">
        <f t="shared" si="0"/>
        <v>0</v>
      </c>
      <c r="U8" s="176">
        <f t="shared" si="0"/>
        <v>285502</v>
      </c>
      <c r="V8" s="176">
        <f t="shared" si="0"/>
        <v>0</v>
      </c>
      <c r="W8" s="176">
        <f t="shared" si="0"/>
        <v>285502</v>
      </c>
    </row>
    <row r="9" spans="1:23" s="100" customFormat="1" ht="56.25">
      <c r="A9" s="172"/>
      <c r="B9" s="172"/>
      <c r="C9" s="174">
        <v>2010</v>
      </c>
      <c r="D9" s="36" t="s">
        <v>372</v>
      </c>
      <c r="E9" s="175"/>
      <c r="F9" s="175"/>
      <c r="G9" s="175"/>
      <c r="H9" s="175"/>
      <c r="I9" s="175"/>
      <c r="J9" s="175"/>
      <c r="K9" s="175"/>
      <c r="L9" s="175"/>
      <c r="M9" s="176">
        <v>0</v>
      </c>
      <c r="N9" s="176">
        <v>285502</v>
      </c>
      <c r="O9" s="176">
        <f>SUM(M9:N9)</f>
        <v>285502</v>
      </c>
      <c r="P9" s="176"/>
      <c r="Q9" s="176">
        <f>SUM(O9:P9)</f>
        <v>285502</v>
      </c>
      <c r="R9" s="176"/>
      <c r="S9" s="176">
        <f>SUM(Q9:R9)</f>
        <v>285502</v>
      </c>
      <c r="T9" s="176"/>
      <c r="U9" s="176">
        <f>SUM(S9:T9)</f>
        <v>285502</v>
      </c>
      <c r="V9" s="176"/>
      <c r="W9" s="176">
        <f>SUM(U9:V9)</f>
        <v>285502</v>
      </c>
    </row>
    <row r="10" spans="1:23" s="7" customFormat="1" ht="24" customHeight="1">
      <c r="A10" s="32" t="s">
        <v>14</v>
      </c>
      <c r="B10" s="177"/>
      <c r="C10" s="178"/>
      <c r="D10" s="35" t="s">
        <v>15</v>
      </c>
      <c r="E10" s="171">
        <f aca="true" t="shared" si="1" ref="E10:W10">SUM(E11)</f>
        <v>156600</v>
      </c>
      <c r="F10" s="171">
        <f t="shared" si="1"/>
        <v>0</v>
      </c>
      <c r="G10" s="171">
        <f t="shared" si="1"/>
        <v>156600</v>
      </c>
      <c r="H10" s="171">
        <f t="shared" si="1"/>
        <v>0</v>
      </c>
      <c r="I10" s="171">
        <f t="shared" si="1"/>
        <v>156600</v>
      </c>
      <c r="J10" s="171">
        <f t="shared" si="1"/>
        <v>0</v>
      </c>
      <c r="K10" s="171">
        <f t="shared" si="1"/>
        <v>156600</v>
      </c>
      <c r="L10" s="171">
        <f t="shared" si="1"/>
        <v>0</v>
      </c>
      <c r="M10" s="171">
        <f t="shared" si="1"/>
        <v>156600</v>
      </c>
      <c r="N10" s="171">
        <f t="shared" si="1"/>
        <v>0</v>
      </c>
      <c r="O10" s="171">
        <f t="shared" si="1"/>
        <v>156600</v>
      </c>
      <c r="P10" s="171">
        <f t="shared" si="1"/>
        <v>0</v>
      </c>
      <c r="Q10" s="171">
        <f t="shared" si="1"/>
        <v>156600</v>
      </c>
      <c r="R10" s="171">
        <f t="shared" si="1"/>
        <v>0</v>
      </c>
      <c r="S10" s="171">
        <f t="shared" si="1"/>
        <v>156600</v>
      </c>
      <c r="T10" s="171">
        <f t="shared" si="1"/>
        <v>0</v>
      </c>
      <c r="U10" s="171">
        <f t="shared" si="1"/>
        <v>156600</v>
      </c>
      <c r="V10" s="171">
        <f t="shared" si="1"/>
        <v>0</v>
      </c>
      <c r="W10" s="171">
        <f t="shared" si="1"/>
        <v>156600</v>
      </c>
    </row>
    <row r="11" spans="1:23" s="25" customFormat="1" ht="21.75" customHeight="1">
      <c r="A11" s="49"/>
      <c r="B11" s="49">
        <v>75011</v>
      </c>
      <c r="C11" s="50"/>
      <c r="D11" s="36" t="s">
        <v>16</v>
      </c>
      <c r="E11" s="179">
        <f aca="true" t="shared" si="2" ref="E11:W11">E12</f>
        <v>156600</v>
      </c>
      <c r="F11" s="179">
        <f t="shared" si="2"/>
        <v>0</v>
      </c>
      <c r="G11" s="179">
        <f t="shared" si="2"/>
        <v>156600</v>
      </c>
      <c r="H11" s="179">
        <f t="shared" si="2"/>
        <v>0</v>
      </c>
      <c r="I11" s="179">
        <f t="shared" si="2"/>
        <v>156600</v>
      </c>
      <c r="J11" s="179">
        <f t="shared" si="2"/>
        <v>0</v>
      </c>
      <c r="K11" s="179">
        <f t="shared" si="2"/>
        <v>156600</v>
      </c>
      <c r="L11" s="179">
        <f t="shared" si="2"/>
        <v>0</v>
      </c>
      <c r="M11" s="179">
        <f t="shared" si="2"/>
        <v>156600</v>
      </c>
      <c r="N11" s="179">
        <f t="shared" si="2"/>
        <v>0</v>
      </c>
      <c r="O11" s="179">
        <f t="shared" si="2"/>
        <v>156600</v>
      </c>
      <c r="P11" s="179">
        <f t="shared" si="2"/>
        <v>0</v>
      </c>
      <c r="Q11" s="179">
        <f t="shared" si="2"/>
        <v>156600</v>
      </c>
      <c r="R11" s="179">
        <f t="shared" si="2"/>
        <v>0</v>
      </c>
      <c r="S11" s="179">
        <f t="shared" si="2"/>
        <v>156600</v>
      </c>
      <c r="T11" s="179">
        <f t="shared" si="2"/>
        <v>0</v>
      </c>
      <c r="U11" s="179">
        <f t="shared" si="2"/>
        <v>156600</v>
      </c>
      <c r="V11" s="179">
        <f t="shared" si="2"/>
        <v>0</v>
      </c>
      <c r="W11" s="179">
        <f t="shared" si="2"/>
        <v>156600</v>
      </c>
    </row>
    <row r="12" spans="1:23" s="25" customFormat="1" ht="56.25">
      <c r="A12" s="49"/>
      <c r="B12" s="66"/>
      <c r="C12" s="51" t="s">
        <v>373</v>
      </c>
      <c r="D12" s="36" t="s">
        <v>372</v>
      </c>
      <c r="E12" s="179">
        <v>156600</v>
      </c>
      <c r="F12" s="179"/>
      <c r="G12" s="179">
        <f>SUM(E12:F12)</f>
        <v>156600</v>
      </c>
      <c r="H12" s="179"/>
      <c r="I12" s="179">
        <f>SUM(G12:H12)</f>
        <v>156600</v>
      </c>
      <c r="J12" s="179"/>
      <c r="K12" s="179">
        <f>SUM(I12:J12)</f>
        <v>156600</v>
      </c>
      <c r="L12" s="179"/>
      <c r="M12" s="179">
        <f>SUM(K12:L12)</f>
        <v>156600</v>
      </c>
      <c r="N12" s="179"/>
      <c r="O12" s="179">
        <f>SUM(M12:N12)</f>
        <v>156600</v>
      </c>
      <c r="P12" s="179"/>
      <c r="Q12" s="179">
        <f>SUM(O12:P12)</f>
        <v>156600</v>
      </c>
      <c r="R12" s="179"/>
      <c r="S12" s="179">
        <f>SUM(Q12:R12)</f>
        <v>156600</v>
      </c>
      <c r="T12" s="179"/>
      <c r="U12" s="179">
        <f>SUM(S12:T12)</f>
        <v>156600</v>
      </c>
      <c r="V12" s="179"/>
      <c r="W12" s="179">
        <f>SUM(U12:V12)</f>
        <v>156600</v>
      </c>
    </row>
    <row r="13" spans="1:23" s="7" customFormat="1" ht="40.5" customHeight="1">
      <c r="A13" s="32">
        <v>751</v>
      </c>
      <c r="B13" s="34"/>
      <c r="C13" s="180"/>
      <c r="D13" s="35" t="s">
        <v>19</v>
      </c>
      <c r="E13" s="181">
        <f>SUM(E14)</f>
        <v>3910</v>
      </c>
      <c r="F13" s="181">
        <f>SUM(F14)</f>
        <v>0</v>
      </c>
      <c r="G13" s="181">
        <f>SUM(G14)</f>
        <v>3910</v>
      </c>
      <c r="H13" s="181">
        <f>SUM(H14)</f>
        <v>0</v>
      </c>
      <c r="I13" s="181">
        <f aca="true" t="shared" si="3" ref="I13:O13">SUM(I14,I16)</f>
        <v>3910</v>
      </c>
      <c r="J13" s="181">
        <f t="shared" si="3"/>
        <v>19932</v>
      </c>
      <c r="K13" s="181">
        <f t="shared" si="3"/>
        <v>23842</v>
      </c>
      <c r="L13" s="181">
        <f t="shared" si="3"/>
        <v>0</v>
      </c>
      <c r="M13" s="181">
        <f t="shared" si="3"/>
        <v>23842</v>
      </c>
      <c r="N13" s="181">
        <f t="shared" si="3"/>
        <v>1000</v>
      </c>
      <c r="O13" s="181">
        <f t="shared" si="3"/>
        <v>24842</v>
      </c>
      <c r="P13" s="181">
        <f aca="true" t="shared" si="4" ref="P13:U13">SUM(P14,P16)</f>
        <v>21240</v>
      </c>
      <c r="Q13" s="181">
        <f t="shared" si="4"/>
        <v>46082</v>
      </c>
      <c r="R13" s="181">
        <f t="shared" si="4"/>
        <v>0</v>
      </c>
      <c r="S13" s="181">
        <f t="shared" si="4"/>
        <v>46082</v>
      </c>
      <c r="T13" s="181">
        <f t="shared" si="4"/>
        <v>0</v>
      </c>
      <c r="U13" s="181">
        <f t="shared" si="4"/>
        <v>46082</v>
      </c>
      <c r="V13" s="181">
        <f>SUM(V14,V16)</f>
        <v>0</v>
      </c>
      <c r="W13" s="181">
        <f>SUM(W14,W16)</f>
        <v>46082</v>
      </c>
    </row>
    <row r="14" spans="1:23" s="25" customFormat="1" ht="22.5">
      <c r="A14" s="66"/>
      <c r="B14" s="49">
        <v>75101</v>
      </c>
      <c r="C14" s="50"/>
      <c r="D14" s="36" t="s">
        <v>20</v>
      </c>
      <c r="E14" s="68">
        <f aca="true" t="shared" si="5" ref="E14:W14">E15</f>
        <v>3910</v>
      </c>
      <c r="F14" s="68">
        <f t="shared" si="5"/>
        <v>0</v>
      </c>
      <c r="G14" s="68">
        <f t="shared" si="5"/>
        <v>3910</v>
      </c>
      <c r="H14" s="68">
        <f t="shared" si="5"/>
        <v>0</v>
      </c>
      <c r="I14" s="68">
        <f t="shared" si="5"/>
        <v>3910</v>
      </c>
      <c r="J14" s="68">
        <f t="shared" si="5"/>
        <v>0</v>
      </c>
      <c r="K14" s="68">
        <f t="shared" si="5"/>
        <v>3910</v>
      </c>
      <c r="L14" s="68">
        <f t="shared" si="5"/>
        <v>0</v>
      </c>
      <c r="M14" s="68">
        <f t="shared" si="5"/>
        <v>3910</v>
      </c>
      <c r="N14" s="68">
        <f t="shared" si="5"/>
        <v>0</v>
      </c>
      <c r="O14" s="68">
        <f t="shared" si="5"/>
        <v>3910</v>
      </c>
      <c r="P14" s="68">
        <f t="shared" si="5"/>
        <v>0</v>
      </c>
      <c r="Q14" s="68">
        <f t="shared" si="5"/>
        <v>3910</v>
      </c>
      <c r="R14" s="68">
        <f t="shared" si="5"/>
        <v>0</v>
      </c>
      <c r="S14" s="68">
        <f t="shared" si="5"/>
        <v>3910</v>
      </c>
      <c r="T14" s="68">
        <f t="shared" si="5"/>
        <v>0</v>
      </c>
      <c r="U14" s="68">
        <f t="shared" si="5"/>
        <v>3910</v>
      </c>
      <c r="V14" s="68">
        <f t="shared" si="5"/>
        <v>0</v>
      </c>
      <c r="W14" s="68">
        <f t="shared" si="5"/>
        <v>3910</v>
      </c>
    </row>
    <row r="15" spans="1:23" s="25" customFormat="1" ht="56.25">
      <c r="A15" s="66"/>
      <c r="B15" s="49"/>
      <c r="C15" s="51" t="s">
        <v>373</v>
      </c>
      <c r="D15" s="36" t="s">
        <v>374</v>
      </c>
      <c r="E15" s="68">
        <v>3910</v>
      </c>
      <c r="F15" s="68"/>
      <c r="G15" s="68">
        <f>SUM(E15:F15)</f>
        <v>3910</v>
      </c>
      <c r="H15" s="68"/>
      <c r="I15" s="68">
        <f>SUM(G15:H15)</f>
        <v>3910</v>
      </c>
      <c r="J15" s="68"/>
      <c r="K15" s="68">
        <f>SUM(I15:J15)</f>
        <v>3910</v>
      </c>
      <c r="L15" s="68"/>
      <c r="M15" s="68">
        <f>SUM(K15:L15)</f>
        <v>3910</v>
      </c>
      <c r="N15" s="68"/>
      <c r="O15" s="68">
        <f>SUM(M15:N15)</f>
        <v>3910</v>
      </c>
      <c r="P15" s="68"/>
      <c r="Q15" s="68">
        <f>SUM(O15:P15)</f>
        <v>3910</v>
      </c>
      <c r="R15" s="68"/>
      <c r="S15" s="68">
        <f>SUM(Q15:R15)</f>
        <v>3910</v>
      </c>
      <c r="T15" s="68"/>
      <c r="U15" s="68">
        <f>SUM(S15:T15)</f>
        <v>3910</v>
      </c>
      <c r="V15" s="68"/>
      <c r="W15" s="68">
        <f>SUM(U15:V15)</f>
        <v>3910</v>
      </c>
    </row>
    <row r="16" spans="1:23" s="25" customFormat="1" ht="24" customHeight="1">
      <c r="A16" s="66"/>
      <c r="B16" s="49">
        <v>75113</v>
      </c>
      <c r="C16" s="49"/>
      <c r="D16" s="36" t="s">
        <v>317</v>
      </c>
      <c r="E16" s="68"/>
      <c r="F16" s="68"/>
      <c r="G16" s="68"/>
      <c r="H16" s="68"/>
      <c r="I16" s="68">
        <f aca="true" t="shared" si="6" ref="I16:W16">SUM(I17)</f>
        <v>0</v>
      </c>
      <c r="J16" s="68">
        <f t="shared" si="6"/>
        <v>19932</v>
      </c>
      <c r="K16" s="68">
        <f t="shared" si="6"/>
        <v>19932</v>
      </c>
      <c r="L16" s="68">
        <f t="shared" si="6"/>
        <v>0</v>
      </c>
      <c r="M16" s="68">
        <f t="shared" si="6"/>
        <v>19932</v>
      </c>
      <c r="N16" s="68">
        <f t="shared" si="6"/>
        <v>1000</v>
      </c>
      <c r="O16" s="68">
        <f t="shared" si="6"/>
        <v>20932</v>
      </c>
      <c r="P16" s="68">
        <f t="shared" si="6"/>
        <v>21240</v>
      </c>
      <c r="Q16" s="68">
        <f t="shared" si="6"/>
        <v>42172</v>
      </c>
      <c r="R16" s="68">
        <f t="shared" si="6"/>
        <v>0</v>
      </c>
      <c r="S16" s="68">
        <f t="shared" si="6"/>
        <v>42172</v>
      </c>
      <c r="T16" s="68">
        <f t="shared" si="6"/>
        <v>0</v>
      </c>
      <c r="U16" s="68">
        <f t="shared" si="6"/>
        <v>42172</v>
      </c>
      <c r="V16" s="68">
        <f t="shared" si="6"/>
        <v>0</v>
      </c>
      <c r="W16" s="68">
        <f t="shared" si="6"/>
        <v>42172</v>
      </c>
    </row>
    <row r="17" spans="1:23" s="25" customFormat="1" ht="56.25">
      <c r="A17" s="66"/>
      <c r="B17" s="49"/>
      <c r="C17" s="49">
        <v>2010</v>
      </c>
      <c r="D17" s="36" t="s">
        <v>374</v>
      </c>
      <c r="E17" s="68"/>
      <c r="F17" s="68"/>
      <c r="G17" s="68"/>
      <c r="H17" s="68"/>
      <c r="I17" s="68">
        <v>0</v>
      </c>
      <c r="J17" s="68">
        <v>19932</v>
      </c>
      <c r="K17" s="68">
        <f>SUM(I17:J17)</f>
        <v>19932</v>
      </c>
      <c r="L17" s="68"/>
      <c r="M17" s="68">
        <f>SUM(K17:L17)</f>
        <v>19932</v>
      </c>
      <c r="N17" s="68">
        <v>1000</v>
      </c>
      <c r="O17" s="68">
        <f>SUM(M17:N17)</f>
        <v>20932</v>
      </c>
      <c r="P17" s="68">
        <v>21240</v>
      </c>
      <c r="Q17" s="68">
        <f>SUM(O17:P17)</f>
        <v>42172</v>
      </c>
      <c r="R17" s="68"/>
      <c r="S17" s="68">
        <f>SUM(Q17:R17)</f>
        <v>42172</v>
      </c>
      <c r="T17" s="68"/>
      <c r="U17" s="68">
        <f>SUM(S17:T17)</f>
        <v>42172</v>
      </c>
      <c r="V17" s="68"/>
      <c r="W17" s="68">
        <f>SUM(U17:V17)</f>
        <v>42172</v>
      </c>
    </row>
    <row r="18" spans="1:23" s="11" customFormat="1" ht="24.75" customHeight="1">
      <c r="A18" s="182" t="s">
        <v>94</v>
      </c>
      <c r="B18" s="183"/>
      <c r="C18" s="184"/>
      <c r="D18" s="185" t="s">
        <v>95</v>
      </c>
      <c r="E18" s="186">
        <f aca="true" t="shared" si="7" ref="E18:Q18">SUM(E19,E22)</f>
        <v>55768</v>
      </c>
      <c r="F18" s="186">
        <f t="shared" si="7"/>
        <v>0</v>
      </c>
      <c r="G18" s="186">
        <f t="shared" si="7"/>
        <v>55768</v>
      </c>
      <c r="H18" s="186">
        <f t="shared" si="7"/>
        <v>0</v>
      </c>
      <c r="I18" s="186">
        <f t="shared" si="7"/>
        <v>55768</v>
      </c>
      <c r="J18" s="186">
        <f t="shared" si="7"/>
        <v>0</v>
      </c>
      <c r="K18" s="186">
        <f t="shared" si="7"/>
        <v>55768</v>
      </c>
      <c r="L18" s="186">
        <f t="shared" si="7"/>
        <v>0</v>
      </c>
      <c r="M18" s="186">
        <f t="shared" si="7"/>
        <v>55768</v>
      </c>
      <c r="N18" s="186">
        <f t="shared" si="7"/>
        <v>0</v>
      </c>
      <c r="O18" s="186">
        <f t="shared" si="7"/>
        <v>55768</v>
      </c>
      <c r="P18" s="186">
        <f t="shared" si="7"/>
        <v>0</v>
      </c>
      <c r="Q18" s="186">
        <f t="shared" si="7"/>
        <v>55768</v>
      </c>
      <c r="R18" s="186">
        <f aca="true" t="shared" si="8" ref="R18:W18">SUM(R19,R22)</f>
        <v>44050</v>
      </c>
      <c r="S18" s="186">
        <f t="shared" si="8"/>
        <v>99818</v>
      </c>
      <c r="T18" s="186">
        <f t="shared" si="8"/>
        <v>0</v>
      </c>
      <c r="U18" s="186">
        <f t="shared" si="8"/>
        <v>99818</v>
      </c>
      <c r="V18" s="186">
        <f t="shared" si="8"/>
        <v>-50986</v>
      </c>
      <c r="W18" s="186">
        <f t="shared" si="8"/>
        <v>48832</v>
      </c>
    </row>
    <row r="19" spans="1:23" s="25" customFormat="1" ht="24.75" customHeight="1">
      <c r="A19" s="49"/>
      <c r="B19" s="63" t="s">
        <v>96</v>
      </c>
      <c r="C19" s="66"/>
      <c r="D19" s="36" t="s">
        <v>51</v>
      </c>
      <c r="E19" s="179">
        <f aca="true" t="shared" si="9" ref="E19:Q19">SUM(E21)</f>
        <v>4782</v>
      </c>
      <c r="F19" s="179">
        <f t="shared" si="9"/>
        <v>0</v>
      </c>
      <c r="G19" s="179">
        <f t="shared" si="9"/>
        <v>4782</v>
      </c>
      <c r="H19" s="179">
        <f t="shared" si="9"/>
        <v>0</v>
      </c>
      <c r="I19" s="179">
        <f t="shared" si="9"/>
        <v>4782</v>
      </c>
      <c r="J19" s="179">
        <f t="shared" si="9"/>
        <v>0</v>
      </c>
      <c r="K19" s="179">
        <f t="shared" si="9"/>
        <v>4782</v>
      </c>
      <c r="L19" s="179">
        <f t="shared" si="9"/>
        <v>0</v>
      </c>
      <c r="M19" s="179">
        <f t="shared" si="9"/>
        <v>4782</v>
      </c>
      <c r="N19" s="179">
        <f t="shared" si="9"/>
        <v>0</v>
      </c>
      <c r="O19" s="179">
        <f t="shared" si="9"/>
        <v>4782</v>
      </c>
      <c r="P19" s="179">
        <f t="shared" si="9"/>
        <v>0</v>
      </c>
      <c r="Q19" s="179">
        <f t="shared" si="9"/>
        <v>4782</v>
      </c>
      <c r="R19" s="179">
        <f aca="true" t="shared" si="10" ref="R19:W19">R20+R21</f>
        <v>44050</v>
      </c>
      <c r="S19" s="179">
        <f t="shared" si="10"/>
        <v>48832</v>
      </c>
      <c r="T19" s="179">
        <f t="shared" si="10"/>
        <v>0</v>
      </c>
      <c r="U19" s="179">
        <f t="shared" si="10"/>
        <v>48832</v>
      </c>
      <c r="V19" s="179">
        <f t="shared" si="10"/>
        <v>0</v>
      </c>
      <c r="W19" s="179">
        <f t="shared" si="10"/>
        <v>48832</v>
      </c>
    </row>
    <row r="20" spans="1:23" s="25" customFormat="1" ht="57" customHeight="1">
      <c r="A20" s="49"/>
      <c r="B20" s="49"/>
      <c r="C20" s="66">
        <v>2010</v>
      </c>
      <c r="D20" s="36" t="s">
        <v>374</v>
      </c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>
        <v>0</v>
      </c>
      <c r="R20" s="179">
        <v>44050</v>
      </c>
      <c r="S20" s="179">
        <v>44050</v>
      </c>
      <c r="T20" s="179"/>
      <c r="U20" s="179">
        <v>44050</v>
      </c>
      <c r="V20" s="179"/>
      <c r="W20" s="179">
        <v>44050</v>
      </c>
    </row>
    <row r="21" spans="1:23" s="25" customFormat="1" ht="45">
      <c r="A21" s="66"/>
      <c r="B21" s="49"/>
      <c r="C21" s="81">
        <v>2310</v>
      </c>
      <c r="D21" s="36" t="s">
        <v>185</v>
      </c>
      <c r="E21" s="52">
        <v>4782</v>
      </c>
      <c r="F21" s="52"/>
      <c r="G21" s="52">
        <f>SUM(E21:F21)</f>
        <v>4782</v>
      </c>
      <c r="H21" s="52"/>
      <c r="I21" s="52">
        <f>SUM(G21:H21)</f>
        <v>4782</v>
      </c>
      <c r="J21" s="52"/>
      <c r="K21" s="52">
        <f>SUM(I21:J21)</f>
        <v>4782</v>
      </c>
      <c r="L21" s="52"/>
      <c r="M21" s="52">
        <f>SUM(K21:L21)</f>
        <v>4782</v>
      </c>
      <c r="N21" s="52"/>
      <c r="O21" s="52">
        <f>SUM(M21:N21)</f>
        <v>4782</v>
      </c>
      <c r="P21" s="52"/>
      <c r="Q21" s="52">
        <f>SUM(O21:P21)</f>
        <v>4782</v>
      </c>
      <c r="R21" s="52"/>
      <c r="S21" s="52">
        <f>SUM(Q21:R21)</f>
        <v>4782</v>
      </c>
      <c r="T21" s="52"/>
      <c r="U21" s="52">
        <f>SUM(S21:T21)</f>
        <v>4782</v>
      </c>
      <c r="V21" s="52"/>
      <c r="W21" s="52">
        <f>SUM(U21:V21)</f>
        <v>4782</v>
      </c>
    </row>
    <row r="22" spans="1:23" s="25" customFormat="1" ht="24" customHeight="1">
      <c r="A22" s="66"/>
      <c r="B22" s="49">
        <v>80195</v>
      </c>
      <c r="C22" s="81"/>
      <c r="D22" s="36" t="s">
        <v>6</v>
      </c>
      <c r="E22" s="52">
        <f aca="true" t="shared" si="11" ref="E22:W22">SUM(E23)</f>
        <v>50986</v>
      </c>
      <c r="F22" s="52">
        <f t="shared" si="11"/>
        <v>0</v>
      </c>
      <c r="G22" s="52">
        <f t="shared" si="11"/>
        <v>50986</v>
      </c>
      <c r="H22" s="52">
        <f t="shared" si="11"/>
        <v>0</v>
      </c>
      <c r="I22" s="52">
        <f t="shared" si="11"/>
        <v>50986</v>
      </c>
      <c r="J22" s="52">
        <f t="shared" si="11"/>
        <v>0</v>
      </c>
      <c r="K22" s="52">
        <f t="shared" si="11"/>
        <v>50986</v>
      </c>
      <c r="L22" s="52">
        <f t="shared" si="11"/>
        <v>0</v>
      </c>
      <c r="M22" s="52">
        <f t="shared" si="11"/>
        <v>50986</v>
      </c>
      <c r="N22" s="52">
        <f t="shared" si="11"/>
        <v>0</v>
      </c>
      <c r="O22" s="52">
        <f t="shared" si="11"/>
        <v>50986</v>
      </c>
      <c r="P22" s="52">
        <f t="shared" si="11"/>
        <v>0</v>
      </c>
      <c r="Q22" s="52">
        <f t="shared" si="11"/>
        <v>50986</v>
      </c>
      <c r="R22" s="52">
        <f t="shared" si="11"/>
        <v>0</v>
      </c>
      <c r="S22" s="52">
        <f t="shared" si="11"/>
        <v>50986</v>
      </c>
      <c r="T22" s="52">
        <f t="shared" si="11"/>
        <v>0</v>
      </c>
      <c r="U22" s="52">
        <f t="shared" si="11"/>
        <v>50986</v>
      </c>
      <c r="V22" s="52">
        <f t="shared" si="11"/>
        <v>-50986</v>
      </c>
      <c r="W22" s="52">
        <f t="shared" si="11"/>
        <v>0</v>
      </c>
    </row>
    <row r="23" spans="1:23" s="25" customFormat="1" ht="45">
      <c r="A23" s="66"/>
      <c r="B23" s="49"/>
      <c r="C23" s="81">
        <v>2030</v>
      </c>
      <c r="D23" s="58" t="s">
        <v>375</v>
      </c>
      <c r="E23" s="52">
        <v>50986</v>
      </c>
      <c r="F23" s="52"/>
      <c r="G23" s="52">
        <f>SUM(E23:F23)</f>
        <v>50986</v>
      </c>
      <c r="H23" s="52"/>
      <c r="I23" s="52">
        <f>SUM(G23:H23)</f>
        <v>50986</v>
      </c>
      <c r="J23" s="52"/>
      <c r="K23" s="52">
        <f>SUM(I23:J23)</f>
        <v>50986</v>
      </c>
      <c r="L23" s="52"/>
      <c r="M23" s="52">
        <f>SUM(K23:L23)</f>
        <v>50986</v>
      </c>
      <c r="N23" s="52"/>
      <c r="O23" s="52">
        <f>SUM(M23:N23)</f>
        <v>50986</v>
      </c>
      <c r="P23" s="52"/>
      <c r="Q23" s="52">
        <f>SUM(O23:P23)</f>
        <v>50986</v>
      </c>
      <c r="R23" s="52"/>
      <c r="S23" s="52">
        <f>SUM(Q23:R23)</f>
        <v>50986</v>
      </c>
      <c r="T23" s="52"/>
      <c r="U23" s="52">
        <f>SUM(S23:T23)</f>
        <v>50986</v>
      </c>
      <c r="V23" s="52">
        <v>-50986</v>
      </c>
      <c r="W23" s="52">
        <f>SUM(U23:V23)</f>
        <v>0</v>
      </c>
    </row>
    <row r="24" spans="1:23" s="38" customFormat="1" ht="27" customHeight="1">
      <c r="A24" s="32" t="s">
        <v>125</v>
      </c>
      <c r="B24" s="34"/>
      <c r="C24" s="180"/>
      <c r="D24" s="35" t="s">
        <v>156</v>
      </c>
      <c r="E24" s="171">
        <f aca="true" t="shared" si="12" ref="E24:Q24">SUM(E25,E27,E30,E33,E35,)</f>
        <v>8801400</v>
      </c>
      <c r="F24" s="171">
        <f t="shared" si="12"/>
        <v>0</v>
      </c>
      <c r="G24" s="171">
        <f t="shared" si="12"/>
        <v>8801400</v>
      </c>
      <c r="H24" s="171">
        <f t="shared" si="12"/>
        <v>312600</v>
      </c>
      <c r="I24" s="171">
        <f t="shared" si="12"/>
        <v>9114000</v>
      </c>
      <c r="J24" s="171">
        <f t="shared" si="12"/>
        <v>13050</v>
      </c>
      <c r="K24" s="171">
        <f t="shared" si="12"/>
        <v>9127050</v>
      </c>
      <c r="L24" s="171">
        <f t="shared" si="12"/>
        <v>75000</v>
      </c>
      <c r="M24" s="171">
        <f t="shared" si="12"/>
        <v>9202050</v>
      </c>
      <c r="N24" s="171">
        <f t="shared" si="12"/>
        <v>0</v>
      </c>
      <c r="O24" s="171">
        <f t="shared" si="12"/>
        <v>9202050</v>
      </c>
      <c r="P24" s="171">
        <f t="shared" si="12"/>
        <v>0</v>
      </c>
      <c r="Q24" s="171">
        <f t="shared" si="12"/>
        <v>9202050</v>
      </c>
      <c r="R24" s="171">
        <f aca="true" t="shared" si="13" ref="R24:W24">SUM(R25,R27,R30,R33,R35,)</f>
        <v>196618</v>
      </c>
      <c r="S24" s="171">
        <f t="shared" si="13"/>
        <v>9398668</v>
      </c>
      <c r="T24" s="171">
        <f t="shared" si="13"/>
        <v>0</v>
      </c>
      <c r="U24" s="171">
        <f t="shared" si="13"/>
        <v>9398668</v>
      </c>
      <c r="V24" s="171">
        <f t="shared" si="13"/>
        <v>-803079</v>
      </c>
      <c r="W24" s="171">
        <f t="shared" si="13"/>
        <v>8595589</v>
      </c>
    </row>
    <row r="25" spans="1:23" s="25" customFormat="1" ht="45">
      <c r="A25" s="49"/>
      <c r="B25" s="41">
        <v>85212</v>
      </c>
      <c r="C25" s="60"/>
      <c r="D25" s="58" t="s">
        <v>298</v>
      </c>
      <c r="E25" s="187">
        <f aca="true" t="shared" si="14" ref="E25:W25">SUM(E26)</f>
        <v>6479100</v>
      </c>
      <c r="F25" s="187">
        <f t="shared" si="14"/>
        <v>0</v>
      </c>
      <c r="G25" s="187">
        <f t="shared" si="14"/>
        <v>6479100</v>
      </c>
      <c r="H25" s="187">
        <f t="shared" si="14"/>
        <v>334300</v>
      </c>
      <c r="I25" s="187">
        <f t="shared" si="14"/>
        <v>6813400</v>
      </c>
      <c r="J25" s="187">
        <f t="shared" si="14"/>
        <v>0</v>
      </c>
      <c r="K25" s="187">
        <f t="shared" si="14"/>
        <v>6813400</v>
      </c>
      <c r="L25" s="187">
        <f t="shared" si="14"/>
        <v>0</v>
      </c>
      <c r="M25" s="187">
        <f t="shared" si="14"/>
        <v>6813400</v>
      </c>
      <c r="N25" s="187">
        <f t="shared" si="14"/>
        <v>0</v>
      </c>
      <c r="O25" s="187">
        <f t="shared" si="14"/>
        <v>6813400</v>
      </c>
      <c r="P25" s="187">
        <f t="shared" si="14"/>
        <v>0</v>
      </c>
      <c r="Q25" s="187">
        <f t="shared" si="14"/>
        <v>6813400</v>
      </c>
      <c r="R25" s="187">
        <f t="shared" si="14"/>
        <v>0</v>
      </c>
      <c r="S25" s="187">
        <f t="shared" si="14"/>
        <v>6813400</v>
      </c>
      <c r="T25" s="187">
        <f t="shared" si="14"/>
        <v>0</v>
      </c>
      <c r="U25" s="187">
        <f t="shared" si="14"/>
        <v>6813400</v>
      </c>
      <c r="V25" s="187">
        <f t="shared" si="14"/>
        <v>-763299</v>
      </c>
      <c r="W25" s="187">
        <f t="shared" si="14"/>
        <v>6050101</v>
      </c>
    </row>
    <row r="26" spans="1:23" s="25" customFormat="1" ht="56.25">
      <c r="A26" s="49"/>
      <c r="B26" s="41"/>
      <c r="C26" s="60">
        <v>2010</v>
      </c>
      <c r="D26" s="36" t="s">
        <v>372</v>
      </c>
      <c r="E26" s="187">
        <v>6479100</v>
      </c>
      <c r="F26" s="187"/>
      <c r="G26" s="187">
        <f>SUM(E26:F26)</f>
        <v>6479100</v>
      </c>
      <c r="H26" s="187">
        <v>334300</v>
      </c>
      <c r="I26" s="187">
        <f>SUM(G26:H26)</f>
        <v>6813400</v>
      </c>
      <c r="J26" s="187"/>
      <c r="K26" s="187">
        <f>SUM(I26:J26)</f>
        <v>6813400</v>
      </c>
      <c r="L26" s="187"/>
      <c r="M26" s="187">
        <f>SUM(K26:L26)</f>
        <v>6813400</v>
      </c>
      <c r="N26" s="187"/>
      <c r="O26" s="187">
        <f>SUM(M26:N26)</f>
        <v>6813400</v>
      </c>
      <c r="P26" s="187"/>
      <c r="Q26" s="187">
        <f>SUM(O26:P26)</f>
        <v>6813400</v>
      </c>
      <c r="R26" s="187"/>
      <c r="S26" s="187">
        <f>SUM(Q26:R26)</f>
        <v>6813400</v>
      </c>
      <c r="T26" s="187"/>
      <c r="U26" s="187">
        <f>SUM(S26:T26)</f>
        <v>6813400</v>
      </c>
      <c r="V26" s="187">
        <v>-763299</v>
      </c>
      <c r="W26" s="187">
        <f>SUM(U26:V26)</f>
        <v>6050101</v>
      </c>
    </row>
    <row r="27" spans="1:23" s="25" customFormat="1" ht="67.5">
      <c r="A27" s="49"/>
      <c r="B27" s="66">
        <v>85213</v>
      </c>
      <c r="C27" s="50"/>
      <c r="D27" s="58" t="s">
        <v>250</v>
      </c>
      <c r="E27" s="187">
        <f aca="true" t="shared" si="15" ref="E27:R27">SUM(E28)</f>
        <v>59100</v>
      </c>
      <c r="F27" s="187">
        <f t="shared" si="15"/>
        <v>0</v>
      </c>
      <c r="G27" s="187">
        <f t="shared" si="15"/>
        <v>59100</v>
      </c>
      <c r="H27" s="187">
        <f t="shared" si="15"/>
        <v>-4100</v>
      </c>
      <c r="I27" s="187">
        <f t="shared" si="15"/>
        <v>55000</v>
      </c>
      <c r="J27" s="187">
        <f t="shared" si="15"/>
        <v>0</v>
      </c>
      <c r="K27" s="187">
        <f t="shared" si="15"/>
        <v>55000</v>
      </c>
      <c r="L27" s="187">
        <f t="shared" si="15"/>
        <v>0</v>
      </c>
      <c r="M27" s="187">
        <f t="shared" si="15"/>
        <v>55000</v>
      </c>
      <c r="N27" s="187">
        <f t="shared" si="15"/>
        <v>0</v>
      </c>
      <c r="O27" s="187">
        <f t="shared" si="15"/>
        <v>55000</v>
      </c>
      <c r="P27" s="187">
        <f t="shared" si="15"/>
        <v>0</v>
      </c>
      <c r="Q27" s="187">
        <f t="shared" si="15"/>
        <v>55000</v>
      </c>
      <c r="R27" s="187">
        <f t="shared" si="15"/>
        <v>0</v>
      </c>
      <c r="S27" s="187">
        <f>SUM(S28,S29)</f>
        <v>55000</v>
      </c>
      <c r="T27" s="187">
        <f>SUM(T28,T29)</f>
        <v>0</v>
      </c>
      <c r="U27" s="187">
        <f>SUM(U28,U29)</f>
        <v>55000</v>
      </c>
      <c r="V27" s="187">
        <f>SUM(V28,V29)</f>
        <v>-3945</v>
      </c>
      <c r="W27" s="187">
        <f>SUM(W28,W29)</f>
        <v>51055</v>
      </c>
    </row>
    <row r="28" spans="1:23" s="25" customFormat="1" ht="56.25">
      <c r="A28" s="49"/>
      <c r="B28" s="66"/>
      <c r="C28" s="50">
        <v>2010</v>
      </c>
      <c r="D28" s="36" t="s">
        <v>172</v>
      </c>
      <c r="E28" s="187">
        <v>59100</v>
      </c>
      <c r="F28" s="187"/>
      <c r="G28" s="187">
        <f>SUM(E28:F28)</f>
        <v>59100</v>
      </c>
      <c r="H28" s="187">
        <v>-4100</v>
      </c>
      <c r="I28" s="187">
        <f>SUM(G28:H28)</f>
        <v>55000</v>
      </c>
      <c r="J28" s="187"/>
      <c r="K28" s="187">
        <f>SUM(I28:J28)</f>
        <v>55000</v>
      </c>
      <c r="L28" s="187"/>
      <c r="M28" s="187">
        <f>SUM(K28:L28)</f>
        <v>55000</v>
      </c>
      <c r="N28" s="187"/>
      <c r="O28" s="187">
        <f>SUM(M28:N28)</f>
        <v>55000</v>
      </c>
      <c r="P28" s="187"/>
      <c r="Q28" s="187">
        <f>SUM(O28:P28)</f>
        <v>55000</v>
      </c>
      <c r="R28" s="187"/>
      <c r="S28" s="187">
        <f>SUM(Q28:R28)</f>
        <v>55000</v>
      </c>
      <c r="T28" s="187">
        <v>-18550</v>
      </c>
      <c r="U28" s="187">
        <f>SUM(S28:T28)</f>
        <v>36450</v>
      </c>
      <c r="V28" s="187">
        <v>-3945</v>
      </c>
      <c r="W28" s="187">
        <f>SUM(U28:V28)</f>
        <v>32505</v>
      </c>
    </row>
    <row r="29" spans="1:23" s="25" customFormat="1" ht="38.25" customHeight="1">
      <c r="A29" s="49"/>
      <c r="B29" s="66"/>
      <c r="C29" s="50">
        <v>2030</v>
      </c>
      <c r="D29" s="58" t="s">
        <v>173</v>
      </c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>
        <v>0</v>
      </c>
      <c r="T29" s="187">
        <v>18550</v>
      </c>
      <c r="U29" s="187">
        <f>SUM(S29:T29)</f>
        <v>18550</v>
      </c>
      <c r="V29" s="187"/>
      <c r="W29" s="187">
        <f>SUM(U29:V29)</f>
        <v>18550</v>
      </c>
    </row>
    <row r="30" spans="1:23" s="25" customFormat="1" ht="22.5">
      <c r="A30" s="49"/>
      <c r="B30" s="49" t="s">
        <v>126</v>
      </c>
      <c r="C30" s="50"/>
      <c r="D30" s="36" t="s">
        <v>376</v>
      </c>
      <c r="E30" s="179">
        <f aca="true" t="shared" si="16" ref="E30:Q30">SUM(E31:E32)</f>
        <v>1124100</v>
      </c>
      <c r="F30" s="179">
        <f t="shared" si="16"/>
        <v>0</v>
      </c>
      <c r="G30" s="179">
        <f t="shared" si="16"/>
        <v>1124100</v>
      </c>
      <c r="H30" s="179">
        <f t="shared" si="16"/>
        <v>-17600</v>
      </c>
      <c r="I30" s="179">
        <f t="shared" si="16"/>
        <v>1106500</v>
      </c>
      <c r="J30" s="179">
        <f t="shared" si="16"/>
        <v>0</v>
      </c>
      <c r="K30" s="179">
        <f t="shared" si="16"/>
        <v>1106500</v>
      </c>
      <c r="L30" s="179">
        <f t="shared" si="16"/>
        <v>0</v>
      </c>
      <c r="M30" s="179">
        <f t="shared" si="16"/>
        <v>1106500</v>
      </c>
      <c r="N30" s="179">
        <f t="shared" si="16"/>
        <v>0</v>
      </c>
      <c r="O30" s="179">
        <f t="shared" si="16"/>
        <v>1106500</v>
      </c>
      <c r="P30" s="179">
        <f t="shared" si="16"/>
        <v>0</v>
      </c>
      <c r="Q30" s="179">
        <f t="shared" si="16"/>
        <v>1106500</v>
      </c>
      <c r="R30" s="179">
        <f aca="true" t="shared" si="17" ref="R30:W30">SUM(R31:R32)</f>
        <v>110109</v>
      </c>
      <c r="S30" s="179">
        <f t="shared" si="17"/>
        <v>1216609</v>
      </c>
      <c r="T30" s="179">
        <f t="shared" si="17"/>
        <v>0</v>
      </c>
      <c r="U30" s="179">
        <f t="shared" si="17"/>
        <v>1216609</v>
      </c>
      <c r="V30" s="179">
        <f t="shared" si="17"/>
        <v>0</v>
      </c>
      <c r="W30" s="179">
        <f t="shared" si="17"/>
        <v>1216609</v>
      </c>
    </row>
    <row r="31" spans="1:23" s="25" customFormat="1" ht="56.25">
      <c r="A31" s="49"/>
      <c r="B31" s="49"/>
      <c r="C31" s="51" t="s">
        <v>373</v>
      </c>
      <c r="D31" s="36" t="s">
        <v>377</v>
      </c>
      <c r="E31" s="179">
        <v>468000</v>
      </c>
      <c r="F31" s="179"/>
      <c r="G31" s="179">
        <f>SUM(E31:F31)</f>
        <v>468000</v>
      </c>
      <c r="H31" s="179">
        <v>50700</v>
      </c>
      <c r="I31" s="179">
        <f>SUM(G31:H31)</f>
        <v>518700</v>
      </c>
      <c r="J31" s="179"/>
      <c r="K31" s="179">
        <f>SUM(I31:J31)</f>
        <v>518700</v>
      </c>
      <c r="L31" s="179"/>
      <c r="M31" s="179">
        <f>SUM(K31:L31)</f>
        <v>518700</v>
      </c>
      <c r="N31" s="179"/>
      <c r="O31" s="179">
        <f>SUM(M31:N31)</f>
        <v>518700</v>
      </c>
      <c r="P31" s="179"/>
      <c r="Q31" s="179">
        <f>SUM(O31:P31)</f>
        <v>518700</v>
      </c>
      <c r="R31" s="179"/>
      <c r="S31" s="179">
        <f>SUM(Q31:R31)</f>
        <v>518700</v>
      </c>
      <c r="T31" s="179">
        <v>-273035</v>
      </c>
      <c r="U31" s="179">
        <f>SUM(S31:T31)</f>
        <v>245665</v>
      </c>
      <c r="V31" s="179"/>
      <c r="W31" s="179">
        <f>SUM(U31:V31)</f>
        <v>245665</v>
      </c>
    </row>
    <row r="32" spans="1:23" s="25" customFormat="1" ht="33.75">
      <c r="A32" s="49"/>
      <c r="B32" s="49"/>
      <c r="C32" s="51">
        <v>2030</v>
      </c>
      <c r="D32" s="58" t="s">
        <v>173</v>
      </c>
      <c r="E32" s="179">
        <v>656100</v>
      </c>
      <c r="F32" s="179"/>
      <c r="G32" s="179">
        <f>SUM(E32:F32)</f>
        <v>656100</v>
      </c>
      <c r="H32" s="179">
        <v>-68300</v>
      </c>
      <c r="I32" s="179">
        <f>SUM(G32:H32)</f>
        <v>587800</v>
      </c>
      <c r="J32" s="179"/>
      <c r="K32" s="179">
        <f>SUM(I32:J32)</f>
        <v>587800</v>
      </c>
      <c r="L32" s="179"/>
      <c r="M32" s="179">
        <f>SUM(K32:L32)</f>
        <v>587800</v>
      </c>
      <c r="N32" s="179"/>
      <c r="O32" s="179">
        <f>SUM(M32:N32)</f>
        <v>587800</v>
      </c>
      <c r="P32" s="179"/>
      <c r="Q32" s="179">
        <f>SUM(O32:P32)</f>
        <v>587800</v>
      </c>
      <c r="R32" s="179">
        <v>110109</v>
      </c>
      <c r="S32" s="179">
        <f>SUM(Q32:R32)</f>
        <v>697909</v>
      </c>
      <c r="T32" s="179">
        <v>273035</v>
      </c>
      <c r="U32" s="179">
        <f>SUM(S32:T32)</f>
        <v>970944</v>
      </c>
      <c r="V32" s="179"/>
      <c r="W32" s="179">
        <f>SUM(U32:V32)</f>
        <v>970944</v>
      </c>
    </row>
    <row r="33" spans="1:23" s="25" customFormat="1" ht="23.25" customHeight="1">
      <c r="A33" s="49"/>
      <c r="B33" s="49" t="s">
        <v>127</v>
      </c>
      <c r="C33" s="50"/>
      <c r="D33" s="36" t="s">
        <v>57</v>
      </c>
      <c r="E33" s="179">
        <f aca="true" t="shared" si="18" ref="E33:W33">E34</f>
        <v>597800</v>
      </c>
      <c r="F33" s="179">
        <f t="shared" si="18"/>
        <v>0</v>
      </c>
      <c r="G33" s="179">
        <f t="shared" si="18"/>
        <v>597800</v>
      </c>
      <c r="H33" s="179">
        <f t="shared" si="18"/>
        <v>0</v>
      </c>
      <c r="I33" s="179">
        <f t="shared" si="18"/>
        <v>597800</v>
      </c>
      <c r="J33" s="179">
        <f t="shared" si="18"/>
        <v>13050</v>
      </c>
      <c r="K33" s="179">
        <f t="shared" si="18"/>
        <v>610850</v>
      </c>
      <c r="L33" s="179">
        <f t="shared" si="18"/>
        <v>0</v>
      </c>
      <c r="M33" s="179">
        <f t="shared" si="18"/>
        <v>610850</v>
      </c>
      <c r="N33" s="179">
        <f t="shared" si="18"/>
        <v>0</v>
      </c>
      <c r="O33" s="179">
        <f t="shared" si="18"/>
        <v>610850</v>
      </c>
      <c r="P33" s="179">
        <f t="shared" si="18"/>
        <v>0</v>
      </c>
      <c r="Q33" s="179">
        <f t="shared" si="18"/>
        <v>610850</v>
      </c>
      <c r="R33" s="179">
        <f t="shared" si="18"/>
        <v>11509</v>
      </c>
      <c r="S33" s="179">
        <f t="shared" si="18"/>
        <v>622359</v>
      </c>
      <c r="T33" s="179">
        <f t="shared" si="18"/>
        <v>0</v>
      </c>
      <c r="U33" s="179">
        <f t="shared" si="18"/>
        <v>622359</v>
      </c>
      <c r="V33" s="179">
        <f t="shared" si="18"/>
        <v>-35835</v>
      </c>
      <c r="W33" s="179">
        <f t="shared" si="18"/>
        <v>586524</v>
      </c>
    </row>
    <row r="34" spans="1:23" s="25" customFormat="1" ht="45">
      <c r="A34" s="49"/>
      <c r="B34" s="49"/>
      <c r="C34" s="51">
        <v>2030</v>
      </c>
      <c r="D34" s="58" t="s">
        <v>375</v>
      </c>
      <c r="E34" s="179">
        <v>597800</v>
      </c>
      <c r="F34" s="179"/>
      <c r="G34" s="179">
        <f>SUM(E34:F34)</f>
        <v>597800</v>
      </c>
      <c r="H34" s="179"/>
      <c r="I34" s="179">
        <f>SUM(G34:H34)</f>
        <v>597800</v>
      </c>
      <c r="J34" s="179">
        <v>13050</v>
      </c>
      <c r="K34" s="179">
        <f>SUM(I34:J34)</f>
        <v>610850</v>
      </c>
      <c r="L34" s="179"/>
      <c r="M34" s="179">
        <f>SUM(K34:L34)</f>
        <v>610850</v>
      </c>
      <c r="N34" s="179"/>
      <c r="O34" s="179">
        <f>SUM(M34:N34)</f>
        <v>610850</v>
      </c>
      <c r="P34" s="179"/>
      <c r="Q34" s="179">
        <f>SUM(O34:P34)</f>
        <v>610850</v>
      </c>
      <c r="R34" s="179">
        <v>11509</v>
      </c>
      <c r="S34" s="179">
        <f>SUM(Q34:R34)</f>
        <v>622359</v>
      </c>
      <c r="T34" s="179"/>
      <c r="U34" s="179">
        <f>SUM(S34:T34)</f>
        <v>622359</v>
      </c>
      <c r="V34" s="179">
        <v>-35835</v>
      </c>
      <c r="W34" s="179">
        <f>SUM(U34:V34)</f>
        <v>586524</v>
      </c>
    </row>
    <row r="35" spans="1:23" s="25" customFormat="1" ht="24" customHeight="1">
      <c r="A35" s="49"/>
      <c r="B35" s="49">
        <v>85295</v>
      </c>
      <c r="C35" s="51"/>
      <c r="D35" s="58" t="s">
        <v>6</v>
      </c>
      <c r="E35" s="179">
        <f aca="true" t="shared" si="19" ref="E35:W35">SUM(E36)</f>
        <v>541300</v>
      </c>
      <c r="F35" s="179">
        <f t="shared" si="19"/>
        <v>0</v>
      </c>
      <c r="G35" s="179">
        <f t="shared" si="19"/>
        <v>541300</v>
      </c>
      <c r="H35" s="179">
        <f t="shared" si="19"/>
        <v>0</v>
      </c>
      <c r="I35" s="179">
        <f t="shared" si="19"/>
        <v>541300</v>
      </c>
      <c r="J35" s="179">
        <f t="shared" si="19"/>
        <v>0</v>
      </c>
      <c r="K35" s="179">
        <f t="shared" si="19"/>
        <v>541300</v>
      </c>
      <c r="L35" s="179">
        <f t="shared" si="19"/>
        <v>75000</v>
      </c>
      <c r="M35" s="179">
        <f t="shared" si="19"/>
        <v>616300</v>
      </c>
      <c r="N35" s="179">
        <f t="shared" si="19"/>
        <v>0</v>
      </c>
      <c r="O35" s="179">
        <f t="shared" si="19"/>
        <v>616300</v>
      </c>
      <c r="P35" s="179">
        <f t="shared" si="19"/>
        <v>0</v>
      </c>
      <c r="Q35" s="179">
        <f t="shared" si="19"/>
        <v>616300</v>
      </c>
      <c r="R35" s="179">
        <f t="shared" si="19"/>
        <v>75000</v>
      </c>
      <c r="S35" s="179">
        <f t="shared" si="19"/>
        <v>691300</v>
      </c>
      <c r="T35" s="179">
        <f t="shared" si="19"/>
        <v>0</v>
      </c>
      <c r="U35" s="179">
        <f t="shared" si="19"/>
        <v>691300</v>
      </c>
      <c r="V35" s="179">
        <f t="shared" si="19"/>
        <v>0</v>
      </c>
      <c r="W35" s="179">
        <f t="shared" si="19"/>
        <v>691300</v>
      </c>
    </row>
    <row r="36" spans="1:23" s="25" customFormat="1" ht="33.75">
      <c r="A36" s="49"/>
      <c r="B36" s="49"/>
      <c r="C36" s="51">
        <v>2030</v>
      </c>
      <c r="D36" s="58" t="s">
        <v>173</v>
      </c>
      <c r="E36" s="179">
        <v>541300</v>
      </c>
      <c r="F36" s="179"/>
      <c r="G36" s="179">
        <f>SUM(E36:F36)</f>
        <v>541300</v>
      </c>
      <c r="H36" s="179"/>
      <c r="I36" s="179">
        <f>SUM(G36:H36)</f>
        <v>541300</v>
      </c>
      <c r="J36" s="179"/>
      <c r="K36" s="179">
        <f>SUM(I36:J36)</f>
        <v>541300</v>
      </c>
      <c r="L36" s="179">
        <v>75000</v>
      </c>
      <c r="M36" s="179">
        <f>SUM(K36:L36)</f>
        <v>616300</v>
      </c>
      <c r="N36" s="179"/>
      <c r="O36" s="179">
        <f>SUM(M36:N36)</f>
        <v>616300</v>
      </c>
      <c r="P36" s="179"/>
      <c r="Q36" s="179">
        <f>SUM(O36:P36)</f>
        <v>616300</v>
      </c>
      <c r="R36" s="179">
        <v>75000</v>
      </c>
      <c r="S36" s="179">
        <f>SUM(Q36:R36)</f>
        <v>691300</v>
      </c>
      <c r="T36" s="179"/>
      <c r="U36" s="179">
        <f>SUM(S36:T36)</f>
        <v>691300</v>
      </c>
      <c r="V36" s="179"/>
      <c r="W36" s="179">
        <f>SUM(U36:V36)</f>
        <v>691300</v>
      </c>
    </row>
    <row r="37" spans="1:23" s="98" customFormat="1" ht="24" customHeight="1">
      <c r="A37" s="142">
        <v>854</v>
      </c>
      <c r="B37" s="148"/>
      <c r="C37" s="149"/>
      <c r="D37" s="35" t="s">
        <v>58</v>
      </c>
      <c r="E37" s="188">
        <f aca="true" t="shared" si="20" ref="E37:V38">SUM(E38)</f>
        <v>0</v>
      </c>
      <c r="F37" s="188">
        <f t="shared" si="20"/>
        <v>252163</v>
      </c>
      <c r="G37" s="188">
        <f t="shared" si="20"/>
        <v>252163</v>
      </c>
      <c r="H37" s="188">
        <f t="shared" si="20"/>
        <v>0</v>
      </c>
      <c r="I37" s="188">
        <f t="shared" si="20"/>
        <v>252163</v>
      </c>
      <c r="J37" s="188">
        <f t="shared" si="20"/>
        <v>0</v>
      </c>
      <c r="K37" s="188">
        <f t="shared" si="20"/>
        <v>252163</v>
      </c>
      <c r="L37" s="188">
        <f t="shared" si="20"/>
        <v>0</v>
      </c>
      <c r="M37" s="188">
        <f t="shared" si="20"/>
        <v>252163</v>
      </c>
      <c r="N37" s="188">
        <f t="shared" si="20"/>
        <v>0</v>
      </c>
      <c r="O37" s="188">
        <f t="shared" si="20"/>
        <v>252163</v>
      </c>
      <c r="P37" s="188">
        <f t="shared" si="20"/>
        <v>0</v>
      </c>
      <c r="Q37" s="188">
        <f t="shared" si="20"/>
        <v>304103</v>
      </c>
      <c r="R37" s="188">
        <f t="shared" si="20"/>
        <v>0</v>
      </c>
      <c r="S37" s="188">
        <f t="shared" si="20"/>
        <v>304103</v>
      </c>
      <c r="T37" s="188">
        <f t="shared" si="20"/>
        <v>0</v>
      </c>
      <c r="U37" s="188">
        <f>SUM(U38)</f>
        <v>304103</v>
      </c>
      <c r="V37" s="188">
        <f t="shared" si="20"/>
        <v>0</v>
      </c>
      <c r="W37" s="188">
        <f>SUM(W38)</f>
        <v>304103</v>
      </c>
    </row>
    <row r="38" spans="1:23" s="25" customFormat="1" ht="21.75" customHeight="1">
      <c r="A38" s="53"/>
      <c r="B38" s="54">
        <v>85415</v>
      </c>
      <c r="C38" s="55"/>
      <c r="D38" s="36" t="s">
        <v>184</v>
      </c>
      <c r="E38" s="179">
        <f t="shared" si="20"/>
        <v>0</v>
      </c>
      <c r="F38" s="179">
        <f t="shared" si="20"/>
        <v>252163</v>
      </c>
      <c r="G38" s="179">
        <f t="shared" si="20"/>
        <v>252163</v>
      </c>
      <c r="H38" s="179">
        <f t="shared" si="20"/>
        <v>0</v>
      </c>
      <c r="I38" s="179">
        <f t="shared" si="20"/>
        <v>252163</v>
      </c>
      <c r="J38" s="179">
        <f t="shared" si="20"/>
        <v>0</v>
      </c>
      <c r="K38" s="179">
        <f t="shared" si="20"/>
        <v>252163</v>
      </c>
      <c r="L38" s="179">
        <f t="shared" si="20"/>
        <v>0</v>
      </c>
      <c r="M38" s="179">
        <f t="shared" si="20"/>
        <v>252163</v>
      </c>
      <c r="N38" s="179">
        <f t="shared" si="20"/>
        <v>0</v>
      </c>
      <c r="O38" s="179">
        <f t="shared" si="20"/>
        <v>252163</v>
      </c>
      <c r="P38" s="179">
        <f t="shared" si="20"/>
        <v>0</v>
      </c>
      <c r="Q38" s="179">
        <f t="shared" si="20"/>
        <v>304103</v>
      </c>
      <c r="R38" s="179">
        <f t="shared" si="20"/>
        <v>0</v>
      </c>
      <c r="S38" s="179">
        <f t="shared" si="20"/>
        <v>304103</v>
      </c>
      <c r="T38" s="179">
        <f>SUM(T39)</f>
        <v>0</v>
      </c>
      <c r="U38" s="179">
        <f>SUM(U39)</f>
        <v>304103</v>
      </c>
      <c r="V38" s="179">
        <f>SUM(V39)</f>
        <v>0</v>
      </c>
      <c r="W38" s="179">
        <f>SUM(W39)</f>
        <v>304103</v>
      </c>
    </row>
    <row r="39" spans="1:23" s="25" customFormat="1" ht="22.5" customHeight="1">
      <c r="A39" s="49"/>
      <c r="B39" s="49"/>
      <c r="C39" s="51">
        <v>2030</v>
      </c>
      <c r="D39" s="58" t="s">
        <v>173</v>
      </c>
      <c r="E39" s="179">
        <v>0</v>
      </c>
      <c r="F39" s="179">
        <v>252163</v>
      </c>
      <c r="G39" s="179">
        <f>SUM(E39:F39)</f>
        <v>252163</v>
      </c>
      <c r="H39" s="179"/>
      <c r="I39" s="179">
        <f>SUM(G39:H39)</f>
        <v>252163</v>
      </c>
      <c r="J39" s="179"/>
      <c r="K39" s="179">
        <f>SUM(I39:J39)</f>
        <v>252163</v>
      </c>
      <c r="L39" s="179"/>
      <c r="M39" s="179">
        <f>SUM(K39:L39)</f>
        <v>252163</v>
      </c>
      <c r="N39" s="179"/>
      <c r="O39" s="179">
        <f>SUM(M39:N39)</f>
        <v>252163</v>
      </c>
      <c r="P39" s="179"/>
      <c r="Q39" s="179">
        <v>304103</v>
      </c>
      <c r="R39" s="179"/>
      <c r="S39" s="179">
        <f>SUM(Q39:R39)</f>
        <v>304103</v>
      </c>
      <c r="T39" s="179"/>
      <c r="U39" s="179">
        <f>SUM(S39:T39)</f>
        <v>304103</v>
      </c>
      <c r="V39" s="179"/>
      <c r="W39" s="179">
        <f>SUM(U39:V39)</f>
        <v>304103</v>
      </c>
    </row>
    <row r="40" spans="1:23" s="7" customFormat="1" ht="24.75" customHeight="1">
      <c r="A40" s="32" t="s">
        <v>61</v>
      </c>
      <c r="B40" s="177"/>
      <c r="C40" s="178"/>
      <c r="D40" s="35" t="s">
        <v>67</v>
      </c>
      <c r="E40" s="171">
        <f>SUM(E43)</f>
        <v>60000</v>
      </c>
      <c r="F40" s="171">
        <f>SUM(F43)</f>
        <v>0</v>
      </c>
      <c r="G40" s="171">
        <f aca="true" t="shared" si="21" ref="G40:S40">SUM(G43,G41)</f>
        <v>60000</v>
      </c>
      <c r="H40" s="171">
        <f t="shared" si="21"/>
        <v>9350</v>
      </c>
      <c r="I40" s="171">
        <f t="shared" si="21"/>
        <v>69350</v>
      </c>
      <c r="J40" s="171">
        <f t="shared" si="21"/>
        <v>0</v>
      </c>
      <c r="K40" s="171">
        <f t="shared" si="21"/>
        <v>69350</v>
      </c>
      <c r="L40" s="171">
        <f t="shared" si="21"/>
        <v>0</v>
      </c>
      <c r="M40" s="171">
        <f t="shared" si="21"/>
        <v>69350</v>
      </c>
      <c r="N40" s="171">
        <f t="shared" si="21"/>
        <v>0</v>
      </c>
      <c r="O40" s="171">
        <f t="shared" si="21"/>
        <v>69350</v>
      </c>
      <c r="P40" s="171">
        <f t="shared" si="21"/>
        <v>0</v>
      </c>
      <c r="Q40" s="171">
        <f t="shared" si="21"/>
        <v>69350</v>
      </c>
      <c r="R40" s="171">
        <f t="shared" si="21"/>
        <v>0</v>
      </c>
      <c r="S40" s="171">
        <f t="shared" si="21"/>
        <v>69350</v>
      </c>
      <c r="T40" s="171">
        <f>SUM(T43,T41)</f>
        <v>0</v>
      </c>
      <c r="U40" s="171">
        <f>SUM(U43,U41)</f>
        <v>69350</v>
      </c>
      <c r="V40" s="171">
        <f>SUM(V43,V41)</f>
        <v>0</v>
      </c>
      <c r="W40" s="171">
        <f>SUM(W43,W41)</f>
        <v>69350</v>
      </c>
    </row>
    <row r="41" spans="1:23" s="25" customFormat="1" ht="24.75" customHeight="1">
      <c r="A41" s="189"/>
      <c r="B41" s="107">
        <v>92105</v>
      </c>
      <c r="C41" s="112"/>
      <c r="D41" s="154" t="s">
        <v>301</v>
      </c>
      <c r="E41" s="190"/>
      <c r="F41" s="190"/>
      <c r="G41" s="176">
        <f aca="true" t="shared" si="22" ref="G41:W41">SUM(G42)</f>
        <v>0</v>
      </c>
      <c r="H41" s="176">
        <f t="shared" si="22"/>
        <v>9350</v>
      </c>
      <c r="I41" s="176">
        <f t="shared" si="22"/>
        <v>9350</v>
      </c>
      <c r="J41" s="176">
        <f t="shared" si="22"/>
        <v>0</v>
      </c>
      <c r="K41" s="176">
        <f t="shared" si="22"/>
        <v>9350</v>
      </c>
      <c r="L41" s="176">
        <f t="shared" si="22"/>
        <v>0</v>
      </c>
      <c r="M41" s="176">
        <f t="shared" si="22"/>
        <v>9350</v>
      </c>
      <c r="N41" s="176">
        <f t="shared" si="22"/>
        <v>0</v>
      </c>
      <c r="O41" s="176">
        <f t="shared" si="22"/>
        <v>9350</v>
      </c>
      <c r="P41" s="176">
        <f t="shared" si="22"/>
        <v>0</v>
      </c>
      <c r="Q41" s="176">
        <f t="shared" si="22"/>
        <v>9350</v>
      </c>
      <c r="R41" s="176">
        <f t="shared" si="22"/>
        <v>0</v>
      </c>
      <c r="S41" s="176">
        <f t="shared" si="22"/>
        <v>9350</v>
      </c>
      <c r="T41" s="176">
        <f t="shared" si="22"/>
        <v>0</v>
      </c>
      <c r="U41" s="176">
        <f t="shared" si="22"/>
        <v>9350</v>
      </c>
      <c r="V41" s="176">
        <f t="shared" si="22"/>
        <v>0</v>
      </c>
      <c r="W41" s="176">
        <f t="shared" si="22"/>
        <v>9350</v>
      </c>
    </row>
    <row r="42" spans="1:23" s="25" customFormat="1" ht="45">
      <c r="A42" s="189"/>
      <c r="B42" s="107"/>
      <c r="C42" s="112">
        <v>2320</v>
      </c>
      <c r="D42" s="58" t="s">
        <v>174</v>
      </c>
      <c r="E42" s="190"/>
      <c r="F42" s="190"/>
      <c r="G42" s="176">
        <v>0</v>
      </c>
      <c r="H42" s="176">
        <v>9350</v>
      </c>
      <c r="I42" s="176">
        <f>SUM(G42:H42)</f>
        <v>9350</v>
      </c>
      <c r="J42" s="176"/>
      <c r="K42" s="176">
        <f>SUM(I42:J42)</f>
        <v>9350</v>
      </c>
      <c r="L42" s="176"/>
      <c r="M42" s="176">
        <f>SUM(K42:L42)</f>
        <v>9350</v>
      </c>
      <c r="N42" s="176"/>
      <c r="O42" s="176">
        <f>SUM(M42:N42)</f>
        <v>9350</v>
      </c>
      <c r="P42" s="176"/>
      <c r="Q42" s="176">
        <f>SUM(O42:P42)</f>
        <v>9350</v>
      </c>
      <c r="R42" s="176"/>
      <c r="S42" s="176">
        <f>SUM(Q42:R42)</f>
        <v>9350</v>
      </c>
      <c r="T42" s="176"/>
      <c r="U42" s="176">
        <f>SUM(S42:T42)</f>
        <v>9350</v>
      </c>
      <c r="V42" s="176"/>
      <c r="W42" s="176">
        <f>SUM(U42:V42)</f>
        <v>9350</v>
      </c>
    </row>
    <row r="43" spans="1:23" s="25" customFormat="1" ht="21.75" customHeight="1">
      <c r="A43" s="49"/>
      <c r="B43" s="49" t="s">
        <v>62</v>
      </c>
      <c r="C43" s="50"/>
      <c r="D43" s="36" t="s">
        <v>63</v>
      </c>
      <c r="E43" s="179">
        <f aca="true" t="shared" si="23" ref="E43:W43">E44</f>
        <v>60000</v>
      </c>
      <c r="F43" s="179">
        <f t="shared" si="23"/>
        <v>0</v>
      </c>
      <c r="G43" s="179">
        <f t="shared" si="23"/>
        <v>60000</v>
      </c>
      <c r="H43" s="179">
        <f t="shared" si="23"/>
        <v>0</v>
      </c>
      <c r="I43" s="179">
        <f t="shared" si="23"/>
        <v>60000</v>
      </c>
      <c r="J43" s="179">
        <f t="shared" si="23"/>
        <v>0</v>
      </c>
      <c r="K43" s="179">
        <f t="shared" si="23"/>
        <v>60000</v>
      </c>
      <c r="L43" s="179">
        <f t="shared" si="23"/>
        <v>0</v>
      </c>
      <c r="M43" s="179">
        <f t="shared" si="23"/>
        <v>60000</v>
      </c>
      <c r="N43" s="179">
        <f t="shared" si="23"/>
        <v>0</v>
      </c>
      <c r="O43" s="179">
        <f t="shared" si="23"/>
        <v>60000</v>
      </c>
      <c r="P43" s="179">
        <f t="shared" si="23"/>
        <v>0</v>
      </c>
      <c r="Q43" s="179">
        <f t="shared" si="23"/>
        <v>60000</v>
      </c>
      <c r="R43" s="179">
        <f t="shared" si="23"/>
        <v>0</v>
      </c>
      <c r="S43" s="179">
        <f t="shared" si="23"/>
        <v>60000</v>
      </c>
      <c r="T43" s="179">
        <f t="shared" si="23"/>
        <v>0</v>
      </c>
      <c r="U43" s="179">
        <f t="shared" si="23"/>
        <v>60000</v>
      </c>
      <c r="V43" s="179">
        <f t="shared" si="23"/>
        <v>0</v>
      </c>
      <c r="W43" s="179">
        <f t="shared" si="23"/>
        <v>60000</v>
      </c>
    </row>
    <row r="44" spans="1:23" s="25" customFormat="1" ht="45">
      <c r="A44" s="49"/>
      <c r="B44" s="49"/>
      <c r="C44" s="51">
        <v>2320</v>
      </c>
      <c r="D44" s="36" t="s">
        <v>174</v>
      </c>
      <c r="E44" s="179">
        <v>60000</v>
      </c>
      <c r="F44" s="179"/>
      <c r="G44" s="179">
        <f>SUM(E44:F44)</f>
        <v>60000</v>
      </c>
      <c r="H44" s="179"/>
      <c r="I44" s="179">
        <f>SUM(G44:H44)</f>
        <v>60000</v>
      </c>
      <c r="J44" s="179"/>
      <c r="K44" s="179">
        <f>SUM(I44:J44)</f>
        <v>60000</v>
      </c>
      <c r="L44" s="179"/>
      <c r="M44" s="179">
        <f>SUM(K44:L44)</f>
        <v>60000</v>
      </c>
      <c r="N44" s="179"/>
      <c r="O44" s="179">
        <f>SUM(M44:N44)</f>
        <v>60000</v>
      </c>
      <c r="P44" s="179"/>
      <c r="Q44" s="179">
        <f>SUM(O44:P44)</f>
        <v>60000</v>
      </c>
      <c r="R44" s="179"/>
      <c r="S44" s="179">
        <f>SUM(Q44:R44)</f>
        <v>60000</v>
      </c>
      <c r="T44" s="179"/>
      <c r="U44" s="179">
        <f>SUM(S44:T44)</f>
        <v>60000</v>
      </c>
      <c r="V44" s="179"/>
      <c r="W44" s="179">
        <f>SUM(U44:V44)</f>
        <v>60000</v>
      </c>
    </row>
    <row r="45" spans="1:23" s="25" customFormat="1" ht="24">
      <c r="A45" s="148">
        <v>926</v>
      </c>
      <c r="B45" s="148"/>
      <c r="C45" s="148"/>
      <c r="D45" s="35" t="s">
        <v>111</v>
      </c>
      <c r="E45" s="179"/>
      <c r="F45" s="179"/>
      <c r="G45" s="188">
        <f aca="true" t="shared" si="24" ref="G45:V46">SUM(G46)</f>
        <v>0</v>
      </c>
      <c r="H45" s="188">
        <f t="shared" si="24"/>
        <v>3200</v>
      </c>
      <c r="I45" s="188">
        <f t="shared" si="24"/>
        <v>3200</v>
      </c>
      <c r="J45" s="188">
        <f t="shared" si="24"/>
        <v>0</v>
      </c>
      <c r="K45" s="188">
        <f t="shared" si="24"/>
        <v>3200</v>
      </c>
      <c r="L45" s="188">
        <f t="shared" si="24"/>
        <v>0</v>
      </c>
      <c r="M45" s="188">
        <f t="shared" si="24"/>
        <v>3200</v>
      </c>
      <c r="N45" s="188">
        <f t="shared" si="24"/>
        <v>0</v>
      </c>
      <c r="O45" s="188">
        <f t="shared" si="24"/>
        <v>3200</v>
      </c>
      <c r="P45" s="188">
        <f t="shared" si="24"/>
        <v>0</v>
      </c>
      <c r="Q45" s="188">
        <f t="shared" si="24"/>
        <v>3200</v>
      </c>
      <c r="R45" s="188">
        <f t="shared" si="24"/>
        <v>0</v>
      </c>
      <c r="S45" s="188">
        <f t="shared" si="24"/>
        <v>3200</v>
      </c>
      <c r="T45" s="188">
        <f t="shared" si="24"/>
        <v>0</v>
      </c>
      <c r="U45" s="188">
        <f t="shared" si="24"/>
        <v>3200</v>
      </c>
      <c r="V45" s="188">
        <f t="shared" si="24"/>
        <v>0</v>
      </c>
      <c r="W45" s="188">
        <f>SUM(W46)</f>
        <v>3200</v>
      </c>
    </row>
    <row r="46" spans="1:23" s="25" customFormat="1" ht="22.5">
      <c r="A46" s="54"/>
      <c r="B46" s="54">
        <v>92605</v>
      </c>
      <c r="C46" s="54"/>
      <c r="D46" s="36" t="s">
        <v>65</v>
      </c>
      <c r="E46" s="179"/>
      <c r="F46" s="179"/>
      <c r="G46" s="179">
        <f t="shared" si="24"/>
        <v>0</v>
      </c>
      <c r="H46" s="179">
        <f t="shared" si="24"/>
        <v>3200</v>
      </c>
      <c r="I46" s="179">
        <f t="shared" si="24"/>
        <v>3200</v>
      </c>
      <c r="J46" s="179">
        <f t="shared" si="24"/>
        <v>0</v>
      </c>
      <c r="K46" s="179">
        <f t="shared" si="24"/>
        <v>3200</v>
      </c>
      <c r="L46" s="179">
        <f t="shared" si="24"/>
        <v>0</v>
      </c>
      <c r="M46" s="179">
        <f t="shared" si="24"/>
        <v>3200</v>
      </c>
      <c r="N46" s="179">
        <f t="shared" si="24"/>
        <v>0</v>
      </c>
      <c r="O46" s="179">
        <f t="shared" si="24"/>
        <v>3200</v>
      </c>
      <c r="P46" s="179">
        <f t="shared" si="24"/>
        <v>0</v>
      </c>
      <c r="Q46" s="179">
        <f t="shared" si="24"/>
        <v>3200</v>
      </c>
      <c r="R46" s="179">
        <f t="shared" si="24"/>
        <v>0</v>
      </c>
      <c r="S46" s="179">
        <f t="shared" si="24"/>
        <v>3200</v>
      </c>
      <c r="T46" s="179">
        <f t="shared" si="24"/>
        <v>0</v>
      </c>
      <c r="U46" s="179">
        <f t="shared" si="24"/>
        <v>3200</v>
      </c>
      <c r="V46" s="179">
        <f>SUM(V47)</f>
        <v>0</v>
      </c>
      <c r="W46" s="179">
        <f>SUM(W47)</f>
        <v>3200</v>
      </c>
    </row>
    <row r="47" spans="1:23" s="25" customFormat="1" ht="45">
      <c r="A47" s="54"/>
      <c r="B47" s="54"/>
      <c r="C47" s="54">
        <v>2320</v>
      </c>
      <c r="D47" s="58" t="s">
        <v>174</v>
      </c>
      <c r="E47" s="179"/>
      <c r="F47" s="179"/>
      <c r="G47" s="179">
        <v>0</v>
      </c>
      <c r="H47" s="179">
        <v>3200</v>
      </c>
      <c r="I47" s="179">
        <f>SUM(G47:H47)</f>
        <v>3200</v>
      </c>
      <c r="J47" s="179"/>
      <c r="K47" s="179">
        <f>SUM(I47:J47)</f>
        <v>3200</v>
      </c>
      <c r="L47" s="179"/>
      <c r="M47" s="179">
        <f>SUM(K47:L47)</f>
        <v>3200</v>
      </c>
      <c r="N47" s="179"/>
      <c r="O47" s="179">
        <f>SUM(M47:N47)</f>
        <v>3200</v>
      </c>
      <c r="P47" s="179"/>
      <c r="Q47" s="179">
        <f>SUM(O47:P47)</f>
        <v>3200</v>
      </c>
      <c r="R47" s="179"/>
      <c r="S47" s="179">
        <f>SUM(Q47:R47)</f>
        <v>3200</v>
      </c>
      <c r="T47" s="179"/>
      <c r="U47" s="179">
        <f>SUM(S47:T47)</f>
        <v>3200</v>
      </c>
      <c r="V47" s="179"/>
      <c r="W47" s="179">
        <f>SUM(U47:V47)</f>
        <v>3200</v>
      </c>
    </row>
    <row r="48" spans="1:23" s="25" customFormat="1" ht="25.5" customHeight="1">
      <c r="A48" s="191"/>
      <c r="B48" s="192"/>
      <c r="C48" s="193"/>
      <c r="D48" s="194" t="s">
        <v>66</v>
      </c>
      <c r="E48" s="195">
        <f>SUM(E40,E24,E13,E10,E18,E37)</f>
        <v>9077678</v>
      </c>
      <c r="F48" s="195">
        <f>SUM(F40,F24,F13,F10,F18,F37)</f>
        <v>252163</v>
      </c>
      <c r="G48" s="195">
        <f aca="true" t="shared" si="25" ref="G48:L48">SUM(G40,G24,G13,G10,G18,G37,G45)</f>
        <v>9329841</v>
      </c>
      <c r="H48" s="195">
        <f t="shared" si="25"/>
        <v>325150</v>
      </c>
      <c r="I48" s="195">
        <f t="shared" si="25"/>
        <v>9654991</v>
      </c>
      <c r="J48" s="195">
        <f t="shared" si="25"/>
        <v>32982</v>
      </c>
      <c r="K48" s="195">
        <f t="shared" si="25"/>
        <v>9687973</v>
      </c>
      <c r="L48" s="195">
        <f t="shared" si="25"/>
        <v>75000</v>
      </c>
      <c r="M48" s="195">
        <f aca="true" t="shared" si="26" ref="M48:S48">SUM(M40,M24,M13,M10,M18,M37,M45,M7)</f>
        <v>9762973</v>
      </c>
      <c r="N48" s="195">
        <f t="shared" si="26"/>
        <v>286502</v>
      </c>
      <c r="O48" s="195">
        <f t="shared" si="26"/>
        <v>10049475</v>
      </c>
      <c r="P48" s="195">
        <f t="shared" si="26"/>
        <v>21240</v>
      </c>
      <c r="Q48" s="195">
        <f t="shared" si="26"/>
        <v>10122655</v>
      </c>
      <c r="R48" s="195">
        <f t="shared" si="26"/>
        <v>240668</v>
      </c>
      <c r="S48" s="195">
        <f t="shared" si="26"/>
        <v>10363323</v>
      </c>
      <c r="T48" s="195">
        <f>SUM(T40,T24,T13,T10,T18,T37,T45,T7)</f>
        <v>0</v>
      </c>
      <c r="U48" s="195">
        <f>SUM(U40,U24,U13,U10,U18,U37,U45,U7)</f>
        <v>10363323</v>
      </c>
      <c r="V48" s="195">
        <f>SUM(V40,V24,V13,V10,V18,V37,V45,V7)</f>
        <v>-854065</v>
      </c>
      <c r="W48" s="195">
        <f>SUM(W40,W24,W13,W10,W18,W37,W45,W7)</f>
        <v>9509258</v>
      </c>
    </row>
    <row r="49" spans="1:3" ht="12.75">
      <c r="A49" s="45"/>
      <c r="B49" s="45"/>
      <c r="C49" s="45"/>
    </row>
    <row r="52" spans="5:23" ht="12.75"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</row>
  </sheetData>
  <sheetProtection/>
  <mergeCells count="1">
    <mergeCell ref="A5:U5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&amp;C&amp;8Dotacje - str.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69"/>
  <sheetViews>
    <sheetView zoomScalePageLayoutView="0" workbookViewId="0" topLeftCell="A1">
      <selection activeCell="U6" sqref="U6"/>
    </sheetView>
  </sheetViews>
  <sheetFormatPr defaultColWidth="9.00390625" defaultRowHeight="12.75"/>
  <cols>
    <col min="1" max="1" width="4.875" style="7" customWidth="1"/>
    <col min="2" max="2" width="6.875" style="7" customWidth="1"/>
    <col min="3" max="3" width="5.625" style="7" customWidth="1"/>
    <col min="4" max="4" width="40.375" style="7" customWidth="1"/>
    <col min="5" max="5" width="43.75390625" style="7" customWidth="1"/>
    <col min="6" max="6" width="19.875" style="7" hidden="1" customWidth="1"/>
    <col min="7" max="7" width="12.00390625" style="7" hidden="1" customWidth="1"/>
    <col min="8" max="8" width="41.00390625" style="7" hidden="1" customWidth="1"/>
    <col min="9" max="9" width="12.00390625" style="7" hidden="1" customWidth="1"/>
    <col min="10" max="11" width="14.25390625" style="7" hidden="1" customWidth="1"/>
    <col min="12" max="12" width="0.12890625" style="7" hidden="1" customWidth="1"/>
    <col min="13" max="19" width="14.25390625" style="7" hidden="1" customWidth="1"/>
    <col min="20" max="22" width="14.25390625" style="7" customWidth="1"/>
  </cols>
  <sheetData>
    <row r="1" spans="6:21" ht="12.75">
      <c r="F1" s="7" t="s">
        <v>196</v>
      </c>
      <c r="H1" s="46" t="s">
        <v>274</v>
      </c>
      <c r="J1" s="46" t="s">
        <v>315</v>
      </c>
      <c r="L1" s="46" t="s">
        <v>334</v>
      </c>
      <c r="M1" s="46"/>
      <c r="N1" s="46" t="s">
        <v>351</v>
      </c>
      <c r="O1" s="46"/>
      <c r="P1" s="46" t="s">
        <v>358</v>
      </c>
      <c r="Q1" s="46"/>
      <c r="R1" s="46" t="s">
        <v>488</v>
      </c>
      <c r="S1" s="46"/>
      <c r="T1" s="46" t="s">
        <v>501</v>
      </c>
      <c r="U1" s="46"/>
    </row>
    <row r="2" spans="6:21" ht="12.75">
      <c r="F2" s="7" t="s">
        <v>178</v>
      </c>
      <c r="H2" s="46" t="s">
        <v>273</v>
      </c>
      <c r="J2" s="46" t="s">
        <v>314</v>
      </c>
      <c r="L2" s="46" t="s">
        <v>335</v>
      </c>
      <c r="M2" s="46"/>
      <c r="N2" s="46" t="s">
        <v>350</v>
      </c>
      <c r="O2" s="46"/>
      <c r="P2" s="46" t="s">
        <v>357</v>
      </c>
      <c r="Q2" s="46"/>
      <c r="R2" s="46" t="s">
        <v>486</v>
      </c>
      <c r="S2" s="46"/>
      <c r="T2" s="46" t="s">
        <v>497</v>
      </c>
      <c r="U2" s="46"/>
    </row>
    <row r="3" spans="6:21" ht="12.75">
      <c r="F3" s="7" t="s">
        <v>119</v>
      </c>
      <c r="H3" s="46" t="s">
        <v>275</v>
      </c>
      <c r="J3" s="46" t="s">
        <v>274</v>
      </c>
      <c r="L3" s="46" t="s">
        <v>315</v>
      </c>
      <c r="M3" s="46"/>
      <c r="N3" s="46" t="s">
        <v>334</v>
      </c>
      <c r="O3" s="46"/>
      <c r="P3" s="46" t="s">
        <v>351</v>
      </c>
      <c r="Q3" s="46"/>
      <c r="R3" s="46" t="s">
        <v>358</v>
      </c>
      <c r="S3" s="46"/>
      <c r="T3" s="46" t="s">
        <v>488</v>
      </c>
      <c r="U3" s="46"/>
    </row>
    <row r="4" spans="6:21" ht="12.75">
      <c r="F4" s="7" t="s">
        <v>179</v>
      </c>
      <c r="H4" s="46" t="s">
        <v>271</v>
      </c>
      <c r="J4" s="46" t="s">
        <v>297</v>
      </c>
      <c r="L4" s="46" t="s">
        <v>316</v>
      </c>
      <c r="M4" s="46"/>
      <c r="N4" s="46" t="s">
        <v>339</v>
      </c>
      <c r="O4" s="46"/>
      <c r="P4" s="46" t="s">
        <v>355</v>
      </c>
      <c r="Q4" s="46"/>
      <c r="R4" s="46" t="s">
        <v>359</v>
      </c>
      <c r="S4" s="46"/>
      <c r="T4" s="46" t="s">
        <v>490</v>
      </c>
      <c r="U4" s="46"/>
    </row>
    <row r="5" spans="1:22" ht="53.25" customHeight="1">
      <c r="A5" s="242" t="s">
        <v>276</v>
      </c>
      <c r="B5" s="242"/>
      <c r="C5" s="242"/>
      <c r="D5" s="242"/>
      <c r="E5" s="242"/>
      <c r="F5" s="242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ht="31.5" customHeight="1">
      <c r="A6" s="246" t="s">
        <v>260</v>
      </c>
      <c r="B6" s="246"/>
      <c r="C6" s="246"/>
      <c r="D6" s="246"/>
      <c r="E6" s="246"/>
      <c r="F6" s="24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 s="78" customFormat="1" ht="29.25" customHeight="1">
      <c r="A7" s="4" t="s">
        <v>0</v>
      </c>
      <c r="B7" s="4" t="s">
        <v>1</v>
      </c>
      <c r="C7" s="4" t="s">
        <v>2</v>
      </c>
      <c r="D7" s="4" t="s">
        <v>197</v>
      </c>
      <c r="E7" s="4" t="s">
        <v>198</v>
      </c>
      <c r="F7" s="82" t="s">
        <v>199</v>
      </c>
      <c r="G7" s="82" t="s">
        <v>264</v>
      </c>
      <c r="H7" s="82" t="s">
        <v>116</v>
      </c>
      <c r="I7" s="82" t="s">
        <v>264</v>
      </c>
      <c r="J7" s="82" t="s">
        <v>117</v>
      </c>
      <c r="K7" s="82" t="s">
        <v>264</v>
      </c>
      <c r="L7" s="82" t="s">
        <v>117</v>
      </c>
      <c r="M7" s="82" t="s">
        <v>264</v>
      </c>
      <c r="N7" s="82" t="s">
        <v>117</v>
      </c>
      <c r="O7" s="82" t="s">
        <v>264</v>
      </c>
      <c r="P7" s="82" t="s">
        <v>117</v>
      </c>
      <c r="Q7" s="82" t="s">
        <v>264</v>
      </c>
      <c r="R7" s="82" t="s">
        <v>117</v>
      </c>
      <c r="S7" s="82" t="s">
        <v>264</v>
      </c>
      <c r="T7" s="82" t="s">
        <v>117</v>
      </c>
      <c r="U7" s="82" t="s">
        <v>264</v>
      </c>
      <c r="V7" s="82" t="s">
        <v>268</v>
      </c>
    </row>
    <row r="8" spans="1:22" s="88" customFormat="1" ht="27" customHeight="1">
      <c r="A8" s="248" t="s">
        <v>231</v>
      </c>
      <c r="B8" s="248"/>
      <c r="C8" s="248"/>
      <c r="D8" s="248"/>
      <c r="E8" s="87"/>
      <c r="F8" s="19">
        <f aca="true" t="shared" si="0" ref="F8:L8">SUM(F9:F10)</f>
        <v>3368735</v>
      </c>
      <c r="G8" s="19">
        <f t="shared" si="0"/>
        <v>0</v>
      </c>
      <c r="H8" s="19">
        <f t="shared" si="0"/>
        <v>3368735</v>
      </c>
      <c r="I8" s="19">
        <f t="shared" si="0"/>
        <v>0</v>
      </c>
      <c r="J8" s="19">
        <f t="shared" si="0"/>
        <v>3368735</v>
      </c>
      <c r="K8" s="19">
        <f t="shared" si="0"/>
        <v>500</v>
      </c>
      <c r="L8" s="19">
        <f t="shared" si="0"/>
        <v>3369235</v>
      </c>
      <c r="M8" s="19">
        <f aca="true" t="shared" si="1" ref="M8:R8">SUM(M9:M10)</f>
        <v>0</v>
      </c>
      <c r="N8" s="19">
        <f t="shared" si="1"/>
        <v>3369235</v>
      </c>
      <c r="O8" s="19">
        <f t="shared" si="1"/>
        <v>0</v>
      </c>
      <c r="P8" s="19">
        <f t="shared" si="1"/>
        <v>3369235</v>
      </c>
      <c r="Q8" s="19">
        <f t="shared" si="1"/>
        <v>0</v>
      </c>
      <c r="R8" s="19">
        <f t="shared" si="1"/>
        <v>3369235</v>
      </c>
      <c r="S8" s="19">
        <f>SUM(S9:S10)</f>
        <v>29877</v>
      </c>
      <c r="T8" s="19">
        <f>SUM(T9:T10)</f>
        <v>3399112</v>
      </c>
      <c r="U8" s="19">
        <f>SUM(U9:U10)</f>
        <v>0</v>
      </c>
      <c r="V8" s="19">
        <f>SUM(V9:V10)</f>
        <v>3399112</v>
      </c>
    </row>
    <row r="9" spans="1:22" s="89" customFormat="1" ht="25.5" customHeight="1">
      <c r="A9" s="1">
        <v>801</v>
      </c>
      <c r="B9" s="2">
        <v>80104</v>
      </c>
      <c r="C9" s="114">
        <v>2510</v>
      </c>
      <c r="D9" s="84" t="s">
        <v>200</v>
      </c>
      <c r="E9" s="84" t="s">
        <v>201</v>
      </c>
      <c r="F9" s="65">
        <v>3355048</v>
      </c>
      <c r="G9" s="65"/>
      <c r="H9" s="65">
        <f>SUM(F9:G9)</f>
        <v>3355048</v>
      </c>
      <c r="I9" s="65"/>
      <c r="J9" s="65">
        <f>SUM(H9:I9)</f>
        <v>3355048</v>
      </c>
      <c r="K9" s="65">
        <v>500</v>
      </c>
      <c r="L9" s="65">
        <f>SUM(J9:K9)</f>
        <v>3355548</v>
      </c>
      <c r="M9" s="65"/>
      <c r="N9" s="65">
        <f>SUM(L9:M9)</f>
        <v>3355548</v>
      </c>
      <c r="O9" s="65"/>
      <c r="P9" s="65">
        <f>SUM(N9:O9)</f>
        <v>3355548</v>
      </c>
      <c r="Q9" s="65"/>
      <c r="R9" s="65">
        <f>SUM(P9:Q9)</f>
        <v>3355548</v>
      </c>
      <c r="S9" s="65">
        <v>29877</v>
      </c>
      <c r="T9" s="65">
        <f>SUM(R9:S9)</f>
        <v>3385425</v>
      </c>
      <c r="U9" s="65"/>
      <c r="V9" s="65">
        <f>SUM(T9:U9)</f>
        <v>3385425</v>
      </c>
    </row>
    <row r="10" spans="1:22" s="89" customFormat="1" ht="25.5" customHeight="1">
      <c r="A10" s="1">
        <v>801</v>
      </c>
      <c r="B10" s="1">
        <v>80146</v>
      </c>
      <c r="C10" s="2">
        <v>2510</v>
      </c>
      <c r="D10" s="115" t="s">
        <v>200</v>
      </c>
      <c r="E10" s="115" t="s">
        <v>202</v>
      </c>
      <c r="F10" s="116">
        <v>13687</v>
      </c>
      <c r="G10" s="116"/>
      <c r="H10" s="65">
        <f>SUM(F10:G10)</f>
        <v>13687</v>
      </c>
      <c r="I10" s="116"/>
      <c r="J10" s="65">
        <f>SUM(H10:I10)</f>
        <v>13687</v>
      </c>
      <c r="K10" s="116"/>
      <c r="L10" s="65">
        <f>SUM(J10:K10)</f>
        <v>13687</v>
      </c>
      <c r="M10" s="116"/>
      <c r="N10" s="65">
        <f>SUM(L10:M10)</f>
        <v>13687</v>
      </c>
      <c r="O10" s="116"/>
      <c r="P10" s="65">
        <f>SUM(N10:O10)</f>
        <v>13687</v>
      </c>
      <c r="Q10" s="116"/>
      <c r="R10" s="65">
        <f>SUM(P10:Q10)</f>
        <v>13687</v>
      </c>
      <c r="S10" s="116"/>
      <c r="T10" s="65">
        <f>SUM(R10:S10)</f>
        <v>13687</v>
      </c>
      <c r="U10" s="116"/>
      <c r="V10" s="65">
        <f>SUM(T10:U10)</f>
        <v>13687</v>
      </c>
    </row>
    <row r="11" spans="1:22" s="88" customFormat="1" ht="26.25" customHeight="1">
      <c r="A11" s="248" t="s">
        <v>232</v>
      </c>
      <c r="B11" s="248"/>
      <c r="C11" s="248"/>
      <c r="D11" s="248"/>
      <c r="E11" s="87"/>
      <c r="F11" s="19">
        <f aca="true" t="shared" si="2" ref="F11:L11">SUM(F12:F16)</f>
        <v>609792</v>
      </c>
      <c r="G11" s="19">
        <f t="shared" si="2"/>
        <v>0</v>
      </c>
      <c r="H11" s="19">
        <f t="shared" si="2"/>
        <v>609792</v>
      </c>
      <c r="I11" s="19">
        <f t="shared" si="2"/>
        <v>0</v>
      </c>
      <c r="J11" s="19">
        <f t="shared" si="2"/>
        <v>609792</v>
      </c>
      <c r="K11" s="19">
        <f t="shared" si="2"/>
        <v>0</v>
      </c>
      <c r="L11" s="19">
        <f t="shared" si="2"/>
        <v>609792</v>
      </c>
      <c r="M11" s="19">
        <f aca="true" t="shared" si="3" ref="M11:R11">SUM(M12:M16)</f>
        <v>0</v>
      </c>
      <c r="N11" s="19">
        <f t="shared" si="3"/>
        <v>609792</v>
      </c>
      <c r="O11" s="19">
        <f t="shared" si="3"/>
        <v>0</v>
      </c>
      <c r="P11" s="19">
        <f t="shared" si="3"/>
        <v>609792</v>
      </c>
      <c r="Q11" s="19">
        <f t="shared" si="3"/>
        <v>0</v>
      </c>
      <c r="R11" s="19">
        <f t="shared" si="3"/>
        <v>609792</v>
      </c>
      <c r="S11" s="19">
        <f>SUM(S12:S16)</f>
        <v>87865</v>
      </c>
      <c r="T11" s="19">
        <f>SUM(T12:T16)</f>
        <v>697657</v>
      </c>
      <c r="U11" s="19">
        <f>SUM(U12:U16)</f>
        <v>0</v>
      </c>
      <c r="V11" s="19">
        <f>SUM(V12:V16)</f>
        <v>697657</v>
      </c>
    </row>
    <row r="12" spans="1:22" s="89" customFormat="1" ht="24">
      <c r="A12" s="1">
        <v>801</v>
      </c>
      <c r="B12" s="2">
        <v>80101</v>
      </c>
      <c r="C12" s="114">
        <v>2540</v>
      </c>
      <c r="D12" s="84" t="s">
        <v>203</v>
      </c>
      <c r="E12" s="84" t="s">
        <v>204</v>
      </c>
      <c r="F12" s="65">
        <v>447149</v>
      </c>
      <c r="G12" s="65"/>
      <c r="H12" s="65">
        <f>SUM(F12:G12)</f>
        <v>447149</v>
      </c>
      <c r="I12" s="65"/>
      <c r="J12" s="65">
        <f>SUM(H12:I12)</f>
        <v>447149</v>
      </c>
      <c r="K12" s="65"/>
      <c r="L12" s="65">
        <f>SUM(J12:K12)</f>
        <v>447149</v>
      </c>
      <c r="M12" s="65"/>
      <c r="N12" s="65">
        <f>SUM(L12:M12)</f>
        <v>447149</v>
      </c>
      <c r="O12" s="65"/>
      <c r="P12" s="65">
        <f>SUM(N12:O12)</f>
        <v>447149</v>
      </c>
      <c r="Q12" s="65"/>
      <c r="R12" s="65">
        <f>SUM(P12:Q12)</f>
        <v>447149</v>
      </c>
      <c r="S12" s="65">
        <v>-149040</v>
      </c>
      <c r="T12" s="65">
        <f>SUM(R12:S12)</f>
        <v>298109</v>
      </c>
      <c r="U12" s="65"/>
      <c r="V12" s="65">
        <f>SUM(T12:U12)</f>
        <v>298109</v>
      </c>
    </row>
    <row r="13" spans="1:22" s="89" customFormat="1" ht="24">
      <c r="A13" s="1">
        <v>801</v>
      </c>
      <c r="B13" s="83">
        <v>80101</v>
      </c>
      <c r="C13" s="114">
        <v>2590</v>
      </c>
      <c r="D13" s="84" t="s">
        <v>203</v>
      </c>
      <c r="E13" s="84" t="s">
        <v>204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>
        <v>0</v>
      </c>
      <c r="S13" s="65">
        <v>239259</v>
      </c>
      <c r="T13" s="65">
        <f>SUM(R13:S13)</f>
        <v>239259</v>
      </c>
      <c r="U13" s="65"/>
      <c r="V13" s="65">
        <f>SUM(T13:U13)</f>
        <v>239259</v>
      </c>
    </row>
    <row r="14" spans="1:22" s="89" customFormat="1" ht="24">
      <c r="A14" s="1">
        <v>801</v>
      </c>
      <c r="B14" s="117">
        <v>80103</v>
      </c>
      <c r="C14" s="2">
        <v>2540</v>
      </c>
      <c r="D14" s="90" t="s">
        <v>205</v>
      </c>
      <c r="E14" s="84" t="s">
        <v>206</v>
      </c>
      <c r="F14" s="65">
        <v>61433</v>
      </c>
      <c r="G14" s="65"/>
      <c r="H14" s="65">
        <f>SUM(F14:G14)</f>
        <v>61433</v>
      </c>
      <c r="I14" s="65"/>
      <c r="J14" s="65">
        <f>SUM(H14:I14)</f>
        <v>61433</v>
      </c>
      <c r="K14" s="65"/>
      <c r="L14" s="65">
        <f>SUM(J14:K14)</f>
        <v>61433</v>
      </c>
      <c r="M14" s="65"/>
      <c r="N14" s="65">
        <f>SUM(L14:M14)</f>
        <v>61433</v>
      </c>
      <c r="O14" s="65"/>
      <c r="P14" s="65">
        <f>SUM(N14:O14)</f>
        <v>61433</v>
      </c>
      <c r="Q14" s="65"/>
      <c r="R14" s="65">
        <f>SUM(P14:Q14)</f>
        <v>61433</v>
      </c>
      <c r="S14" s="65">
        <v>-20400</v>
      </c>
      <c r="T14" s="65">
        <f>SUM(R14:S14)</f>
        <v>41033</v>
      </c>
      <c r="U14" s="65"/>
      <c r="V14" s="65">
        <f>SUM(T14:U14)</f>
        <v>41033</v>
      </c>
    </row>
    <row r="15" spans="1:22" s="89" customFormat="1" ht="24">
      <c r="A15" s="1">
        <v>801</v>
      </c>
      <c r="B15" s="117">
        <v>80103</v>
      </c>
      <c r="C15" s="2">
        <v>2590</v>
      </c>
      <c r="D15" s="90" t="s">
        <v>205</v>
      </c>
      <c r="E15" s="84" t="s">
        <v>206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>
        <v>0</v>
      </c>
      <c r="S15" s="65">
        <v>9321</v>
      </c>
      <c r="T15" s="65">
        <f>SUM(R15:S15)</f>
        <v>9321</v>
      </c>
      <c r="U15" s="65"/>
      <c r="V15" s="65">
        <f>SUM(T15:U15)</f>
        <v>9321</v>
      </c>
    </row>
    <row r="16" spans="1:22" s="89" customFormat="1" ht="19.5" customHeight="1">
      <c r="A16" s="1">
        <v>801</v>
      </c>
      <c r="B16" s="117">
        <v>80110</v>
      </c>
      <c r="C16" s="2">
        <v>2590</v>
      </c>
      <c r="D16" s="90" t="s">
        <v>237</v>
      </c>
      <c r="E16" s="118" t="s">
        <v>238</v>
      </c>
      <c r="F16" s="65">
        <v>101210</v>
      </c>
      <c r="G16" s="65"/>
      <c r="H16" s="65">
        <f>SUM(F16:G16)</f>
        <v>101210</v>
      </c>
      <c r="I16" s="65"/>
      <c r="J16" s="65">
        <f>SUM(H16:I16)</f>
        <v>101210</v>
      </c>
      <c r="K16" s="65"/>
      <c r="L16" s="65">
        <f>SUM(J16:K16)</f>
        <v>101210</v>
      </c>
      <c r="M16" s="65"/>
      <c r="N16" s="65">
        <f>SUM(L16:M16)</f>
        <v>101210</v>
      </c>
      <c r="O16" s="65"/>
      <c r="P16" s="65">
        <f>SUM(N16:O16)</f>
        <v>101210</v>
      </c>
      <c r="Q16" s="65"/>
      <c r="R16" s="65">
        <f>SUM(P16:Q16)</f>
        <v>101210</v>
      </c>
      <c r="S16" s="65">
        <v>8725</v>
      </c>
      <c r="T16" s="65">
        <f>SUM(R16:S16)</f>
        <v>109935</v>
      </c>
      <c r="U16" s="65"/>
      <c r="V16" s="65">
        <f>SUM(T16:U16)</f>
        <v>109935</v>
      </c>
    </row>
    <row r="17" spans="1:22" s="88" customFormat="1" ht="28.5" customHeight="1">
      <c r="A17" s="248" t="s">
        <v>233</v>
      </c>
      <c r="B17" s="248"/>
      <c r="C17" s="248"/>
      <c r="D17" s="248"/>
      <c r="E17" s="87"/>
      <c r="F17" s="19">
        <f aca="true" t="shared" si="4" ref="F17:L17">SUM(F18:F23)</f>
        <v>2502522</v>
      </c>
      <c r="G17" s="19">
        <f t="shared" si="4"/>
        <v>28000</v>
      </c>
      <c r="H17" s="19">
        <f t="shared" si="4"/>
        <v>2530522</v>
      </c>
      <c r="I17" s="19">
        <f t="shared" si="4"/>
        <v>0</v>
      </c>
      <c r="J17" s="19">
        <f t="shared" si="4"/>
        <v>2530522</v>
      </c>
      <c r="K17" s="19">
        <f t="shared" si="4"/>
        <v>7400</v>
      </c>
      <c r="L17" s="19">
        <f t="shared" si="4"/>
        <v>2537922</v>
      </c>
      <c r="M17" s="19">
        <f aca="true" t="shared" si="5" ref="M17:R17">SUM(M18:M23)</f>
        <v>0</v>
      </c>
      <c r="N17" s="19">
        <f t="shared" si="5"/>
        <v>2537922</v>
      </c>
      <c r="O17" s="19">
        <f t="shared" si="5"/>
        <v>0</v>
      </c>
      <c r="P17" s="19">
        <f t="shared" si="5"/>
        <v>2537922</v>
      </c>
      <c r="Q17" s="19">
        <f t="shared" si="5"/>
        <v>0</v>
      </c>
      <c r="R17" s="19">
        <f t="shared" si="5"/>
        <v>2537922</v>
      </c>
      <c r="S17" s="19">
        <f>SUM(S18:S23)</f>
        <v>-66000</v>
      </c>
      <c r="T17" s="19">
        <f>SUM(T18:T23)</f>
        <v>2471922</v>
      </c>
      <c r="U17" s="19">
        <f>SUM(U18:U23)</f>
        <v>0</v>
      </c>
      <c r="V17" s="19">
        <f>SUM(V18:V23)</f>
        <v>2471922</v>
      </c>
    </row>
    <row r="18" spans="1:22" s="89" customFormat="1" ht="24.75" customHeight="1">
      <c r="A18" s="1" t="s">
        <v>61</v>
      </c>
      <c r="B18" s="2">
        <v>92109</v>
      </c>
      <c r="C18" s="3">
        <v>2480</v>
      </c>
      <c r="D18" s="84" t="s">
        <v>207</v>
      </c>
      <c r="E18" s="84" t="s">
        <v>208</v>
      </c>
      <c r="F18" s="65">
        <v>725435</v>
      </c>
      <c r="G18" s="65">
        <f>-10000-5000-10000-10000-15000-5000+83000</f>
        <v>28000</v>
      </c>
      <c r="H18" s="65">
        <f>SUM(F18:G18)</f>
        <v>753435</v>
      </c>
      <c r="I18" s="65"/>
      <c r="J18" s="65">
        <f>SUM(H18:I18)</f>
        <v>753435</v>
      </c>
      <c r="K18" s="65"/>
      <c r="L18" s="65">
        <f aca="true" t="shared" si="6" ref="L18:L23">SUM(J18:K18)</f>
        <v>753435</v>
      </c>
      <c r="M18" s="65"/>
      <c r="N18" s="65">
        <f aca="true" t="shared" si="7" ref="N18:N23">SUM(L18:M18)</f>
        <v>753435</v>
      </c>
      <c r="O18" s="65"/>
      <c r="P18" s="65">
        <f aca="true" t="shared" si="8" ref="P18:P23">SUM(N18:O18)</f>
        <v>753435</v>
      </c>
      <c r="Q18" s="65"/>
      <c r="R18" s="65">
        <f aca="true" t="shared" si="9" ref="R18:R23">SUM(P18:Q18)</f>
        <v>753435</v>
      </c>
      <c r="S18" s="65"/>
      <c r="T18" s="65">
        <f aca="true" t="shared" si="10" ref="T18:T23">SUM(R18:S18)</f>
        <v>753435</v>
      </c>
      <c r="U18" s="65"/>
      <c r="V18" s="65">
        <f aca="true" t="shared" si="11" ref="V18:V23">SUM(T18:U18)</f>
        <v>753435</v>
      </c>
    </row>
    <row r="19" spans="1:22" s="89" customFormat="1" ht="24.75" customHeight="1">
      <c r="A19" s="1">
        <v>921</v>
      </c>
      <c r="B19" s="2">
        <v>92109</v>
      </c>
      <c r="C19" s="3">
        <v>2480</v>
      </c>
      <c r="D19" s="84" t="s">
        <v>207</v>
      </c>
      <c r="E19" s="84" t="s">
        <v>210</v>
      </c>
      <c r="F19" s="65"/>
      <c r="G19" s="65"/>
      <c r="H19" s="65"/>
      <c r="I19" s="65"/>
      <c r="J19" s="65">
        <v>0</v>
      </c>
      <c r="K19" s="65">
        <v>4000</v>
      </c>
      <c r="L19" s="65">
        <f t="shared" si="6"/>
        <v>4000</v>
      </c>
      <c r="M19" s="65"/>
      <c r="N19" s="65">
        <f t="shared" si="7"/>
        <v>4000</v>
      </c>
      <c r="O19" s="65"/>
      <c r="P19" s="65">
        <f t="shared" si="8"/>
        <v>4000</v>
      </c>
      <c r="Q19" s="65"/>
      <c r="R19" s="65">
        <f t="shared" si="9"/>
        <v>4000</v>
      </c>
      <c r="S19" s="65"/>
      <c r="T19" s="65">
        <f t="shared" si="10"/>
        <v>4000</v>
      </c>
      <c r="U19" s="65"/>
      <c r="V19" s="65">
        <f t="shared" si="11"/>
        <v>4000</v>
      </c>
    </row>
    <row r="20" spans="1:22" s="89" customFormat="1" ht="24.75" customHeight="1">
      <c r="A20" s="1">
        <v>921</v>
      </c>
      <c r="B20" s="1" t="s">
        <v>62</v>
      </c>
      <c r="C20" s="3">
        <v>2480</v>
      </c>
      <c r="D20" s="84" t="s">
        <v>209</v>
      </c>
      <c r="E20" s="84" t="s">
        <v>208</v>
      </c>
      <c r="F20" s="65">
        <v>1031087</v>
      </c>
      <c r="G20" s="65"/>
      <c r="H20" s="65">
        <f>SUM(F20:G20)</f>
        <v>1031087</v>
      </c>
      <c r="I20" s="65"/>
      <c r="J20" s="65">
        <f>SUM(H20:I20)</f>
        <v>1031087</v>
      </c>
      <c r="K20" s="65"/>
      <c r="L20" s="65">
        <f t="shared" si="6"/>
        <v>1031087</v>
      </c>
      <c r="M20" s="65"/>
      <c r="N20" s="65">
        <f t="shared" si="7"/>
        <v>1031087</v>
      </c>
      <c r="O20" s="65"/>
      <c r="P20" s="65">
        <f t="shared" si="8"/>
        <v>1031087</v>
      </c>
      <c r="Q20" s="65"/>
      <c r="R20" s="65">
        <f t="shared" si="9"/>
        <v>1031087</v>
      </c>
      <c r="S20" s="65"/>
      <c r="T20" s="65">
        <f t="shared" si="10"/>
        <v>1031087</v>
      </c>
      <c r="U20" s="65"/>
      <c r="V20" s="65">
        <f t="shared" si="11"/>
        <v>1031087</v>
      </c>
    </row>
    <row r="21" spans="1:22" s="89" customFormat="1" ht="24">
      <c r="A21" s="1">
        <v>921</v>
      </c>
      <c r="B21" s="1" t="s">
        <v>62</v>
      </c>
      <c r="C21" s="3">
        <v>2480</v>
      </c>
      <c r="D21" s="84" t="s">
        <v>209</v>
      </c>
      <c r="E21" s="84" t="s">
        <v>210</v>
      </c>
      <c r="F21" s="116">
        <v>60000</v>
      </c>
      <c r="G21" s="116"/>
      <c r="H21" s="65">
        <f>SUM(F21:G21)</f>
        <v>60000</v>
      </c>
      <c r="I21" s="116"/>
      <c r="J21" s="65">
        <f>SUM(H21:I21)</f>
        <v>60000</v>
      </c>
      <c r="K21" s="116"/>
      <c r="L21" s="65">
        <f t="shared" si="6"/>
        <v>60000</v>
      </c>
      <c r="M21" s="116"/>
      <c r="N21" s="65">
        <f t="shared" si="7"/>
        <v>60000</v>
      </c>
      <c r="O21" s="116"/>
      <c r="P21" s="65">
        <f t="shared" si="8"/>
        <v>60000</v>
      </c>
      <c r="Q21" s="116"/>
      <c r="R21" s="65">
        <f t="shared" si="9"/>
        <v>60000</v>
      </c>
      <c r="S21" s="116"/>
      <c r="T21" s="65">
        <f t="shared" si="10"/>
        <v>60000</v>
      </c>
      <c r="U21" s="116"/>
      <c r="V21" s="65">
        <f t="shared" si="11"/>
        <v>60000</v>
      </c>
    </row>
    <row r="22" spans="1:22" s="89" customFormat="1" ht="24">
      <c r="A22" s="1">
        <v>921</v>
      </c>
      <c r="B22" s="1">
        <v>92118</v>
      </c>
      <c r="C22" s="3">
        <v>2480</v>
      </c>
      <c r="D22" s="20" t="s">
        <v>211</v>
      </c>
      <c r="E22" s="84" t="s">
        <v>210</v>
      </c>
      <c r="F22" s="116"/>
      <c r="G22" s="116"/>
      <c r="H22" s="65"/>
      <c r="I22" s="116"/>
      <c r="J22" s="65">
        <v>0</v>
      </c>
      <c r="K22" s="116">
        <v>3400</v>
      </c>
      <c r="L22" s="65">
        <f t="shared" si="6"/>
        <v>3400</v>
      </c>
      <c r="M22" s="116"/>
      <c r="N22" s="65">
        <f t="shared" si="7"/>
        <v>3400</v>
      </c>
      <c r="O22" s="116"/>
      <c r="P22" s="65">
        <f t="shared" si="8"/>
        <v>3400</v>
      </c>
      <c r="Q22" s="116"/>
      <c r="R22" s="65">
        <f t="shared" si="9"/>
        <v>3400</v>
      </c>
      <c r="S22" s="116"/>
      <c r="T22" s="65">
        <f t="shared" si="10"/>
        <v>3400</v>
      </c>
      <c r="U22" s="116"/>
      <c r="V22" s="65">
        <f t="shared" si="11"/>
        <v>3400</v>
      </c>
    </row>
    <row r="23" spans="1:22" s="89" customFormat="1" ht="24">
      <c r="A23" s="1">
        <v>921</v>
      </c>
      <c r="B23" s="1" t="s">
        <v>113</v>
      </c>
      <c r="C23" s="2">
        <v>2480</v>
      </c>
      <c r="D23" s="20" t="s">
        <v>211</v>
      </c>
      <c r="E23" s="84" t="s">
        <v>208</v>
      </c>
      <c r="F23" s="65">
        <v>686000</v>
      </c>
      <c r="G23" s="65"/>
      <c r="H23" s="65">
        <f>SUM(F23:G23)</f>
        <v>686000</v>
      </c>
      <c r="I23" s="65"/>
      <c r="J23" s="65">
        <f>SUM(H23:I23)</f>
        <v>686000</v>
      </c>
      <c r="K23" s="65"/>
      <c r="L23" s="65">
        <f t="shared" si="6"/>
        <v>686000</v>
      </c>
      <c r="M23" s="65"/>
      <c r="N23" s="65">
        <f t="shared" si="7"/>
        <v>686000</v>
      </c>
      <c r="O23" s="65"/>
      <c r="P23" s="65">
        <f t="shared" si="8"/>
        <v>686000</v>
      </c>
      <c r="Q23" s="65"/>
      <c r="R23" s="65">
        <f t="shared" si="9"/>
        <v>686000</v>
      </c>
      <c r="S23" s="65">
        <f>-96000+15000+15000</f>
        <v>-66000</v>
      </c>
      <c r="T23" s="65">
        <f t="shared" si="10"/>
        <v>620000</v>
      </c>
      <c r="U23" s="65"/>
      <c r="V23" s="65">
        <f t="shared" si="11"/>
        <v>620000</v>
      </c>
    </row>
    <row r="24" spans="1:22" s="88" customFormat="1" ht="29.25" customHeight="1">
      <c r="A24" s="248" t="s">
        <v>244</v>
      </c>
      <c r="B24" s="248"/>
      <c r="C24" s="248"/>
      <c r="D24" s="248"/>
      <c r="E24" s="87"/>
      <c r="F24" s="19">
        <f>SUM(F26:F47)</f>
        <v>467650</v>
      </c>
      <c r="G24" s="19">
        <f>SUM(G26:G47)</f>
        <v>-435000</v>
      </c>
      <c r="H24" s="19">
        <f>SUM(H26:H47)</f>
        <v>32650</v>
      </c>
      <c r="I24" s="19">
        <f>SUM(I26:I47)</f>
        <v>511010</v>
      </c>
      <c r="J24" s="19">
        <f aca="true" t="shared" si="12" ref="J24:P24">SUM(J25:J47)</f>
        <v>543660</v>
      </c>
      <c r="K24" s="19">
        <f t="shared" si="12"/>
        <v>45000</v>
      </c>
      <c r="L24" s="19">
        <f t="shared" si="12"/>
        <v>588660</v>
      </c>
      <c r="M24" s="19">
        <f t="shared" si="12"/>
        <v>0</v>
      </c>
      <c r="N24" s="19">
        <f t="shared" si="12"/>
        <v>588660</v>
      </c>
      <c r="O24" s="19">
        <f t="shared" si="12"/>
        <v>0</v>
      </c>
      <c r="P24" s="19">
        <f t="shared" si="12"/>
        <v>588660</v>
      </c>
      <c r="Q24" s="19">
        <f aca="true" t="shared" si="13" ref="Q24:V24">SUM(Q25:Q47)</f>
        <v>38250</v>
      </c>
      <c r="R24" s="19">
        <f t="shared" si="13"/>
        <v>626910</v>
      </c>
      <c r="S24" s="19">
        <f t="shared" si="13"/>
        <v>0</v>
      </c>
      <c r="T24" s="19">
        <f t="shared" si="13"/>
        <v>626910</v>
      </c>
      <c r="U24" s="19">
        <f t="shared" si="13"/>
        <v>5633</v>
      </c>
      <c r="V24" s="19">
        <f t="shared" si="13"/>
        <v>632543</v>
      </c>
    </row>
    <row r="25" spans="1:22" s="125" customFormat="1" ht="36">
      <c r="A25" s="155" t="s">
        <v>4</v>
      </c>
      <c r="B25" s="155" t="s">
        <v>305</v>
      </c>
      <c r="C25" s="152">
        <v>2830</v>
      </c>
      <c r="D25" s="128" t="s">
        <v>311</v>
      </c>
      <c r="E25" s="157" t="s">
        <v>312</v>
      </c>
      <c r="F25" s="122"/>
      <c r="G25" s="122"/>
      <c r="H25" s="122"/>
      <c r="I25" s="122"/>
      <c r="J25" s="122">
        <v>0</v>
      </c>
      <c r="K25" s="122">
        <v>45000</v>
      </c>
      <c r="L25" s="122">
        <f>SUM(J25:K25)</f>
        <v>45000</v>
      </c>
      <c r="M25" s="122"/>
      <c r="N25" s="122">
        <f>SUM(L25:M25)</f>
        <v>45000</v>
      </c>
      <c r="O25" s="122"/>
      <c r="P25" s="122">
        <f>SUM(N25:O25)</f>
        <v>45000</v>
      </c>
      <c r="Q25" s="122"/>
      <c r="R25" s="122">
        <f>SUM(P25:Q25)</f>
        <v>45000</v>
      </c>
      <c r="S25" s="122"/>
      <c r="T25" s="122">
        <f>SUM(R25:S25)</f>
        <v>45000</v>
      </c>
      <c r="U25" s="122"/>
      <c r="V25" s="122">
        <f>SUM(T25:U25)</f>
        <v>45000</v>
      </c>
    </row>
    <row r="26" spans="1:22" s="111" customFormat="1" ht="25.5" customHeight="1">
      <c r="A26" s="119">
        <v>754</v>
      </c>
      <c r="B26" s="119">
        <v>75412</v>
      </c>
      <c r="C26" s="152">
        <v>2820</v>
      </c>
      <c r="D26" s="120" t="s">
        <v>245</v>
      </c>
      <c r="E26" s="121" t="s">
        <v>248</v>
      </c>
      <c r="F26" s="122">
        <v>10000</v>
      </c>
      <c r="G26" s="122"/>
      <c r="H26" s="122">
        <f>SUM(F26:G26)</f>
        <v>10000</v>
      </c>
      <c r="I26" s="122"/>
      <c r="J26" s="122">
        <f aca="true" t="shared" si="14" ref="J26:J47">SUM(H26:I26)</f>
        <v>10000</v>
      </c>
      <c r="K26" s="122"/>
      <c r="L26" s="122">
        <f aca="true" t="shared" si="15" ref="L26:L47">SUM(J26:K26)</f>
        <v>10000</v>
      </c>
      <c r="M26" s="122"/>
      <c r="N26" s="122">
        <f aca="true" t="shared" si="16" ref="N26:N47">SUM(L26:M26)</f>
        <v>10000</v>
      </c>
      <c r="O26" s="122"/>
      <c r="P26" s="122">
        <f aca="true" t="shared" si="17" ref="P26:P47">SUM(N26:O26)</f>
        <v>10000</v>
      </c>
      <c r="Q26" s="122"/>
      <c r="R26" s="122">
        <f aca="true" t="shared" si="18" ref="R26:R47">SUM(P26:Q26)</f>
        <v>10000</v>
      </c>
      <c r="S26" s="122"/>
      <c r="T26" s="122">
        <f aca="true" t="shared" si="19" ref="T26:T47">SUM(R26:S26)</f>
        <v>10000</v>
      </c>
      <c r="U26" s="122">
        <v>5633</v>
      </c>
      <c r="V26" s="122">
        <f aca="true" t="shared" si="20" ref="V26:V47">SUM(T26:U26)</f>
        <v>15633</v>
      </c>
    </row>
    <row r="27" spans="1:22" s="111" customFormat="1" ht="25.5" customHeight="1">
      <c r="A27" s="119">
        <v>851</v>
      </c>
      <c r="B27" s="119">
        <v>85154</v>
      </c>
      <c r="C27" s="152">
        <v>2820</v>
      </c>
      <c r="D27" s="120" t="s">
        <v>278</v>
      </c>
      <c r="E27" s="124" t="s">
        <v>222</v>
      </c>
      <c r="F27" s="122"/>
      <c r="G27" s="122"/>
      <c r="H27" s="122">
        <v>0</v>
      </c>
      <c r="I27" s="122">
        <v>8130</v>
      </c>
      <c r="J27" s="122">
        <f t="shared" si="14"/>
        <v>8130</v>
      </c>
      <c r="K27" s="122"/>
      <c r="L27" s="122">
        <f t="shared" si="15"/>
        <v>8130</v>
      </c>
      <c r="M27" s="122"/>
      <c r="N27" s="122">
        <f t="shared" si="16"/>
        <v>8130</v>
      </c>
      <c r="O27" s="122"/>
      <c r="P27" s="122">
        <f t="shared" si="17"/>
        <v>8130</v>
      </c>
      <c r="Q27" s="122"/>
      <c r="R27" s="122">
        <f t="shared" si="18"/>
        <v>8130</v>
      </c>
      <c r="S27" s="122"/>
      <c r="T27" s="122">
        <f t="shared" si="19"/>
        <v>8130</v>
      </c>
      <c r="U27" s="122"/>
      <c r="V27" s="122">
        <f t="shared" si="20"/>
        <v>8130</v>
      </c>
    </row>
    <row r="28" spans="1:22" s="125" customFormat="1" ht="26.25" customHeight="1">
      <c r="A28" s="123">
        <v>851</v>
      </c>
      <c r="B28" s="123">
        <v>85154</v>
      </c>
      <c r="C28" s="123">
        <v>2830</v>
      </c>
      <c r="D28" s="128" t="s">
        <v>279</v>
      </c>
      <c r="E28" s="124" t="s">
        <v>222</v>
      </c>
      <c r="F28" s="110">
        <v>60000</v>
      </c>
      <c r="G28" s="110">
        <v>-60000</v>
      </c>
      <c r="H28" s="122">
        <f>SUM(F28:G28)</f>
        <v>0</v>
      </c>
      <c r="I28" s="110">
        <v>50060</v>
      </c>
      <c r="J28" s="122">
        <f t="shared" si="14"/>
        <v>50060</v>
      </c>
      <c r="K28" s="110"/>
      <c r="L28" s="122">
        <f t="shared" si="15"/>
        <v>50060</v>
      </c>
      <c r="M28" s="110"/>
      <c r="N28" s="122">
        <f t="shared" si="16"/>
        <v>50060</v>
      </c>
      <c r="O28" s="110"/>
      <c r="P28" s="122">
        <f t="shared" si="17"/>
        <v>50060</v>
      </c>
      <c r="Q28" s="110"/>
      <c r="R28" s="122">
        <f t="shared" si="18"/>
        <v>50060</v>
      </c>
      <c r="S28" s="110"/>
      <c r="T28" s="122">
        <f t="shared" si="19"/>
        <v>50060</v>
      </c>
      <c r="U28" s="110"/>
      <c r="V28" s="122">
        <f t="shared" si="20"/>
        <v>50060</v>
      </c>
    </row>
    <row r="29" spans="1:22" s="125" customFormat="1" ht="24">
      <c r="A29" s="123">
        <v>851</v>
      </c>
      <c r="B29" s="123">
        <v>85154</v>
      </c>
      <c r="C29" s="123">
        <v>2830</v>
      </c>
      <c r="D29" s="128" t="s">
        <v>279</v>
      </c>
      <c r="E29" s="124" t="s">
        <v>212</v>
      </c>
      <c r="F29" s="110">
        <v>10000</v>
      </c>
      <c r="G29" s="110">
        <v>-10000</v>
      </c>
      <c r="H29" s="122">
        <f>SUM(F29:G29)</f>
        <v>0</v>
      </c>
      <c r="I29" s="110">
        <v>5820</v>
      </c>
      <c r="J29" s="122">
        <f t="shared" si="14"/>
        <v>5820</v>
      </c>
      <c r="K29" s="110"/>
      <c r="L29" s="122">
        <f t="shared" si="15"/>
        <v>5820</v>
      </c>
      <c r="M29" s="110"/>
      <c r="N29" s="122">
        <f t="shared" si="16"/>
        <v>5820</v>
      </c>
      <c r="O29" s="110"/>
      <c r="P29" s="122">
        <f t="shared" si="17"/>
        <v>5820</v>
      </c>
      <c r="Q29" s="110"/>
      <c r="R29" s="122">
        <f t="shared" si="18"/>
        <v>5820</v>
      </c>
      <c r="S29" s="110"/>
      <c r="T29" s="122">
        <f t="shared" si="19"/>
        <v>5820</v>
      </c>
      <c r="U29" s="110"/>
      <c r="V29" s="122">
        <f t="shared" si="20"/>
        <v>5820</v>
      </c>
    </row>
    <row r="30" spans="1:22" s="127" customFormat="1" ht="24.75" customHeight="1">
      <c r="A30" s="123">
        <v>854</v>
      </c>
      <c r="B30" s="123">
        <v>85412</v>
      </c>
      <c r="C30" s="123">
        <v>2830</v>
      </c>
      <c r="D30" s="128" t="s">
        <v>279</v>
      </c>
      <c r="E30" s="124" t="s">
        <v>213</v>
      </c>
      <c r="F30" s="126">
        <v>65000</v>
      </c>
      <c r="G30" s="126">
        <v>-65000</v>
      </c>
      <c r="H30" s="122">
        <f>SUM(F30:G30)</f>
        <v>0</v>
      </c>
      <c r="I30" s="126"/>
      <c r="J30" s="122">
        <f t="shared" si="14"/>
        <v>0</v>
      </c>
      <c r="K30" s="126"/>
      <c r="L30" s="122">
        <f t="shared" si="15"/>
        <v>0</v>
      </c>
      <c r="M30" s="126"/>
      <c r="N30" s="122">
        <f t="shared" si="16"/>
        <v>0</v>
      </c>
      <c r="O30" s="126"/>
      <c r="P30" s="122">
        <f t="shared" si="17"/>
        <v>0</v>
      </c>
      <c r="Q30" s="126">
        <v>38250</v>
      </c>
      <c r="R30" s="122">
        <f t="shared" si="18"/>
        <v>38250</v>
      </c>
      <c r="S30" s="126"/>
      <c r="T30" s="122">
        <f t="shared" si="19"/>
        <v>38250</v>
      </c>
      <c r="U30" s="126"/>
      <c r="V30" s="122">
        <f t="shared" si="20"/>
        <v>38250</v>
      </c>
    </row>
    <row r="31" spans="1:22" s="127" customFormat="1" ht="24.75" customHeight="1">
      <c r="A31" s="123">
        <v>926</v>
      </c>
      <c r="B31" s="123">
        <v>92605</v>
      </c>
      <c r="C31" s="123">
        <v>2820</v>
      </c>
      <c r="D31" s="120" t="s">
        <v>280</v>
      </c>
      <c r="E31" s="124" t="s">
        <v>65</v>
      </c>
      <c r="F31" s="126"/>
      <c r="G31" s="126"/>
      <c r="H31" s="122">
        <v>0</v>
      </c>
      <c r="I31" s="126">
        <f>130000+2000</f>
        <v>132000</v>
      </c>
      <c r="J31" s="122">
        <f t="shared" si="14"/>
        <v>132000</v>
      </c>
      <c r="K31" s="126"/>
      <c r="L31" s="122">
        <f t="shared" si="15"/>
        <v>132000</v>
      </c>
      <c r="M31" s="126"/>
      <c r="N31" s="122">
        <f t="shared" si="16"/>
        <v>132000</v>
      </c>
      <c r="O31" s="126"/>
      <c r="P31" s="122">
        <f t="shared" si="17"/>
        <v>132000</v>
      </c>
      <c r="Q31" s="126"/>
      <c r="R31" s="122">
        <f t="shared" si="18"/>
        <v>132000</v>
      </c>
      <c r="S31" s="126"/>
      <c r="T31" s="122">
        <f t="shared" si="19"/>
        <v>132000</v>
      </c>
      <c r="U31" s="126"/>
      <c r="V31" s="122">
        <f t="shared" si="20"/>
        <v>132000</v>
      </c>
    </row>
    <row r="32" spans="1:22" s="127" customFormat="1" ht="24.75" customHeight="1">
      <c r="A32" s="123">
        <v>926</v>
      </c>
      <c r="B32" s="123">
        <v>92605</v>
      </c>
      <c r="C32" s="123">
        <v>2820</v>
      </c>
      <c r="D32" s="120" t="s">
        <v>281</v>
      </c>
      <c r="E32" s="124" t="s">
        <v>65</v>
      </c>
      <c r="F32" s="126"/>
      <c r="G32" s="126"/>
      <c r="H32" s="122">
        <v>0</v>
      </c>
      <c r="I32" s="126">
        <v>218000</v>
      </c>
      <c r="J32" s="122">
        <f t="shared" si="14"/>
        <v>218000</v>
      </c>
      <c r="K32" s="126"/>
      <c r="L32" s="122">
        <f t="shared" si="15"/>
        <v>218000</v>
      </c>
      <c r="M32" s="126"/>
      <c r="N32" s="122">
        <f t="shared" si="16"/>
        <v>218000</v>
      </c>
      <c r="O32" s="126"/>
      <c r="P32" s="122">
        <f t="shared" si="17"/>
        <v>218000</v>
      </c>
      <c r="Q32" s="126"/>
      <c r="R32" s="122">
        <f t="shared" si="18"/>
        <v>218000</v>
      </c>
      <c r="S32" s="126"/>
      <c r="T32" s="122">
        <f t="shared" si="19"/>
        <v>218000</v>
      </c>
      <c r="U32" s="126"/>
      <c r="V32" s="122">
        <f t="shared" si="20"/>
        <v>218000</v>
      </c>
    </row>
    <row r="33" spans="1:22" s="127" customFormat="1" ht="24.75" customHeight="1">
      <c r="A33" s="123">
        <v>926</v>
      </c>
      <c r="B33" s="123">
        <v>92605</v>
      </c>
      <c r="C33" s="123">
        <v>2820</v>
      </c>
      <c r="D33" s="120" t="s">
        <v>282</v>
      </c>
      <c r="E33" s="124" t="s">
        <v>65</v>
      </c>
      <c r="F33" s="126"/>
      <c r="G33" s="126"/>
      <c r="H33" s="122">
        <v>0</v>
      </c>
      <c r="I33" s="126">
        <f>6000+4000</f>
        <v>10000</v>
      </c>
      <c r="J33" s="122">
        <f t="shared" si="14"/>
        <v>10000</v>
      </c>
      <c r="K33" s="126"/>
      <c r="L33" s="122">
        <f t="shared" si="15"/>
        <v>10000</v>
      </c>
      <c r="M33" s="126"/>
      <c r="N33" s="122">
        <f t="shared" si="16"/>
        <v>10000</v>
      </c>
      <c r="O33" s="126"/>
      <c r="P33" s="122">
        <f t="shared" si="17"/>
        <v>10000</v>
      </c>
      <c r="Q33" s="126"/>
      <c r="R33" s="122">
        <f t="shared" si="18"/>
        <v>10000</v>
      </c>
      <c r="S33" s="126"/>
      <c r="T33" s="122">
        <f t="shared" si="19"/>
        <v>10000</v>
      </c>
      <c r="U33" s="126"/>
      <c r="V33" s="122">
        <f t="shared" si="20"/>
        <v>10000</v>
      </c>
    </row>
    <row r="34" spans="1:22" s="127" customFormat="1" ht="24.75" customHeight="1">
      <c r="A34" s="123">
        <v>926</v>
      </c>
      <c r="B34" s="123">
        <v>92605</v>
      </c>
      <c r="C34" s="123">
        <v>2820</v>
      </c>
      <c r="D34" s="120" t="s">
        <v>283</v>
      </c>
      <c r="E34" s="124" t="s">
        <v>65</v>
      </c>
      <c r="F34" s="126"/>
      <c r="G34" s="126"/>
      <c r="H34" s="122">
        <v>0</v>
      </c>
      <c r="I34" s="126">
        <v>8000</v>
      </c>
      <c r="J34" s="122">
        <f t="shared" si="14"/>
        <v>8000</v>
      </c>
      <c r="K34" s="126"/>
      <c r="L34" s="122">
        <f t="shared" si="15"/>
        <v>8000</v>
      </c>
      <c r="M34" s="126"/>
      <c r="N34" s="122">
        <f t="shared" si="16"/>
        <v>8000</v>
      </c>
      <c r="O34" s="126"/>
      <c r="P34" s="122">
        <f t="shared" si="17"/>
        <v>8000</v>
      </c>
      <c r="Q34" s="126"/>
      <c r="R34" s="122">
        <f t="shared" si="18"/>
        <v>8000</v>
      </c>
      <c r="S34" s="126"/>
      <c r="T34" s="122">
        <f t="shared" si="19"/>
        <v>8000</v>
      </c>
      <c r="U34" s="126"/>
      <c r="V34" s="122">
        <f t="shared" si="20"/>
        <v>8000</v>
      </c>
    </row>
    <row r="35" spans="1:22" s="127" customFormat="1" ht="24.75" customHeight="1">
      <c r="A35" s="123">
        <v>926</v>
      </c>
      <c r="B35" s="123">
        <v>92605</v>
      </c>
      <c r="C35" s="123">
        <v>2820</v>
      </c>
      <c r="D35" s="120" t="s">
        <v>284</v>
      </c>
      <c r="E35" s="124" t="s">
        <v>65</v>
      </c>
      <c r="F35" s="126"/>
      <c r="G35" s="126"/>
      <c r="H35" s="122">
        <v>0</v>
      </c>
      <c r="I35" s="126">
        <f>4000+1000</f>
        <v>5000</v>
      </c>
      <c r="J35" s="122">
        <f t="shared" si="14"/>
        <v>5000</v>
      </c>
      <c r="K35" s="126"/>
      <c r="L35" s="122">
        <f t="shared" si="15"/>
        <v>5000</v>
      </c>
      <c r="M35" s="126"/>
      <c r="N35" s="122">
        <f t="shared" si="16"/>
        <v>5000</v>
      </c>
      <c r="O35" s="126"/>
      <c r="P35" s="122">
        <f t="shared" si="17"/>
        <v>5000</v>
      </c>
      <c r="Q35" s="126"/>
      <c r="R35" s="122">
        <f t="shared" si="18"/>
        <v>5000</v>
      </c>
      <c r="S35" s="126"/>
      <c r="T35" s="122">
        <f t="shared" si="19"/>
        <v>5000</v>
      </c>
      <c r="U35" s="126"/>
      <c r="V35" s="122">
        <f t="shared" si="20"/>
        <v>5000</v>
      </c>
    </row>
    <row r="36" spans="1:22" s="127" customFormat="1" ht="24.75" customHeight="1">
      <c r="A36" s="123">
        <v>926</v>
      </c>
      <c r="B36" s="123">
        <v>92605</v>
      </c>
      <c r="C36" s="123">
        <v>2820</v>
      </c>
      <c r="D36" s="120" t="s">
        <v>285</v>
      </c>
      <c r="E36" s="124" t="s">
        <v>65</v>
      </c>
      <c r="F36" s="126"/>
      <c r="G36" s="126"/>
      <c r="H36" s="122">
        <v>0</v>
      </c>
      <c r="I36" s="126">
        <f>4700+300</f>
        <v>5000</v>
      </c>
      <c r="J36" s="122">
        <f t="shared" si="14"/>
        <v>5000</v>
      </c>
      <c r="K36" s="126"/>
      <c r="L36" s="122">
        <f t="shared" si="15"/>
        <v>5000</v>
      </c>
      <c r="M36" s="126"/>
      <c r="N36" s="122">
        <f t="shared" si="16"/>
        <v>5000</v>
      </c>
      <c r="O36" s="126"/>
      <c r="P36" s="122">
        <f t="shared" si="17"/>
        <v>5000</v>
      </c>
      <c r="Q36" s="126"/>
      <c r="R36" s="122">
        <f t="shared" si="18"/>
        <v>5000</v>
      </c>
      <c r="S36" s="126"/>
      <c r="T36" s="122">
        <f t="shared" si="19"/>
        <v>5000</v>
      </c>
      <c r="U36" s="126"/>
      <c r="V36" s="122">
        <f t="shared" si="20"/>
        <v>5000</v>
      </c>
    </row>
    <row r="37" spans="1:22" s="127" customFormat="1" ht="24.75" customHeight="1">
      <c r="A37" s="123">
        <v>926</v>
      </c>
      <c r="B37" s="123">
        <v>92605</v>
      </c>
      <c r="C37" s="123">
        <v>2820</v>
      </c>
      <c r="D37" s="120" t="s">
        <v>286</v>
      </c>
      <c r="E37" s="124" t="s">
        <v>65</v>
      </c>
      <c r="F37" s="126"/>
      <c r="G37" s="126"/>
      <c r="H37" s="122">
        <v>0</v>
      </c>
      <c r="I37" s="126">
        <v>6000</v>
      </c>
      <c r="J37" s="122">
        <f t="shared" si="14"/>
        <v>6000</v>
      </c>
      <c r="K37" s="126"/>
      <c r="L37" s="122">
        <f t="shared" si="15"/>
        <v>6000</v>
      </c>
      <c r="M37" s="126"/>
      <c r="N37" s="122">
        <f t="shared" si="16"/>
        <v>6000</v>
      </c>
      <c r="O37" s="126"/>
      <c r="P37" s="122">
        <f t="shared" si="17"/>
        <v>6000</v>
      </c>
      <c r="Q37" s="126"/>
      <c r="R37" s="122">
        <f t="shared" si="18"/>
        <v>6000</v>
      </c>
      <c r="S37" s="126"/>
      <c r="T37" s="122">
        <f t="shared" si="19"/>
        <v>6000</v>
      </c>
      <c r="U37" s="126"/>
      <c r="V37" s="122">
        <f t="shared" si="20"/>
        <v>6000</v>
      </c>
    </row>
    <row r="38" spans="1:22" s="127" customFormat="1" ht="24.75" customHeight="1">
      <c r="A38" s="123">
        <v>926</v>
      </c>
      <c r="B38" s="123">
        <v>92605</v>
      </c>
      <c r="C38" s="123">
        <v>2820</v>
      </c>
      <c r="D38" s="120" t="s">
        <v>287</v>
      </c>
      <c r="E38" s="124" t="s">
        <v>65</v>
      </c>
      <c r="F38" s="126"/>
      <c r="G38" s="126"/>
      <c r="H38" s="122">
        <v>0</v>
      </c>
      <c r="I38" s="126">
        <v>15000</v>
      </c>
      <c r="J38" s="122">
        <f t="shared" si="14"/>
        <v>15000</v>
      </c>
      <c r="K38" s="126"/>
      <c r="L38" s="122">
        <f t="shared" si="15"/>
        <v>15000</v>
      </c>
      <c r="M38" s="126"/>
      <c r="N38" s="122">
        <f t="shared" si="16"/>
        <v>15000</v>
      </c>
      <c r="O38" s="126"/>
      <c r="P38" s="122">
        <f t="shared" si="17"/>
        <v>15000</v>
      </c>
      <c r="Q38" s="126"/>
      <c r="R38" s="122">
        <f t="shared" si="18"/>
        <v>15000</v>
      </c>
      <c r="S38" s="126"/>
      <c r="T38" s="122">
        <f t="shared" si="19"/>
        <v>15000</v>
      </c>
      <c r="U38" s="126"/>
      <c r="V38" s="122">
        <f t="shared" si="20"/>
        <v>15000</v>
      </c>
    </row>
    <row r="39" spans="1:22" s="127" customFormat="1" ht="27" customHeight="1">
      <c r="A39" s="123">
        <v>926</v>
      </c>
      <c r="B39" s="123">
        <v>92605</v>
      </c>
      <c r="C39" s="123">
        <v>2820</v>
      </c>
      <c r="D39" s="120" t="s">
        <v>288</v>
      </c>
      <c r="E39" s="124" t="s">
        <v>65</v>
      </c>
      <c r="F39" s="126">
        <v>300000</v>
      </c>
      <c r="G39" s="126">
        <v>-300000</v>
      </c>
      <c r="H39" s="122">
        <f>SUM(F39:G39)</f>
        <v>0</v>
      </c>
      <c r="I39" s="126">
        <f>7000+2500</f>
        <v>9500</v>
      </c>
      <c r="J39" s="122">
        <f t="shared" si="14"/>
        <v>9500</v>
      </c>
      <c r="K39" s="126"/>
      <c r="L39" s="122">
        <f t="shared" si="15"/>
        <v>9500</v>
      </c>
      <c r="M39" s="126"/>
      <c r="N39" s="122">
        <f t="shared" si="16"/>
        <v>9500</v>
      </c>
      <c r="O39" s="126"/>
      <c r="P39" s="122">
        <f t="shared" si="17"/>
        <v>9500</v>
      </c>
      <c r="Q39" s="126"/>
      <c r="R39" s="122">
        <f t="shared" si="18"/>
        <v>9500</v>
      </c>
      <c r="S39" s="126"/>
      <c r="T39" s="122">
        <f t="shared" si="19"/>
        <v>9500</v>
      </c>
      <c r="U39" s="126"/>
      <c r="V39" s="122">
        <f t="shared" si="20"/>
        <v>9500</v>
      </c>
    </row>
    <row r="40" spans="1:22" s="127" customFormat="1" ht="27" customHeight="1">
      <c r="A40" s="123">
        <v>926</v>
      </c>
      <c r="B40" s="123">
        <v>92605</v>
      </c>
      <c r="C40" s="123">
        <v>2820</v>
      </c>
      <c r="D40" s="120" t="s">
        <v>289</v>
      </c>
      <c r="E40" s="124" t="s">
        <v>65</v>
      </c>
      <c r="F40" s="126"/>
      <c r="G40" s="126"/>
      <c r="H40" s="122">
        <v>0</v>
      </c>
      <c r="I40" s="126">
        <v>19000</v>
      </c>
      <c r="J40" s="122">
        <f t="shared" si="14"/>
        <v>19000</v>
      </c>
      <c r="K40" s="126"/>
      <c r="L40" s="122">
        <f t="shared" si="15"/>
        <v>19000</v>
      </c>
      <c r="M40" s="126"/>
      <c r="N40" s="122">
        <f t="shared" si="16"/>
        <v>19000</v>
      </c>
      <c r="O40" s="126"/>
      <c r="P40" s="122">
        <f t="shared" si="17"/>
        <v>19000</v>
      </c>
      <c r="Q40" s="126"/>
      <c r="R40" s="122">
        <f t="shared" si="18"/>
        <v>19000</v>
      </c>
      <c r="S40" s="126"/>
      <c r="T40" s="122">
        <f t="shared" si="19"/>
        <v>19000</v>
      </c>
      <c r="U40" s="126"/>
      <c r="V40" s="122">
        <f t="shared" si="20"/>
        <v>19000</v>
      </c>
    </row>
    <row r="41" spans="1:22" s="127" customFormat="1" ht="27" customHeight="1">
      <c r="A41" s="123">
        <v>926</v>
      </c>
      <c r="B41" s="123">
        <v>92605</v>
      </c>
      <c r="C41" s="123">
        <v>2820</v>
      </c>
      <c r="D41" s="120" t="s">
        <v>290</v>
      </c>
      <c r="E41" s="124" t="s">
        <v>65</v>
      </c>
      <c r="F41" s="126"/>
      <c r="G41" s="126"/>
      <c r="H41" s="122">
        <v>0</v>
      </c>
      <c r="I41" s="126">
        <v>3000</v>
      </c>
      <c r="J41" s="122">
        <f t="shared" si="14"/>
        <v>3000</v>
      </c>
      <c r="K41" s="126"/>
      <c r="L41" s="122">
        <f t="shared" si="15"/>
        <v>3000</v>
      </c>
      <c r="M41" s="126"/>
      <c r="N41" s="122">
        <f t="shared" si="16"/>
        <v>3000</v>
      </c>
      <c r="O41" s="126"/>
      <c r="P41" s="122">
        <f t="shared" si="17"/>
        <v>3000</v>
      </c>
      <c r="Q41" s="126"/>
      <c r="R41" s="122">
        <f t="shared" si="18"/>
        <v>3000</v>
      </c>
      <c r="S41" s="126"/>
      <c r="T41" s="122">
        <f t="shared" si="19"/>
        <v>3000</v>
      </c>
      <c r="U41" s="126"/>
      <c r="V41" s="122">
        <f t="shared" si="20"/>
        <v>3000</v>
      </c>
    </row>
    <row r="42" spans="1:22" s="127" customFormat="1" ht="27" customHeight="1">
      <c r="A42" s="123">
        <v>926</v>
      </c>
      <c r="B42" s="123">
        <v>92605</v>
      </c>
      <c r="C42" s="123">
        <v>2820</v>
      </c>
      <c r="D42" s="120" t="s">
        <v>291</v>
      </c>
      <c r="E42" s="124" t="s">
        <v>65</v>
      </c>
      <c r="F42" s="126"/>
      <c r="G42" s="126"/>
      <c r="H42" s="122">
        <v>0</v>
      </c>
      <c r="I42" s="126">
        <v>10000</v>
      </c>
      <c r="J42" s="122">
        <f t="shared" si="14"/>
        <v>10000</v>
      </c>
      <c r="K42" s="126"/>
      <c r="L42" s="122">
        <f t="shared" si="15"/>
        <v>10000</v>
      </c>
      <c r="M42" s="126"/>
      <c r="N42" s="122">
        <f t="shared" si="16"/>
        <v>10000</v>
      </c>
      <c r="O42" s="126"/>
      <c r="P42" s="122">
        <f t="shared" si="17"/>
        <v>10000</v>
      </c>
      <c r="Q42" s="126"/>
      <c r="R42" s="122">
        <f t="shared" si="18"/>
        <v>10000</v>
      </c>
      <c r="S42" s="126"/>
      <c r="T42" s="122">
        <f t="shared" si="19"/>
        <v>10000</v>
      </c>
      <c r="U42" s="126"/>
      <c r="V42" s="122">
        <f t="shared" si="20"/>
        <v>10000</v>
      </c>
    </row>
    <row r="43" spans="1:22" s="127" customFormat="1" ht="27" customHeight="1">
      <c r="A43" s="123">
        <v>926</v>
      </c>
      <c r="B43" s="123">
        <v>92605</v>
      </c>
      <c r="C43" s="123">
        <v>2820</v>
      </c>
      <c r="D43" s="128" t="s">
        <v>292</v>
      </c>
      <c r="E43" s="124" t="s">
        <v>65</v>
      </c>
      <c r="F43" s="126"/>
      <c r="G43" s="126"/>
      <c r="H43" s="122">
        <v>0</v>
      </c>
      <c r="I43" s="126">
        <v>2000</v>
      </c>
      <c r="J43" s="122">
        <f t="shared" si="14"/>
        <v>2000</v>
      </c>
      <c r="K43" s="126"/>
      <c r="L43" s="122">
        <f t="shared" si="15"/>
        <v>2000</v>
      </c>
      <c r="M43" s="126"/>
      <c r="N43" s="122">
        <f t="shared" si="16"/>
        <v>2000</v>
      </c>
      <c r="O43" s="126"/>
      <c r="P43" s="122">
        <f t="shared" si="17"/>
        <v>2000</v>
      </c>
      <c r="Q43" s="126"/>
      <c r="R43" s="122">
        <f t="shared" si="18"/>
        <v>2000</v>
      </c>
      <c r="S43" s="126"/>
      <c r="T43" s="122">
        <f t="shared" si="19"/>
        <v>2000</v>
      </c>
      <c r="U43" s="126"/>
      <c r="V43" s="122">
        <f t="shared" si="20"/>
        <v>2000</v>
      </c>
    </row>
    <row r="44" spans="1:22" s="127" customFormat="1" ht="27" customHeight="1">
      <c r="A44" s="123">
        <v>926</v>
      </c>
      <c r="B44" s="123">
        <v>92605</v>
      </c>
      <c r="C44" s="123">
        <v>2820</v>
      </c>
      <c r="D44" s="120" t="s">
        <v>293</v>
      </c>
      <c r="E44" s="124" t="s">
        <v>65</v>
      </c>
      <c r="F44" s="126"/>
      <c r="G44" s="126"/>
      <c r="H44" s="122">
        <v>0</v>
      </c>
      <c r="I44" s="126">
        <v>1500</v>
      </c>
      <c r="J44" s="122">
        <f t="shared" si="14"/>
        <v>1500</v>
      </c>
      <c r="K44" s="126"/>
      <c r="L44" s="122">
        <f t="shared" si="15"/>
        <v>1500</v>
      </c>
      <c r="M44" s="126"/>
      <c r="N44" s="122">
        <f t="shared" si="16"/>
        <v>1500</v>
      </c>
      <c r="O44" s="126"/>
      <c r="P44" s="122">
        <f t="shared" si="17"/>
        <v>1500</v>
      </c>
      <c r="Q44" s="126"/>
      <c r="R44" s="122">
        <f t="shared" si="18"/>
        <v>1500</v>
      </c>
      <c r="S44" s="126"/>
      <c r="T44" s="122">
        <f t="shared" si="19"/>
        <v>1500</v>
      </c>
      <c r="U44" s="126"/>
      <c r="V44" s="122">
        <f t="shared" si="20"/>
        <v>1500</v>
      </c>
    </row>
    <row r="45" spans="1:22" s="127" customFormat="1" ht="27" customHeight="1">
      <c r="A45" s="123">
        <v>926</v>
      </c>
      <c r="B45" s="123">
        <v>92605</v>
      </c>
      <c r="C45" s="123">
        <v>2820</v>
      </c>
      <c r="D45" s="120" t="s">
        <v>294</v>
      </c>
      <c r="E45" s="124" t="s">
        <v>65</v>
      </c>
      <c r="F45" s="126"/>
      <c r="G45" s="126"/>
      <c r="H45" s="122">
        <v>0</v>
      </c>
      <c r="I45" s="126">
        <f>1000+1000</f>
        <v>2000</v>
      </c>
      <c r="J45" s="122">
        <f t="shared" si="14"/>
        <v>2000</v>
      </c>
      <c r="K45" s="126"/>
      <c r="L45" s="122">
        <f t="shared" si="15"/>
        <v>2000</v>
      </c>
      <c r="M45" s="126"/>
      <c r="N45" s="122">
        <f t="shared" si="16"/>
        <v>2000</v>
      </c>
      <c r="O45" s="126"/>
      <c r="P45" s="122">
        <f t="shared" si="17"/>
        <v>2000</v>
      </c>
      <c r="Q45" s="126"/>
      <c r="R45" s="122">
        <f t="shared" si="18"/>
        <v>2000</v>
      </c>
      <c r="S45" s="126"/>
      <c r="T45" s="122">
        <f t="shared" si="19"/>
        <v>2000</v>
      </c>
      <c r="U45" s="126"/>
      <c r="V45" s="122">
        <f t="shared" si="20"/>
        <v>2000</v>
      </c>
    </row>
    <row r="46" spans="1:22" s="127" customFormat="1" ht="27" customHeight="1">
      <c r="A46" s="123">
        <v>926</v>
      </c>
      <c r="B46" s="123">
        <v>92605</v>
      </c>
      <c r="C46" s="123">
        <v>2820</v>
      </c>
      <c r="D46" s="120" t="s">
        <v>295</v>
      </c>
      <c r="E46" s="124" t="s">
        <v>65</v>
      </c>
      <c r="F46" s="126"/>
      <c r="G46" s="126"/>
      <c r="H46" s="122">
        <v>0</v>
      </c>
      <c r="I46" s="126">
        <v>1000</v>
      </c>
      <c r="J46" s="122">
        <f t="shared" si="14"/>
        <v>1000</v>
      </c>
      <c r="K46" s="126"/>
      <c r="L46" s="122">
        <f t="shared" si="15"/>
        <v>1000</v>
      </c>
      <c r="M46" s="126"/>
      <c r="N46" s="122">
        <f t="shared" si="16"/>
        <v>1000</v>
      </c>
      <c r="O46" s="126"/>
      <c r="P46" s="122">
        <f t="shared" si="17"/>
        <v>1000</v>
      </c>
      <c r="Q46" s="126"/>
      <c r="R46" s="122">
        <f t="shared" si="18"/>
        <v>1000</v>
      </c>
      <c r="S46" s="126"/>
      <c r="T46" s="122">
        <f t="shared" si="19"/>
        <v>1000</v>
      </c>
      <c r="U46" s="126"/>
      <c r="V46" s="122">
        <f t="shared" si="20"/>
        <v>1000</v>
      </c>
    </row>
    <row r="47" spans="1:22" s="127" customFormat="1" ht="36">
      <c r="A47" s="123">
        <v>921</v>
      </c>
      <c r="B47" s="123">
        <v>92120</v>
      </c>
      <c r="C47" s="123">
        <v>2720</v>
      </c>
      <c r="D47" s="128" t="s">
        <v>243</v>
      </c>
      <c r="E47" s="128" t="s">
        <v>265</v>
      </c>
      <c r="F47" s="129">
        <v>22650</v>
      </c>
      <c r="G47" s="129"/>
      <c r="H47" s="122">
        <f>SUM(F47:G47)</f>
        <v>22650</v>
      </c>
      <c r="I47" s="129"/>
      <c r="J47" s="122">
        <f t="shared" si="14"/>
        <v>22650</v>
      </c>
      <c r="K47" s="129"/>
      <c r="L47" s="122">
        <f t="shared" si="15"/>
        <v>22650</v>
      </c>
      <c r="M47" s="129"/>
      <c r="N47" s="122">
        <f t="shared" si="16"/>
        <v>22650</v>
      </c>
      <c r="O47" s="129"/>
      <c r="P47" s="122">
        <f t="shared" si="17"/>
        <v>22650</v>
      </c>
      <c r="Q47" s="129"/>
      <c r="R47" s="122">
        <f t="shared" si="18"/>
        <v>22650</v>
      </c>
      <c r="S47" s="129"/>
      <c r="T47" s="122">
        <f t="shared" si="19"/>
        <v>22650</v>
      </c>
      <c r="U47" s="129"/>
      <c r="V47" s="122">
        <f t="shared" si="20"/>
        <v>22650</v>
      </c>
    </row>
    <row r="48" spans="1:22" s="75" customFormat="1" ht="28.5" customHeight="1">
      <c r="A48" s="247" t="s">
        <v>234</v>
      </c>
      <c r="B48" s="247"/>
      <c r="C48" s="247"/>
      <c r="D48" s="247"/>
      <c r="E48" s="96"/>
      <c r="F48" s="95">
        <f aca="true" t="shared" si="21" ref="F48:L48">SUM(F49:F50)</f>
        <v>227851</v>
      </c>
      <c r="G48" s="95">
        <f t="shared" si="21"/>
        <v>0</v>
      </c>
      <c r="H48" s="95">
        <f t="shared" si="21"/>
        <v>227851</v>
      </c>
      <c r="I48" s="95">
        <f t="shared" si="21"/>
        <v>0</v>
      </c>
      <c r="J48" s="95">
        <f t="shared" si="21"/>
        <v>227851</v>
      </c>
      <c r="K48" s="95">
        <f t="shared" si="21"/>
        <v>0</v>
      </c>
      <c r="L48" s="95">
        <f t="shared" si="21"/>
        <v>227851</v>
      </c>
      <c r="M48" s="95">
        <f aca="true" t="shared" si="22" ref="M48:R48">SUM(M49:M50)</f>
        <v>0</v>
      </c>
      <c r="N48" s="95">
        <f t="shared" si="22"/>
        <v>227851</v>
      </c>
      <c r="O48" s="95">
        <f t="shared" si="22"/>
        <v>0</v>
      </c>
      <c r="P48" s="95">
        <f t="shared" si="22"/>
        <v>227851</v>
      </c>
      <c r="Q48" s="95">
        <f t="shared" si="22"/>
        <v>0</v>
      </c>
      <c r="R48" s="95">
        <f t="shared" si="22"/>
        <v>227851</v>
      </c>
      <c r="S48" s="95">
        <f>SUM(S49:S50)</f>
        <v>0</v>
      </c>
      <c r="T48" s="95">
        <f>SUM(T49:T50)</f>
        <v>227851</v>
      </c>
      <c r="U48" s="95">
        <f>SUM(U49:U50)</f>
        <v>0</v>
      </c>
      <c r="V48" s="95">
        <f>SUM(V49:V50)</f>
        <v>227851</v>
      </c>
    </row>
    <row r="49" spans="1:22" s="89" customFormat="1" ht="24">
      <c r="A49" s="130">
        <v>854</v>
      </c>
      <c r="B49" s="130">
        <v>85495</v>
      </c>
      <c r="C49" s="130">
        <v>2320</v>
      </c>
      <c r="D49" s="84" t="s">
        <v>214</v>
      </c>
      <c r="E49" s="131" t="s">
        <v>269</v>
      </c>
      <c r="F49" s="132">
        <v>199150</v>
      </c>
      <c r="G49" s="132"/>
      <c r="H49" s="132">
        <f>SUM(F49:G49)</f>
        <v>199150</v>
      </c>
      <c r="I49" s="132"/>
      <c r="J49" s="132">
        <f>SUM(H49:I49)</f>
        <v>199150</v>
      </c>
      <c r="K49" s="132"/>
      <c r="L49" s="132">
        <f>SUM(J49:K49)</f>
        <v>199150</v>
      </c>
      <c r="M49" s="132"/>
      <c r="N49" s="132">
        <f>SUM(L49:M49)</f>
        <v>199150</v>
      </c>
      <c r="O49" s="132"/>
      <c r="P49" s="132">
        <f>SUM(N49:O49)</f>
        <v>199150</v>
      </c>
      <c r="Q49" s="132"/>
      <c r="R49" s="132">
        <f>SUM(P49:Q49)</f>
        <v>199150</v>
      </c>
      <c r="S49" s="132"/>
      <c r="T49" s="132">
        <f>SUM(R49:S49)</f>
        <v>199150</v>
      </c>
      <c r="U49" s="132"/>
      <c r="V49" s="132">
        <f>SUM(T49:U49)</f>
        <v>199150</v>
      </c>
    </row>
    <row r="50" spans="1:22" s="91" customFormat="1" ht="19.5" customHeight="1">
      <c r="A50" s="130">
        <v>854</v>
      </c>
      <c r="B50" s="130">
        <v>85495</v>
      </c>
      <c r="C50" s="130">
        <v>2320</v>
      </c>
      <c r="D50" s="84" t="s">
        <v>215</v>
      </c>
      <c r="E50" s="84" t="s">
        <v>216</v>
      </c>
      <c r="F50" s="44">
        <v>28701</v>
      </c>
      <c r="G50" s="44"/>
      <c r="H50" s="132">
        <f>SUM(F50:G50)</f>
        <v>28701</v>
      </c>
      <c r="I50" s="44"/>
      <c r="J50" s="132">
        <f>SUM(H50:I50)</f>
        <v>28701</v>
      </c>
      <c r="K50" s="44"/>
      <c r="L50" s="132">
        <f>SUM(J50:K50)</f>
        <v>28701</v>
      </c>
      <c r="M50" s="44"/>
      <c r="N50" s="132">
        <f>SUM(L50:M50)</f>
        <v>28701</v>
      </c>
      <c r="O50" s="44"/>
      <c r="P50" s="132">
        <f>SUM(N50:O50)</f>
        <v>28701</v>
      </c>
      <c r="Q50" s="44"/>
      <c r="R50" s="132">
        <f>SUM(P50:Q50)</f>
        <v>28701</v>
      </c>
      <c r="S50" s="44"/>
      <c r="T50" s="132">
        <f>SUM(R50:S50)</f>
        <v>28701</v>
      </c>
      <c r="U50" s="44"/>
      <c r="V50" s="132">
        <f>SUM(T50:U50)</f>
        <v>28701</v>
      </c>
    </row>
    <row r="51" spans="1:22" s="91" customFormat="1" ht="29.25" customHeight="1">
      <c r="A51" s="249" t="s">
        <v>247</v>
      </c>
      <c r="B51" s="250"/>
      <c r="C51" s="250"/>
      <c r="D51" s="250"/>
      <c r="E51" s="90"/>
      <c r="F51" s="37">
        <f aca="true" t="shared" si="23" ref="F51:K51">SUM(F52)</f>
        <v>10800</v>
      </c>
      <c r="G51" s="37">
        <f t="shared" si="23"/>
        <v>0</v>
      </c>
      <c r="H51" s="37">
        <f t="shared" si="23"/>
        <v>10800</v>
      </c>
      <c r="I51" s="37">
        <f t="shared" si="23"/>
        <v>0</v>
      </c>
      <c r="J51" s="37">
        <f t="shared" si="23"/>
        <v>10800</v>
      </c>
      <c r="K51" s="37">
        <f t="shared" si="23"/>
        <v>0</v>
      </c>
      <c r="L51" s="37">
        <f aca="true" t="shared" si="24" ref="L51:R51">SUM(L52:L53)</f>
        <v>10800</v>
      </c>
      <c r="M51" s="37">
        <f t="shared" si="24"/>
        <v>13425</v>
      </c>
      <c r="N51" s="37">
        <f t="shared" si="24"/>
        <v>24225</v>
      </c>
      <c r="O51" s="37">
        <f t="shared" si="24"/>
        <v>0</v>
      </c>
      <c r="P51" s="37">
        <f t="shared" si="24"/>
        <v>24225</v>
      </c>
      <c r="Q51" s="37">
        <f t="shared" si="24"/>
        <v>0</v>
      </c>
      <c r="R51" s="37">
        <f t="shared" si="24"/>
        <v>24225</v>
      </c>
      <c r="S51" s="37">
        <f>SUM(S52:S53)</f>
        <v>0</v>
      </c>
      <c r="T51" s="37">
        <f>SUM(T52:T53)</f>
        <v>24225</v>
      </c>
      <c r="U51" s="37">
        <f>SUM(U52:U53)</f>
        <v>0</v>
      </c>
      <c r="V51" s="37">
        <f>SUM(V52:V53)</f>
        <v>24225</v>
      </c>
    </row>
    <row r="52" spans="1:22" s="91" customFormat="1" ht="24" customHeight="1">
      <c r="A52" s="130">
        <v>853</v>
      </c>
      <c r="B52" s="130">
        <v>85311</v>
      </c>
      <c r="C52" s="130">
        <v>2710</v>
      </c>
      <c r="D52" s="84" t="s">
        <v>215</v>
      </c>
      <c r="E52" s="90" t="s">
        <v>246</v>
      </c>
      <c r="F52" s="44">
        <v>10800</v>
      </c>
      <c r="G52" s="44"/>
      <c r="H52" s="44">
        <f>SUM(F52:G52)</f>
        <v>10800</v>
      </c>
      <c r="I52" s="44"/>
      <c r="J52" s="44">
        <f>SUM(H52:I52)</f>
        <v>10800</v>
      </c>
      <c r="K52" s="44"/>
      <c r="L52" s="44">
        <f>SUM(J52:K52)</f>
        <v>10800</v>
      </c>
      <c r="M52" s="44"/>
      <c r="N52" s="44">
        <f>SUM(L52:M52)</f>
        <v>10800</v>
      </c>
      <c r="O52" s="44"/>
      <c r="P52" s="44">
        <f>SUM(N52:O52)</f>
        <v>10800</v>
      </c>
      <c r="Q52" s="44"/>
      <c r="R52" s="44">
        <f>SUM(P52:Q52)</f>
        <v>10800</v>
      </c>
      <c r="S52" s="44"/>
      <c r="T52" s="44">
        <f>SUM(R52:S52)</f>
        <v>10800</v>
      </c>
      <c r="U52" s="44"/>
      <c r="V52" s="44">
        <f>SUM(T52:U52)</f>
        <v>10800</v>
      </c>
    </row>
    <row r="53" spans="1:22" s="91" customFormat="1" ht="36">
      <c r="A53" s="130">
        <v>851</v>
      </c>
      <c r="B53" s="130">
        <v>85154</v>
      </c>
      <c r="C53" s="130">
        <v>2710</v>
      </c>
      <c r="D53" s="84" t="s">
        <v>331</v>
      </c>
      <c r="E53" s="84" t="s">
        <v>332</v>
      </c>
      <c r="F53" s="44"/>
      <c r="G53" s="44"/>
      <c r="H53" s="44"/>
      <c r="I53" s="44"/>
      <c r="J53" s="44"/>
      <c r="K53" s="44"/>
      <c r="L53" s="44">
        <v>0</v>
      </c>
      <c r="M53" s="44">
        <v>13425</v>
      </c>
      <c r="N53" s="44">
        <f>SUM(L53:M53)</f>
        <v>13425</v>
      </c>
      <c r="O53" s="44"/>
      <c r="P53" s="44">
        <f>SUM(N53:O53)</f>
        <v>13425</v>
      </c>
      <c r="Q53" s="44"/>
      <c r="R53" s="44">
        <f>SUM(P53:Q53)</f>
        <v>13425</v>
      </c>
      <c r="S53" s="44"/>
      <c r="T53" s="44">
        <f>SUM(R53:S53)</f>
        <v>13425</v>
      </c>
      <c r="U53" s="44"/>
      <c r="V53" s="44">
        <f>SUM(T53:U53)</f>
        <v>13425</v>
      </c>
    </row>
    <row r="54" spans="1:22" s="85" customFormat="1" ht="27.75" customHeight="1">
      <c r="A54" s="243" t="s">
        <v>66</v>
      </c>
      <c r="B54" s="244"/>
      <c r="C54" s="244"/>
      <c r="D54" s="244"/>
      <c r="E54" s="245"/>
      <c r="F54" s="40">
        <f aca="true" t="shared" si="25" ref="F54:L54">SUM(F48,F24,F17,F11,F8,F51)</f>
        <v>7187350</v>
      </c>
      <c r="G54" s="40">
        <f t="shared" si="25"/>
        <v>-407000</v>
      </c>
      <c r="H54" s="40">
        <f t="shared" si="25"/>
        <v>6780350</v>
      </c>
      <c r="I54" s="40">
        <f t="shared" si="25"/>
        <v>511010</v>
      </c>
      <c r="J54" s="40">
        <f t="shared" si="25"/>
        <v>7291360</v>
      </c>
      <c r="K54" s="40">
        <f t="shared" si="25"/>
        <v>52900</v>
      </c>
      <c r="L54" s="40">
        <f t="shared" si="25"/>
        <v>7344260</v>
      </c>
      <c r="M54" s="40">
        <f aca="true" t="shared" si="26" ref="M54:R54">SUM(M48,M24,M17,M11,M8,M51)</f>
        <v>13425</v>
      </c>
      <c r="N54" s="40">
        <f t="shared" si="26"/>
        <v>7357685</v>
      </c>
      <c r="O54" s="40">
        <f t="shared" si="26"/>
        <v>0</v>
      </c>
      <c r="P54" s="40">
        <f t="shared" si="26"/>
        <v>7357685</v>
      </c>
      <c r="Q54" s="40">
        <f t="shared" si="26"/>
        <v>38250</v>
      </c>
      <c r="R54" s="40">
        <f t="shared" si="26"/>
        <v>7395935</v>
      </c>
      <c r="S54" s="40">
        <f>SUM(S48,S24,S17,S11,S8,S51)</f>
        <v>51742</v>
      </c>
      <c r="T54" s="40">
        <f>SUM(T48,T24,T17,T11,T8,T51)</f>
        <v>7447677</v>
      </c>
      <c r="U54" s="40">
        <f>SUM(U48,U24,U17,U11,U8,U51)</f>
        <v>5633</v>
      </c>
      <c r="V54" s="40">
        <f>SUM(V48,V24,V17,V11,V8,V51)</f>
        <v>7453310</v>
      </c>
    </row>
    <row r="55" spans="1:22" s="85" customFormat="1" ht="27.75" customHeight="1">
      <c r="A55" s="76"/>
      <c r="B55" s="76"/>
      <c r="C55" s="76"/>
      <c r="D55" s="76"/>
      <c r="E55" s="7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</row>
    <row r="56" spans="1:22" s="85" customFormat="1" ht="27.75" customHeight="1">
      <c r="A56" s="76"/>
      <c r="B56" s="76"/>
      <c r="C56" s="76"/>
      <c r="D56" s="76"/>
      <c r="E56" s="7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</row>
    <row r="57" spans="1:22" s="85" customFormat="1" ht="27.75" customHeight="1">
      <c r="A57" s="76"/>
      <c r="B57" s="76"/>
      <c r="C57" s="76"/>
      <c r="D57" s="76"/>
      <c r="E57" s="7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</row>
    <row r="58" spans="1:22" s="85" customFormat="1" ht="27.75" customHeight="1">
      <c r="A58" s="76"/>
      <c r="B58" s="76"/>
      <c r="C58" s="76"/>
      <c r="D58" s="76"/>
      <c r="E58" s="7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</row>
    <row r="59" spans="1:22" s="85" customFormat="1" ht="27.75" customHeight="1">
      <c r="A59" s="76"/>
      <c r="B59" s="76"/>
      <c r="C59" s="76"/>
      <c r="D59" s="76"/>
      <c r="E59" s="7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</row>
    <row r="60" spans="1:22" s="85" customFormat="1" ht="27.75" customHeight="1">
      <c r="A60" s="76"/>
      <c r="B60" s="76"/>
      <c r="C60" s="76"/>
      <c r="D60" s="76"/>
      <c r="E60" s="7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</row>
    <row r="61" spans="1:22" s="85" customFormat="1" ht="27.75" customHeight="1">
      <c r="A61" s="76"/>
      <c r="B61" s="76"/>
      <c r="C61" s="76"/>
      <c r="D61" s="76"/>
      <c r="E61" s="7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</row>
    <row r="64" spans="1:22" ht="31.5" customHeight="1">
      <c r="A64" s="252" t="s">
        <v>235</v>
      </c>
      <c r="B64" s="253"/>
      <c r="C64" s="253"/>
      <c r="D64" s="253"/>
      <c r="E64" s="253"/>
      <c r="F64" s="254"/>
      <c r="G64"/>
      <c r="H64"/>
      <c r="I64"/>
      <c r="J64"/>
      <c r="K64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</row>
    <row r="65" spans="1:22" ht="27" customHeight="1">
      <c r="A65" s="4" t="s">
        <v>0</v>
      </c>
      <c r="B65" s="4" t="s">
        <v>1</v>
      </c>
      <c r="C65" s="4" t="s">
        <v>2</v>
      </c>
      <c r="D65" s="4" t="s">
        <v>197</v>
      </c>
      <c r="E65" s="4" t="s">
        <v>198</v>
      </c>
      <c r="F65" s="82" t="s">
        <v>199</v>
      </c>
      <c r="G65" s="82" t="s">
        <v>199</v>
      </c>
      <c r="H65" s="82" t="s">
        <v>199</v>
      </c>
      <c r="I65" s="82" t="s">
        <v>199</v>
      </c>
      <c r="J65" s="82" t="s">
        <v>199</v>
      </c>
      <c r="K65" s="82" t="s">
        <v>199</v>
      </c>
      <c r="L65" s="82" t="s">
        <v>116</v>
      </c>
      <c r="M65" s="82" t="s">
        <v>263</v>
      </c>
      <c r="N65" s="82" t="s">
        <v>116</v>
      </c>
      <c r="O65" s="82" t="s">
        <v>263</v>
      </c>
      <c r="P65" s="82" t="s">
        <v>268</v>
      </c>
      <c r="Q65" s="82" t="s">
        <v>263</v>
      </c>
      <c r="R65" s="82" t="s">
        <v>117</v>
      </c>
      <c r="S65" s="82" t="s">
        <v>263</v>
      </c>
      <c r="T65" s="82" t="s">
        <v>268</v>
      </c>
      <c r="U65" s="82" t="s">
        <v>263</v>
      </c>
      <c r="V65" s="82" t="s">
        <v>268</v>
      </c>
    </row>
    <row r="66" spans="1:22" s="133" customFormat="1" ht="60">
      <c r="A66" s="152">
        <v>600</v>
      </c>
      <c r="B66" s="152">
        <v>60013</v>
      </c>
      <c r="C66" s="152">
        <v>6300</v>
      </c>
      <c r="D66" s="120" t="s">
        <v>345</v>
      </c>
      <c r="E66" s="128" t="s">
        <v>346</v>
      </c>
      <c r="F66" s="166"/>
      <c r="G66" s="166"/>
      <c r="H66" s="166"/>
      <c r="I66" s="166"/>
      <c r="J66" s="166"/>
      <c r="K66" s="166"/>
      <c r="L66" s="166"/>
      <c r="M66" s="166"/>
      <c r="N66" s="167">
        <v>0</v>
      </c>
      <c r="O66" s="167">
        <v>19600</v>
      </c>
      <c r="P66" s="167">
        <f>SUM(N66:O66)</f>
        <v>19600</v>
      </c>
      <c r="Q66" s="167"/>
      <c r="R66" s="167">
        <f>SUM(P66:Q66)</f>
        <v>19600</v>
      </c>
      <c r="S66" s="167"/>
      <c r="T66" s="167">
        <f>SUM(R66:S66)</f>
        <v>19600</v>
      </c>
      <c r="U66" s="167"/>
      <c r="V66" s="167">
        <f>SUM(T66:U66)</f>
        <v>19600</v>
      </c>
    </row>
    <row r="67" spans="1:22" ht="36">
      <c r="A67" s="130">
        <v>754</v>
      </c>
      <c r="B67" s="130">
        <v>75411</v>
      </c>
      <c r="C67" s="130">
        <v>6620</v>
      </c>
      <c r="D67" s="84" t="s">
        <v>215</v>
      </c>
      <c r="E67" s="84" t="s">
        <v>352</v>
      </c>
      <c r="F67" s="97"/>
      <c r="G67" s="97"/>
      <c r="H67" s="97"/>
      <c r="I67" s="97"/>
      <c r="J67" s="97"/>
      <c r="K67" s="97"/>
      <c r="L67" s="65">
        <v>0</v>
      </c>
      <c r="M67" s="65">
        <v>150000</v>
      </c>
      <c r="N67" s="65">
        <f>SUM(L67:M67)</f>
        <v>150000</v>
      </c>
      <c r="O67" s="65"/>
      <c r="P67" s="65">
        <f>SUM(N67:O67)</f>
        <v>150000</v>
      </c>
      <c r="Q67" s="65"/>
      <c r="R67" s="65">
        <f>SUM(P67:Q67)</f>
        <v>150000</v>
      </c>
      <c r="S67" s="65"/>
      <c r="T67" s="65">
        <f>SUM(R67:S67)</f>
        <v>150000</v>
      </c>
      <c r="U67" s="65"/>
      <c r="V67" s="65">
        <f>SUM(T67:U67)</f>
        <v>150000</v>
      </c>
    </row>
    <row r="68" spans="1:22" ht="23.25" customHeight="1">
      <c r="A68" s="255" t="s">
        <v>66</v>
      </c>
      <c r="B68" s="256"/>
      <c r="C68" s="256"/>
      <c r="D68" s="256"/>
      <c r="E68" s="257"/>
      <c r="F68" s="9">
        <f aca="true" t="shared" si="27" ref="F68:M68">SUM(F67:F67)</f>
        <v>0</v>
      </c>
      <c r="G68" s="9">
        <f t="shared" si="27"/>
        <v>0</v>
      </c>
      <c r="H68" s="9">
        <f t="shared" si="27"/>
        <v>0</v>
      </c>
      <c r="I68" s="9">
        <f t="shared" si="27"/>
        <v>0</v>
      </c>
      <c r="J68" s="9">
        <f t="shared" si="27"/>
        <v>0</v>
      </c>
      <c r="K68" s="9">
        <f t="shared" si="27"/>
        <v>0</v>
      </c>
      <c r="L68" s="161">
        <f t="shared" si="27"/>
        <v>0</v>
      </c>
      <c r="M68" s="161">
        <f t="shared" si="27"/>
        <v>150000</v>
      </c>
      <c r="N68" s="161">
        <f aca="true" t="shared" si="28" ref="N68:T68">SUM(N66:N67)</f>
        <v>150000</v>
      </c>
      <c r="O68" s="161">
        <f t="shared" si="28"/>
        <v>19600</v>
      </c>
      <c r="P68" s="161">
        <f t="shared" si="28"/>
        <v>169600</v>
      </c>
      <c r="Q68" s="161">
        <f t="shared" si="28"/>
        <v>0</v>
      </c>
      <c r="R68" s="161">
        <f t="shared" si="28"/>
        <v>169600</v>
      </c>
      <c r="S68" s="161">
        <f t="shared" si="28"/>
        <v>0</v>
      </c>
      <c r="T68" s="161">
        <f t="shared" si="28"/>
        <v>169600</v>
      </c>
      <c r="U68" s="161">
        <f>SUM(U66:U67)</f>
        <v>0</v>
      </c>
      <c r="V68" s="161">
        <f>SUM(V66:V67)</f>
        <v>169600</v>
      </c>
    </row>
    <row r="69" spans="1:22" s="85" customFormat="1" ht="24" customHeight="1">
      <c r="A69" s="251"/>
      <c r="B69" s="251"/>
      <c r="C69" s="251"/>
      <c r="D69" s="164" t="s">
        <v>333</v>
      </c>
      <c r="E69" s="162"/>
      <c r="F69" s="162"/>
      <c r="G69" s="162"/>
      <c r="H69" s="162"/>
      <c r="I69" s="162"/>
      <c r="J69" s="162"/>
      <c r="K69" s="162"/>
      <c r="L69" s="165">
        <f aca="true" t="shared" si="29" ref="L69:R69">SUM(L54,L68)</f>
        <v>7344260</v>
      </c>
      <c r="M69" s="165">
        <f t="shared" si="29"/>
        <v>163425</v>
      </c>
      <c r="N69" s="165">
        <f t="shared" si="29"/>
        <v>7507685</v>
      </c>
      <c r="O69" s="165">
        <f t="shared" si="29"/>
        <v>19600</v>
      </c>
      <c r="P69" s="165">
        <f t="shared" si="29"/>
        <v>7527285</v>
      </c>
      <c r="Q69" s="165">
        <f t="shared" si="29"/>
        <v>38250</v>
      </c>
      <c r="R69" s="165">
        <f t="shared" si="29"/>
        <v>7565535</v>
      </c>
      <c r="S69" s="165">
        <f>SUM(S54,S68)</f>
        <v>51742</v>
      </c>
      <c r="T69" s="165">
        <f>SUM(T54,T68)</f>
        <v>7617277</v>
      </c>
      <c r="U69" s="165">
        <f>SUM(U54,U68)</f>
        <v>5633</v>
      </c>
      <c r="V69" s="165">
        <f>SUM(V54,V68)</f>
        <v>7622910</v>
      </c>
    </row>
  </sheetData>
  <sheetProtection/>
  <mergeCells count="12">
    <mergeCell ref="A69:C69"/>
    <mergeCell ref="A8:D8"/>
    <mergeCell ref="A64:F64"/>
    <mergeCell ref="A68:E68"/>
    <mergeCell ref="A5:F5"/>
    <mergeCell ref="A54:E54"/>
    <mergeCell ref="A6:F6"/>
    <mergeCell ref="A48:D48"/>
    <mergeCell ref="A24:D24"/>
    <mergeCell ref="A17:D17"/>
    <mergeCell ref="A51:D51"/>
    <mergeCell ref="A11:D11"/>
  </mergeCells>
  <printOptions horizontalCentered="1"/>
  <pageMargins left="0.5118110236220472" right="0.5118110236220472" top="0.5905511811023623" bottom="0.5905511811023623" header="0.5118110236220472" footer="0.31496062992125984"/>
  <pageSetup firstPageNumber="1" useFirstPageNumber="1" horizontalDpi="600" verticalDpi="600" orientation="landscape" paperSize="9" scale="95" r:id="rId1"/>
  <headerFooter alignWithMargins="0">
    <oddFooter>&amp;C&amp;8Dotacje przekazywane - str.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G83"/>
  <sheetViews>
    <sheetView zoomScalePageLayoutView="0" workbookViewId="0" topLeftCell="A1">
      <selection activeCell="X7" sqref="X7"/>
    </sheetView>
  </sheetViews>
  <sheetFormatPr defaultColWidth="9.00390625" defaultRowHeight="12.75"/>
  <cols>
    <col min="1" max="1" width="4.875" style="7" customWidth="1"/>
    <col min="2" max="2" width="7.25390625" style="7" bestFit="1" customWidth="1"/>
    <col min="3" max="3" width="5.75390625" style="7" customWidth="1"/>
    <col min="4" max="4" width="32.375" style="7" customWidth="1"/>
    <col min="5" max="5" width="13.375" style="0" hidden="1" customWidth="1"/>
    <col min="6" max="6" width="13.875" style="0" hidden="1" customWidth="1"/>
    <col min="7" max="7" width="0.12890625" style="0" hidden="1" customWidth="1"/>
    <col min="8" max="8" width="11.00390625" style="0" hidden="1" customWidth="1"/>
    <col min="9" max="9" width="40.00390625" style="0" hidden="1" customWidth="1"/>
    <col min="10" max="10" width="9.875" style="0" hidden="1" customWidth="1"/>
    <col min="11" max="11" width="14.125" style="0" hidden="1" customWidth="1"/>
    <col min="12" max="12" width="11.00390625" style="0" hidden="1" customWidth="1"/>
    <col min="13" max="13" width="14.125" style="0" hidden="1" customWidth="1"/>
    <col min="14" max="14" width="11.00390625" style="0" hidden="1" customWidth="1"/>
    <col min="15" max="15" width="12.75390625" style="0" hidden="1" customWidth="1"/>
    <col min="16" max="16" width="10.75390625" style="0" hidden="1" customWidth="1"/>
    <col min="17" max="17" width="0.12890625" style="0" hidden="1" customWidth="1"/>
    <col min="18" max="18" width="14.125" style="0" hidden="1" customWidth="1"/>
    <col min="19" max="21" width="14.125" style="0" customWidth="1"/>
  </cols>
  <sheetData>
    <row r="1" spans="5:21" ht="12.75">
      <c r="E1" s="46" t="s">
        <v>468</v>
      </c>
      <c r="F1" s="46"/>
      <c r="G1" s="46" t="s">
        <v>469</v>
      </c>
      <c r="H1" s="46"/>
      <c r="I1" s="46" t="s">
        <v>470</v>
      </c>
      <c r="J1" s="46"/>
      <c r="K1" s="46" t="s">
        <v>471</v>
      </c>
      <c r="L1" s="46"/>
      <c r="M1" s="46" t="s">
        <v>472</v>
      </c>
      <c r="N1" s="46"/>
      <c r="O1" s="46" t="s">
        <v>473</v>
      </c>
      <c r="P1" s="46"/>
      <c r="Q1" s="46" t="s">
        <v>489</v>
      </c>
      <c r="R1" s="46"/>
      <c r="S1" s="46" t="s">
        <v>502</v>
      </c>
      <c r="T1" s="46"/>
      <c r="U1" s="46"/>
    </row>
    <row r="2" spans="4:21" ht="12.75">
      <c r="D2" s="7" t="s">
        <v>474</v>
      </c>
      <c r="E2" s="46" t="s">
        <v>314</v>
      </c>
      <c r="F2" s="46"/>
      <c r="G2" s="46" t="s">
        <v>318</v>
      </c>
      <c r="H2" s="46"/>
      <c r="I2" s="46" t="s">
        <v>324</v>
      </c>
      <c r="J2" s="46"/>
      <c r="K2" s="46" t="s">
        <v>335</v>
      </c>
      <c r="L2" s="46"/>
      <c r="M2" s="46" t="s">
        <v>338</v>
      </c>
      <c r="N2" s="46"/>
      <c r="O2" s="46" t="s">
        <v>367</v>
      </c>
      <c r="P2" s="46"/>
      <c r="Q2" s="46" t="s">
        <v>486</v>
      </c>
      <c r="R2" s="46"/>
      <c r="S2" s="46" t="s">
        <v>497</v>
      </c>
      <c r="T2" s="46"/>
      <c r="U2" s="46"/>
    </row>
    <row r="3" spans="4:21" ht="12.75">
      <c r="D3" s="7" t="s">
        <v>170</v>
      </c>
      <c r="E3" s="46" t="s">
        <v>275</v>
      </c>
      <c r="F3" s="46"/>
      <c r="G3" s="46" t="s">
        <v>468</v>
      </c>
      <c r="H3" s="46"/>
      <c r="I3" s="46" t="s">
        <v>469</v>
      </c>
      <c r="J3" s="46"/>
      <c r="K3" s="46" t="s">
        <v>470</v>
      </c>
      <c r="L3" s="46"/>
      <c r="M3" s="46" t="s">
        <v>471</v>
      </c>
      <c r="N3" s="46"/>
      <c r="O3" s="46" t="s">
        <v>475</v>
      </c>
      <c r="P3" s="46"/>
      <c r="Q3" s="46" t="s">
        <v>473</v>
      </c>
      <c r="R3" s="46"/>
      <c r="S3" s="46" t="s">
        <v>489</v>
      </c>
      <c r="T3" s="46"/>
      <c r="U3" s="46"/>
    </row>
    <row r="4" spans="5:21" ht="12.75">
      <c r="E4" s="46" t="s">
        <v>271</v>
      </c>
      <c r="F4" s="46"/>
      <c r="G4" s="46" t="s">
        <v>316</v>
      </c>
      <c r="H4" s="46"/>
      <c r="I4" s="46" t="s">
        <v>476</v>
      </c>
      <c r="J4" s="46"/>
      <c r="K4" s="46" t="s">
        <v>326</v>
      </c>
      <c r="L4" s="46"/>
      <c r="M4" s="46" t="s">
        <v>339</v>
      </c>
      <c r="N4" s="46"/>
      <c r="O4" s="46" t="s">
        <v>477</v>
      </c>
      <c r="P4" s="46"/>
      <c r="Q4" s="46" t="s">
        <v>378</v>
      </c>
      <c r="R4" s="46"/>
      <c r="S4" s="46" t="s">
        <v>490</v>
      </c>
      <c r="T4" s="46"/>
      <c r="U4" s="46"/>
    </row>
    <row r="5" spans="1:19" ht="44.25" customHeight="1">
      <c r="A5" s="258" t="s">
        <v>478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21" s="7" customFormat="1" ht="24.75" customHeight="1">
      <c r="A6" s="12" t="s">
        <v>0</v>
      </c>
      <c r="B6" s="12" t="s">
        <v>1</v>
      </c>
      <c r="C6" s="12" t="s">
        <v>2</v>
      </c>
      <c r="D6" s="18" t="s">
        <v>3</v>
      </c>
      <c r="E6" s="73" t="s">
        <v>116</v>
      </c>
      <c r="F6" s="73" t="s">
        <v>264</v>
      </c>
      <c r="G6" s="73" t="s">
        <v>117</v>
      </c>
      <c r="H6" s="73" t="s">
        <v>264</v>
      </c>
      <c r="I6" s="73" t="s">
        <v>117</v>
      </c>
      <c r="J6" s="73" t="s">
        <v>264</v>
      </c>
      <c r="K6" s="73" t="s">
        <v>117</v>
      </c>
      <c r="L6" s="73" t="s">
        <v>264</v>
      </c>
      <c r="M6" s="73" t="s">
        <v>117</v>
      </c>
      <c r="N6" s="73" t="s">
        <v>264</v>
      </c>
      <c r="O6" s="73" t="s">
        <v>117</v>
      </c>
      <c r="P6" s="73" t="s">
        <v>264</v>
      </c>
      <c r="Q6" s="73" t="s">
        <v>117</v>
      </c>
      <c r="R6" s="73" t="s">
        <v>264</v>
      </c>
      <c r="S6" s="73" t="s">
        <v>117</v>
      </c>
      <c r="T6" s="73" t="s">
        <v>264</v>
      </c>
      <c r="U6" s="73" t="s">
        <v>479</v>
      </c>
    </row>
    <row r="7" spans="1:21" s="7" customFormat="1" ht="24.75" customHeight="1">
      <c r="A7" s="30" t="s">
        <v>4</v>
      </c>
      <c r="B7" s="12"/>
      <c r="C7" s="13"/>
      <c r="D7" s="29" t="s">
        <v>5</v>
      </c>
      <c r="E7" s="73"/>
      <c r="F7" s="73"/>
      <c r="G7" s="73"/>
      <c r="H7" s="73"/>
      <c r="I7" s="80">
        <f aca="true" t="shared" si="0" ref="I7:U7">SUM(I8)</f>
        <v>0</v>
      </c>
      <c r="J7" s="80">
        <f t="shared" si="0"/>
        <v>285502</v>
      </c>
      <c r="K7" s="80">
        <f t="shared" si="0"/>
        <v>285502</v>
      </c>
      <c r="L7" s="80">
        <f t="shared" si="0"/>
        <v>0</v>
      </c>
      <c r="M7" s="80">
        <f t="shared" si="0"/>
        <v>285502</v>
      </c>
      <c r="N7" s="80">
        <f t="shared" si="0"/>
        <v>0</v>
      </c>
      <c r="O7" s="80">
        <f t="shared" si="0"/>
        <v>285502</v>
      </c>
      <c r="P7" s="80">
        <f t="shared" si="0"/>
        <v>0</v>
      </c>
      <c r="Q7" s="80">
        <f t="shared" si="0"/>
        <v>285502</v>
      </c>
      <c r="R7" s="80">
        <f t="shared" si="0"/>
        <v>0</v>
      </c>
      <c r="S7" s="80">
        <f t="shared" si="0"/>
        <v>285502</v>
      </c>
      <c r="T7" s="80">
        <f t="shared" si="0"/>
        <v>0</v>
      </c>
      <c r="U7" s="80">
        <f t="shared" si="0"/>
        <v>285502</v>
      </c>
    </row>
    <row r="8" spans="1:21" s="100" customFormat="1" ht="24.75" customHeight="1">
      <c r="A8" s="156"/>
      <c r="B8" s="102" t="s">
        <v>218</v>
      </c>
      <c r="C8" s="108"/>
      <c r="D8" s="154" t="s">
        <v>6</v>
      </c>
      <c r="E8" s="140"/>
      <c r="F8" s="140"/>
      <c r="G8" s="140"/>
      <c r="H8" s="140"/>
      <c r="I8" s="147">
        <f>SUM(I12:I14)</f>
        <v>0</v>
      </c>
      <c r="J8" s="147">
        <f>SUM(J12:J14)</f>
        <v>285502</v>
      </c>
      <c r="K8" s="147">
        <f aca="true" t="shared" si="1" ref="K8:Q8">SUM(K9:K16)</f>
        <v>285502</v>
      </c>
      <c r="L8" s="147">
        <f t="shared" si="1"/>
        <v>0</v>
      </c>
      <c r="M8" s="147">
        <f t="shared" si="1"/>
        <v>285502</v>
      </c>
      <c r="N8" s="147">
        <f t="shared" si="1"/>
        <v>0</v>
      </c>
      <c r="O8" s="147">
        <f t="shared" si="1"/>
        <v>285502</v>
      </c>
      <c r="P8" s="147">
        <f t="shared" si="1"/>
        <v>0</v>
      </c>
      <c r="Q8" s="147">
        <f t="shared" si="1"/>
        <v>285502</v>
      </c>
      <c r="R8" s="147">
        <f>SUM(R9:R16)</f>
        <v>0</v>
      </c>
      <c r="S8" s="147">
        <f>SUM(S9:S16)</f>
        <v>285502</v>
      </c>
      <c r="T8" s="147">
        <f>SUM(T9:T16)</f>
        <v>0</v>
      </c>
      <c r="U8" s="147">
        <f>SUM(U9:U16)</f>
        <v>285502</v>
      </c>
    </row>
    <row r="9" spans="1:21" s="100" customFormat="1" ht="24.75" customHeight="1">
      <c r="A9" s="156"/>
      <c r="B9" s="102"/>
      <c r="C9" s="108">
        <v>4010</v>
      </c>
      <c r="D9" s="58" t="s">
        <v>79</v>
      </c>
      <c r="E9" s="140"/>
      <c r="F9" s="140"/>
      <c r="G9" s="140"/>
      <c r="H9" s="140"/>
      <c r="I9" s="147"/>
      <c r="J9" s="147"/>
      <c r="K9" s="147">
        <v>0</v>
      </c>
      <c r="L9" s="147">
        <v>3378</v>
      </c>
      <c r="M9" s="147">
        <f>SUM(K9:L9)</f>
        <v>3378</v>
      </c>
      <c r="N9" s="147"/>
      <c r="O9" s="147">
        <f>SUM(M9:N9)</f>
        <v>3378</v>
      </c>
      <c r="P9" s="147"/>
      <c r="Q9" s="147">
        <f>SUM(O9:P9)</f>
        <v>3378</v>
      </c>
      <c r="R9" s="147"/>
      <c r="S9" s="147">
        <f>SUM(Q9:R9)</f>
        <v>3378</v>
      </c>
      <c r="T9" s="147"/>
      <c r="U9" s="147">
        <f>SUM(S9:T9)</f>
        <v>3378</v>
      </c>
    </row>
    <row r="10" spans="1:21" s="100" customFormat="1" ht="24.75" customHeight="1">
      <c r="A10" s="156"/>
      <c r="B10" s="102"/>
      <c r="C10" s="108">
        <v>4110</v>
      </c>
      <c r="D10" s="58" t="s">
        <v>81</v>
      </c>
      <c r="E10" s="140"/>
      <c r="F10" s="140"/>
      <c r="G10" s="140"/>
      <c r="H10" s="140"/>
      <c r="I10" s="147"/>
      <c r="J10" s="147"/>
      <c r="K10" s="147">
        <v>0</v>
      </c>
      <c r="L10" s="147">
        <v>513</v>
      </c>
      <c r="M10" s="147">
        <f aca="true" t="shared" si="2" ref="M10:M16">SUM(K10:L10)</f>
        <v>513</v>
      </c>
      <c r="N10" s="147"/>
      <c r="O10" s="147">
        <f aca="true" t="shared" si="3" ref="O10:O16">SUM(M10:N10)</f>
        <v>513</v>
      </c>
      <c r="P10" s="147"/>
      <c r="Q10" s="147">
        <f aca="true" t="shared" si="4" ref="Q10:Q16">SUM(O10:P10)</f>
        <v>513</v>
      </c>
      <c r="R10" s="147"/>
      <c r="S10" s="147">
        <f aca="true" t="shared" si="5" ref="S10:S16">SUM(Q10:R10)</f>
        <v>513</v>
      </c>
      <c r="T10" s="147"/>
      <c r="U10" s="147">
        <f aca="true" t="shared" si="6" ref="U10:U16">SUM(S10:T10)</f>
        <v>513</v>
      </c>
    </row>
    <row r="11" spans="1:21" s="100" customFormat="1" ht="24.75" customHeight="1">
      <c r="A11" s="156"/>
      <c r="B11" s="102"/>
      <c r="C11" s="108">
        <v>4120</v>
      </c>
      <c r="D11" s="58" t="s">
        <v>82</v>
      </c>
      <c r="E11" s="140"/>
      <c r="F11" s="140"/>
      <c r="G11" s="140"/>
      <c r="H11" s="140"/>
      <c r="I11" s="147"/>
      <c r="J11" s="147"/>
      <c r="K11" s="147">
        <v>0</v>
      </c>
      <c r="L11" s="147">
        <v>82</v>
      </c>
      <c r="M11" s="147">
        <f t="shared" si="2"/>
        <v>82</v>
      </c>
      <c r="N11" s="147"/>
      <c r="O11" s="147">
        <f t="shared" si="3"/>
        <v>82</v>
      </c>
      <c r="P11" s="147"/>
      <c r="Q11" s="147">
        <f t="shared" si="4"/>
        <v>82</v>
      </c>
      <c r="R11" s="147"/>
      <c r="S11" s="147">
        <f t="shared" si="5"/>
        <v>82</v>
      </c>
      <c r="T11" s="147"/>
      <c r="U11" s="147">
        <f t="shared" si="6"/>
        <v>82</v>
      </c>
    </row>
    <row r="12" spans="1:21" s="100" customFormat="1" ht="24.75" customHeight="1">
      <c r="A12" s="156"/>
      <c r="B12" s="102"/>
      <c r="C12" s="108">
        <v>4210</v>
      </c>
      <c r="D12" s="154" t="s">
        <v>86</v>
      </c>
      <c r="E12" s="140"/>
      <c r="F12" s="140"/>
      <c r="G12" s="140"/>
      <c r="H12" s="140"/>
      <c r="I12" s="147">
        <v>0</v>
      </c>
      <c r="J12" s="147">
        <v>5598</v>
      </c>
      <c r="K12" s="147">
        <f>SUM(I12:J12)</f>
        <v>5598</v>
      </c>
      <c r="L12" s="147">
        <v>-5347</v>
      </c>
      <c r="M12" s="147">
        <f t="shared" si="2"/>
        <v>251</v>
      </c>
      <c r="N12" s="147"/>
      <c r="O12" s="147">
        <f t="shared" si="3"/>
        <v>251</v>
      </c>
      <c r="P12" s="147"/>
      <c r="Q12" s="147">
        <f t="shared" si="4"/>
        <v>251</v>
      </c>
      <c r="R12" s="147"/>
      <c r="S12" s="147">
        <f t="shared" si="5"/>
        <v>251</v>
      </c>
      <c r="T12" s="147"/>
      <c r="U12" s="147">
        <f t="shared" si="6"/>
        <v>251</v>
      </c>
    </row>
    <row r="13" spans="1:21" s="100" customFormat="1" ht="24.75" customHeight="1">
      <c r="A13" s="156"/>
      <c r="B13" s="102"/>
      <c r="C13" s="108">
        <v>4300</v>
      </c>
      <c r="D13" s="158" t="s">
        <v>75</v>
      </c>
      <c r="E13" s="140"/>
      <c r="F13" s="140"/>
      <c r="G13" s="140"/>
      <c r="H13" s="140"/>
      <c r="I13" s="147"/>
      <c r="J13" s="147"/>
      <c r="K13" s="147">
        <v>0</v>
      </c>
      <c r="L13" s="147">
        <v>1090</v>
      </c>
      <c r="M13" s="147">
        <f t="shared" si="2"/>
        <v>1090</v>
      </c>
      <c r="N13" s="147"/>
      <c r="O13" s="147">
        <f t="shared" si="3"/>
        <v>1090</v>
      </c>
      <c r="P13" s="147"/>
      <c r="Q13" s="147">
        <f t="shared" si="4"/>
        <v>1090</v>
      </c>
      <c r="R13" s="147"/>
      <c r="S13" s="147">
        <f t="shared" si="5"/>
        <v>1090</v>
      </c>
      <c r="T13" s="147"/>
      <c r="U13" s="147">
        <f t="shared" si="6"/>
        <v>1090</v>
      </c>
    </row>
    <row r="14" spans="1:21" s="100" customFormat="1" ht="24.75" customHeight="1">
      <c r="A14" s="156"/>
      <c r="B14" s="156"/>
      <c r="C14" s="108">
        <v>4430</v>
      </c>
      <c r="D14" s="158" t="s">
        <v>87</v>
      </c>
      <c r="E14" s="140"/>
      <c r="F14" s="140"/>
      <c r="G14" s="140"/>
      <c r="H14" s="140"/>
      <c r="I14" s="147">
        <v>0</v>
      </c>
      <c r="J14" s="147">
        <v>279904</v>
      </c>
      <c r="K14" s="147">
        <f>SUM(I14:J14)</f>
        <v>279904</v>
      </c>
      <c r="L14" s="147">
        <v>0</v>
      </c>
      <c r="M14" s="147">
        <f t="shared" si="2"/>
        <v>279904</v>
      </c>
      <c r="N14" s="147"/>
      <c r="O14" s="147">
        <f t="shared" si="3"/>
        <v>279904</v>
      </c>
      <c r="P14" s="147"/>
      <c r="Q14" s="147">
        <f t="shared" si="4"/>
        <v>279904</v>
      </c>
      <c r="R14" s="147"/>
      <c r="S14" s="147">
        <f t="shared" si="5"/>
        <v>279904</v>
      </c>
      <c r="T14" s="147"/>
      <c r="U14" s="147">
        <f t="shared" si="6"/>
        <v>279904</v>
      </c>
    </row>
    <row r="15" spans="1:21" s="100" customFormat="1" ht="24.75" customHeight="1">
      <c r="A15" s="156"/>
      <c r="B15" s="156"/>
      <c r="C15" s="108">
        <v>4740</v>
      </c>
      <c r="D15" s="158" t="s">
        <v>183</v>
      </c>
      <c r="E15" s="140"/>
      <c r="F15" s="140"/>
      <c r="G15" s="140"/>
      <c r="H15" s="140"/>
      <c r="I15" s="147"/>
      <c r="J15" s="147"/>
      <c r="K15" s="147">
        <v>0</v>
      </c>
      <c r="L15" s="147">
        <v>25</v>
      </c>
      <c r="M15" s="147">
        <f t="shared" si="2"/>
        <v>25</v>
      </c>
      <c r="N15" s="147"/>
      <c r="O15" s="147">
        <f t="shared" si="3"/>
        <v>25</v>
      </c>
      <c r="P15" s="147"/>
      <c r="Q15" s="147">
        <f t="shared" si="4"/>
        <v>25</v>
      </c>
      <c r="R15" s="147"/>
      <c r="S15" s="147">
        <f t="shared" si="5"/>
        <v>25</v>
      </c>
      <c r="T15" s="147"/>
      <c r="U15" s="147">
        <f t="shared" si="6"/>
        <v>25</v>
      </c>
    </row>
    <row r="16" spans="1:21" s="100" customFormat="1" ht="24.75" customHeight="1">
      <c r="A16" s="156"/>
      <c r="B16" s="156"/>
      <c r="C16" s="108">
        <v>4750</v>
      </c>
      <c r="D16" s="158" t="s">
        <v>230</v>
      </c>
      <c r="E16" s="140"/>
      <c r="F16" s="140"/>
      <c r="G16" s="140"/>
      <c r="H16" s="140"/>
      <c r="I16" s="147"/>
      <c r="J16" s="147"/>
      <c r="K16" s="147">
        <v>0</v>
      </c>
      <c r="L16" s="147">
        <v>259</v>
      </c>
      <c r="M16" s="147">
        <f t="shared" si="2"/>
        <v>259</v>
      </c>
      <c r="N16" s="147"/>
      <c r="O16" s="147">
        <f t="shared" si="3"/>
        <v>259</v>
      </c>
      <c r="P16" s="147"/>
      <c r="Q16" s="147">
        <f t="shared" si="4"/>
        <v>259</v>
      </c>
      <c r="R16" s="147"/>
      <c r="S16" s="147">
        <f t="shared" si="5"/>
        <v>259</v>
      </c>
      <c r="T16" s="147"/>
      <c r="U16" s="147">
        <f t="shared" si="6"/>
        <v>259</v>
      </c>
    </row>
    <row r="17" spans="1:21" s="25" customFormat="1" ht="21" customHeight="1">
      <c r="A17" s="30" t="s">
        <v>14</v>
      </c>
      <c r="B17" s="4"/>
      <c r="C17" s="23"/>
      <c r="D17" s="29" t="s">
        <v>15</v>
      </c>
      <c r="E17" s="40">
        <f aca="true" t="shared" si="7" ref="E17:U17">SUM(E18)</f>
        <v>156600</v>
      </c>
      <c r="F17" s="40">
        <f t="shared" si="7"/>
        <v>0</v>
      </c>
      <c r="G17" s="40">
        <f t="shared" si="7"/>
        <v>156600</v>
      </c>
      <c r="H17" s="40">
        <f t="shared" si="7"/>
        <v>0</v>
      </c>
      <c r="I17" s="40">
        <f t="shared" si="7"/>
        <v>156600</v>
      </c>
      <c r="J17" s="40">
        <f t="shared" si="7"/>
        <v>0</v>
      </c>
      <c r="K17" s="40">
        <f t="shared" si="7"/>
        <v>156600</v>
      </c>
      <c r="L17" s="40">
        <f t="shared" si="7"/>
        <v>0</v>
      </c>
      <c r="M17" s="40">
        <f t="shared" si="7"/>
        <v>156600</v>
      </c>
      <c r="N17" s="40">
        <f t="shared" si="7"/>
        <v>0</v>
      </c>
      <c r="O17" s="40">
        <f t="shared" si="7"/>
        <v>156600</v>
      </c>
      <c r="P17" s="40">
        <f t="shared" si="7"/>
        <v>0</v>
      </c>
      <c r="Q17" s="40">
        <f t="shared" si="7"/>
        <v>156600</v>
      </c>
      <c r="R17" s="40">
        <f t="shared" si="7"/>
        <v>0</v>
      </c>
      <c r="S17" s="40">
        <f t="shared" si="7"/>
        <v>156600</v>
      </c>
      <c r="T17" s="40">
        <f t="shared" si="7"/>
        <v>0</v>
      </c>
      <c r="U17" s="40">
        <f t="shared" si="7"/>
        <v>156600</v>
      </c>
    </row>
    <row r="18" spans="1:21" s="25" customFormat="1" ht="21" customHeight="1">
      <c r="A18" s="54"/>
      <c r="B18" s="54">
        <v>75011</v>
      </c>
      <c r="C18" s="61"/>
      <c r="D18" s="58" t="s">
        <v>16</v>
      </c>
      <c r="E18" s="67">
        <f aca="true" t="shared" si="8" ref="E18:Q18">SUM(E19:E23)</f>
        <v>156600</v>
      </c>
      <c r="F18" s="67">
        <f t="shared" si="8"/>
        <v>0</v>
      </c>
      <c r="G18" s="67">
        <f t="shared" si="8"/>
        <v>156600</v>
      </c>
      <c r="H18" s="67">
        <f t="shared" si="8"/>
        <v>0</v>
      </c>
      <c r="I18" s="67">
        <f t="shared" si="8"/>
        <v>156600</v>
      </c>
      <c r="J18" s="67">
        <f t="shared" si="8"/>
        <v>0</v>
      </c>
      <c r="K18" s="67">
        <f t="shared" si="8"/>
        <v>156600</v>
      </c>
      <c r="L18" s="67">
        <f t="shared" si="8"/>
        <v>0</v>
      </c>
      <c r="M18" s="67">
        <f t="shared" si="8"/>
        <v>156600</v>
      </c>
      <c r="N18" s="67">
        <f t="shared" si="8"/>
        <v>0</v>
      </c>
      <c r="O18" s="67">
        <f t="shared" si="8"/>
        <v>156600</v>
      </c>
      <c r="P18" s="67">
        <f t="shared" si="8"/>
        <v>0</v>
      </c>
      <c r="Q18" s="67">
        <f t="shared" si="8"/>
        <v>156600</v>
      </c>
      <c r="R18" s="67">
        <f>SUM(R19:R23)</f>
        <v>0</v>
      </c>
      <c r="S18" s="67">
        <f>SUM(S19:S23)</f>
        <v>156600</v>
      </c>
      <c r="T18" s="67">
        <f>SUM(T19:T23)</f>
        <v>0</v>
      </c>
      <c r="U18" s="67">
        <f>SUM(U19:U23)</f>
        <v>156600</v>
      </c>
    </row>
    <row r="19" spans="1:21" s="25" customFormat="1" ht="21" customHeight="1">
      <c r="A19" s="54"/>
      <c r="B19" s="41"/>
      <c r="C19" s="55">
        <v>4010</v>
      </c>
      <c r="D19" s="58" t="s">
        <v>79</v>
      </c>
      <c r="E19" s="67">
        <v>112525</v>
      </c>
      <c r="F19" s="67"/>
      <c r="G19" s="67">
        <f>SUM(E19:F19)</f>
        <v>112525</v>
      </c>
      <c r="H19" s="67"/>
      <c r="I19" s="67">
        <f>SUM(G19:H19)</f>
        <v>112525</v>
      </c>
      <c r="J19" s="67"/>
      <c r="K19" s="67">
        <f>SUM(I19:J19)</f>
        <v>112525</v>
      </c>
      <c r="L19" s="67"/>
      <c r="M19" s="67">
        <f>SUM(K19:L19)</f>
        <v>112525</v>
      </c>
      <c r="N19" s="67"/>
      <c r="O19" s="67">
        <f>SUM(M19:N19)</f>
        <v>112525</v>
      </c>
      <c r="P19" s="67"/>
      <c r="Q19" s="67">
        <f>SUM(O19:P19)</f>
        <v>112525</v>
      </c>
      <c r="R19" s="67"/>
      <c r="S19" s="67">
        <f>SUM(Q19:R19)</f>
        <v>112525</v>
      </c>
      <c r="T19" s="67"/>
      <c r="U19" s="67">
        <f>SUM(S19:T19)</f>
        <v>112525</v>
      </c>
    </row>
    <row r="20" spans="1:21" s="25" customFormat="1" ht="21" customHeight="1">
      <c r="A20" s="54"/>
      <c r="B20" s="41"/>
      <c r="C20" s="55">
        <v>4040</v>
      </c>
      <c r="D20" s="58" t="s">
        <v>80</v>
      </c>
      <c r="E20" s="67">
        <v>19000</v>
      </c>
      <c r="F20" s="67"/>
      <c r="G20" s="67">
        <f>SUM(E20:F20)</f>
        <v>19000</v>
      </c>
      <c r="H20" s="67"/>
      <c r="I20" s="67">
        <f>SUM(G20:H20)</f>
        <v>19000</v>
      </c>
      <c r="J20" s="67"/>
      <c r="K20" s="67">
        <f>SUM(I20:J20)</f>
        <v>19000</v>
      </c>
      <c r="L20" s="67"/>
      <c r="M20" s="67">
        <f>SUM(K20:L20)</f>
        <v>19000</v>
      </c>
      <c r="N20" s="67"/>
      <c r="O20" s="67">
        <f>SUM(M20:N20)</f>
        <v>19000</v>
      </c>
      <c r="P20" s="67"/>
      <c r="Q20" s="67">
        <f>SUM(O20:P20)</f>
        <v>19000</v>
      </c>
      <c r="R20" s="67"/>
      <c r="S20" s="67">
        <f>SUM(Q20:R20)</f>
        <v>19000</v>
      </c>
      <c r="T20" s="67"/>
      <c r="U20" s="67">
        <f>SUM(S20:T20)</f>
        <v>19000</v>
      </c>
    </row>
    <row r="21" spans="1:21" s="25" customFormat="1" ht="21" customHeight="1">
      <c r="A21" s="54"/>
      <c r="B21" s="41"/>
      <c r="C21" s="55">
        <v>4110</v>
      </c>
      <c r="D21" s="58" t="s">
        <v>81</v>
      </c>
      <c r="E21" s="67">
        <v>13626</v>
      </c>
      <c r="F21" s="67"/>
      <c r="G21" s="67">
        <f>SUM(E21:F21)</f>
        <v>13626</v>
      </c>
      <c r="H21" s="67"/>
      <c r="I21" s="67">
        <f>SUM(G21:H21)</f>
        <v>13626</v>
      </c>
      <c r="J21" s="67"/>
      <c r="K21" s="67">
        <f>SUM(I21:J21)</f>
        <v>13626</v>
      </c>
      <c r="L21" s="67"/>
      <c r="M21" s="67">
        <f>SUM(K21:L21)</f>
        <v>13626</v>
      </c>
      <c r="N21" s="67"/>
      <c r="O21" s="67">
        <f>SUM(M21:N21)</f>
        <v>13626</v>
      </c>
      <c r="P21" s="67"/>
      <c r="Q21" s="67">
        <f>SUM(O21:P21)</f>
        <v>13626</v>
      </c>
      <c r="R21" s="67"/>
      <c r="S21" s="67">
        <f>SUM(Q21:R21)</f>
        <v>13626</v>
      </c>
      <c r="T21" s="67"/>
      <c r="U21" s="67">
        <f>SUM(S21:T21)</f>
        <v>13626</v>
      </c>
    </row>
    <row r="22" spans="1:21" s="25" customFormat="1" ht="21" customHeight="1">
      <c r="A22" s="54"/>
      <c r="B22" s="41"/>
      <c r="C22" s="55">
        <v>4120</v>
      </c>
      <c r="D22" s="58" t="s">
        <v>82</v>
      </c>
      <c r="E22" s="67">
        <v>2186</v>
      </c>
      <c r="F22" s="67"/>
      <c r="G22" s="67">
        <f>SUM(E22:F22)</f>
        <v>2186</v>
      </c>
      <c r="H22" s="67"/>
      <c r="I22" s="67">
        <f>SUM(G22:H22)</f>
        <v>2186</v>
      </c>
      <c r="J22" s="67"/>
      <c r="K22" s="67">
        <f>SUM(I22:J22)</f>
        <v>2186</v>
      </c>
      <c r="L22" s="67"/>
      <c r="M22" s="67">
        <f>SUM(K22:L22)</f>
        <v>2186</v>
      </c>
      <c r="N22" s="67"/>
      <c r="O22" s="67">
        <f>SUM(M22:N22)</f>
        <v>2186</v>
      </c>
      <c r="P22" s="67"/>
      <c r="Q22" s="67">
        <f>SUM(O22:P22)</f>
        <v>2186</v>
      </c>
      <c r="R22" s="67"/>
      <c r="S22" s="67">
        <f>SUM(Q22:R22)</f>
        <v>2186</v>
      </c>
      <c r="T22" s="67"/>
      <c r="U22" s="67">
        <f>SUM(S22:T22)</f>
        <v>2186</v>
      </c>
    </row>
    <row r="23" spans="1:21" s="25" customFormat="1" ht="22.5">
      <c r="A23" s="54"/>
      <c r="B23" s="41"/>
      <c r="C23" s="56">
        <v>4440</v>
      </c>
      <c r="D23" s="58" t="s">
        <v>83</v>
      </c>
      <c r="E23" s="67">
        <v>9263</v>
      </c>
      <c r="F23" s="67"/>
      <c r="G23" s="67">
        <f>SUM(E23:F23)</f>
        <v>9263</v>
      </c>
      <c r="H23" s="67"/>
      <c r="I23" s="67">
        <f>SUM(G23:H23)</f>
        <v>9263</v>
      </c>
      <c r="J23" s="67"/>
      <c r="K23" s="67">
        <f>SUM(I23:J23)</f>
        <v>9263</v>
      </c>
      <c r="L23" s="67"/>
      <c r="M23" s="67">
        <f>SUM(K23:L23)</f>
        <v>9263</v>
      </c>
      <c r="N23" s="67"/>
      <c r="O23" s="67">
        <f>SUM(M23:N23)</f>
        <v>9263</v>
      </c>
      <c r="P23" s="67"/>
      <c r="Q23" s="67">
        <f>SUM(O23:P23)</f>
        <v>9263</v>
      </c>
      <c r="R23" s="67"/>
      <c r="S23" s="67">
        <f>SUM(Q23:R23)</f>
        <v>9263</v>
      </c>
      <c r="T23" s="67"/>
      <c r="U23" s="67">
        <f>SUM(S23:T23)</f>
        <v>9263</v>
      </c>
    </row>
    <row r="24" spans="1:21" s="25" customFormat="1" ht="36">
      <c r="A24" s="30">
        <v>751</v>
      </c>
      <c r="B24" s="4"/>
      <c r="C24" s="23"/>
      <c r="D24" s="29" t="s">
        <v>19</v>
      </c>
      <c r="E24" s="40">
        <f>E25</f>
        <v>3910</v>
      </c>
      <c r="F24" s="40">
        <f>F25</f>
        <v>0</v>
      </c>
      <c r="G24" s="40">
        <f aca="true" t="shared" si="9" ref="G24:M24">G25+G33</f>
        <v>3910</v>
      </c>
      <c r="H24" s="40">
        <f t="shared" si="9"/>
        <v>19932</v>
      </c>
      <c r="I24" s="40">
        <f t="shared" si="9"/>
        <v>23842</v>
      </c>
      <c r="J24" s="40">
        <f t="shared" si="9"/>
        <v>1000</v>
      </c>
      <c r="K24" s="40">
        <f t="shared" si="9"/>
        <v>24842</v>
      </c>
      <c r="L24" s="40">
        <f t="shared" si="9"/>
        <v>0</v>
      </c>
      <c r="M24" s="40">
        <f t="shared" si="9"/>
        <v>24842</v>
      </c>
      <c r="N24" s="40">
        <f aca="true" t="shared" si="10" ref="N24:S24">N25+N33</f>
        <v>21240</v>
      </c>
      <c r="O24" s="40">
        <f t="shared" si="10"/>
        <v>46082</v>
      </c>
      <c r="P24" s="40">
        <f t="shared" si="10"/>
        <v>0</v>
      </c>
      <c r="Q24" s="40">
        <f t="shared" si="10"/>
        <v>46082</v>
      </c>
      <c r="R24" s="40">
        <f t="shared" si="10"/>
        <v>0</v>
      </c>
      <c r="S24" s="40">
        <f t="shared" si="10"/>
        <v>46082</v>
      </c>
      <c r="T24" s="40">
        <f>T25+T33</f>
        <v>0</v>
      </c>
      <c r="U24" s="40">
        <f>U25+U33</f>
        <v>46082</v>
      </c>
    </row>
    <row r="25" spans="1:21" s="25" customFormat="1" ht="22.5">
      <c r="A25" s="41"/>
      <c r="B25" s="54">
        <v>75101</v>
      </c>
      <c r="C25" s="61"/>
      <c r="D25" s="58" t="s">
        <v>20</v>
      </c>
      <c r="E25" s="67">
        <f aca="true" t="shared" si="11" ref="E25:K25">SUM(E29:E32)</f>
        <v>3910</v>
      </c>
      <c r="F25" s="67">
        <f t="shared" si="11"/>
        <v>0</v>
      </c>
      <c r="G25" s="67">
        <f t="shared" si="11"/>
        <v>3910</v>
      </c>
      <c r="H25" s="67">
        <f t="shared" si="11"/>
        <v>0</v>
      </c>
      <c r="I25" s="67">
        <f t="shared" si="11"/>
        <v>3910</v>
      </c>
      <c r="J25" s="67">
        <f t="shared" si="11"/>
        <v>0</v>
      </c>
      <c r="K25" s="67">
        <f t="shared" si="11"/>
        <v>3910</v>
      </c>
      <c r="L25" s="67">
        <f>SUM(L29:L32)</f>
        <v>0</v>
      </c>
      <c r="M25" s="67">
        <f>SUM(M29:M32)</f>
        <v>3910</v>
      </c>
      <c r="N25" s="67">
        <f>SUM(N29:N32)</f>
        <v>0</v>
      </c>
      <c r="O25" s="67">
        <f aca="true" t="shared" si="12" ref="O25:U25">SUM(O26:O32)</f>
        <v>3910</v>
      </c>
      <c r="P25" s="67">
        <f t="shared" si="12"/>
        <v>0</v>
      </c>
      <c r="Q25" s="67">
        <f t="shared" si="12"/>
        <v>3910</v>
      </c>
      <c r="R25" s="67">
        <f t="shared" si="12"/>
        <v>0</v>
      </c>
      <c r="S25" s="67">
        <f t="shared" si="12"/>
        <v>3910</v>
      </c>
      <c r="T25" s="67">
        <f t="shared" si="12"/>
        <v>0</v>
      </c>
      <c r="U25" s="67">
        <f t="shared" si="12"/>
        <v>3910</v>
      </c>
    </row>
    <row r="26" spans="1:21" s="25" customFormat="1" ht="24.75" customHeight="1">
      <c r="A26" s="41"/>
      <c r="B26" s="54"/>
      <c r="C26" s="61">
        <v>4010</v>
      </c>
      <c r="D26" s="58" t="s">
        <v>79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>
        <v>2771</v>
      </c>
      <c r="P26" s="67"/>
      <c r="Q26" s="67">
        <f aca="true" t="shared" si="13" ref="Q26:Q32">SUM(O26:P26)</f>
        <v>2771</v>
      </c>
      <c r="R26" s="67"/>
      <c r="S26" s="67">
        <f aca="true" t="shared" si="14" ref="S26:S32">SUM(Q26:R26)</f>
        <v>2771</v>
      </c>
      <c r="T26" s="67"/>
      <c r="U26" s="67">
        <f aca="true" t="shared" si="15" ref="U26:U32">SUM(S26:T26)</f>
        <v>2771</v>
      </c>
    </row>
    <row r="27" spans="1:21" s="25" customFormat="1" ht="24.75" customHeight="1">
      <c r="A27" s="41"/>
      <c r="B27" s="54"/>
      <c r="C27" s="61">
        <v>4110</v>
      </c>
      <c r="D27" s="58" t="s">
        <v>81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>
        <v>420</v>
      </c>
      <c r="P27" s="67"/>
      <c r="Q27" s="67">
        <f t="shared" si="13"/>
        <v>420</v>
      </c>
      <c r="R27" s="67"/>
      <c r="S27" s="67">
        <f t="shared" si="14"/>
        <v>420</v>
      </c>
      <c r="T27" s="67"/>
      <c r="U27" s="67">
        <f t="shared" si="15"/>
        <v>420</v>
      </c>
    </row>
    <row r="28" spans="1:21" s="25" customFormat="1" ht="24" customHeight="1">
      <c r="A28" s="41"/>
      <c r="B28" s="54"/>
      <c r="C28" s="61">
        <v>4120</v>
      </c>
      <c r="D28" s="58" t="s">
        <v>82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>
        <v>67</v>
      </c>
      <c r="P28" s="67"/>
      <c r="Q28" s="67">
        <f t="shared" si="13"/>
        <v>67</v>
      </c>
      <c r="R28" s="67"/>
      <c r="S28" s="67">
        <f t="shared" si="14"/>
        <v>67</v>
      </c>
      <c r="T28" s="67"/>
      <c r="U28" s="67">
        <f t="shared" si="15"/>
        <v>67</v>
      </c>
    </row>
    <row r="29" spans="1:21" s="25" customFormat="1" ht="21" customHeight="1">
      <c r="A29" s="41"/>
      <c r="B29" s="54"/>
      <c r="C29" s="55">
        <v>4210</v>
      </c>
      <c r="D29" s="58" t="s">
        <v>86</v>
      </c>
      <c r="E29" s="67">
        <v>1410</v>
      </c>
      <c r="F29" s="67"/>
      <c r="G29" s="67">
        <f>SUM(E29:F29)</f>
        <v>1410</v>
      </c>
      <c r="H29" s="67"/>
      <c r="I29" s="67">
        <f>SUM(G29:H29)</f>
        <v>1410</v>
      </c>
      <c r="J29" s="67"/>
      <c r="K29" s="67">
        <f>SUM(I29:J29)</f>
        <v>1410</v>
      </c>
      <c r="L29" s="67"/>
      <c r="M29" s="67">
        <f>SUM(K29:L29)</f>
        <v>1410</v>
      </c>
      <c r="N29" s="67"/>
      <c r="O29" s="67">
        <v>292</v>
      </c>
      <c r="P29" s="67"/>
      <c r="Q29" s="67">
        <f t="shared" si="13"/>
        <v>292</v>
      </c>
      <c r="R29" s="67"/>
      <c r="S29" s="67">
        <f t="shared" si="14"/>
        <v>292</v>
      </c>
      <c r="T29" s="67"/>
      <c r="U29" s="67">
        <f t="shared" si="15"/>
        <v>292</v>
      </c>
    </row>
    <row r="30" spans="1:21" s="25" customFormat="1" ht="22.5">
      <c r="A30" s="41"/>
      <c r="B30" s="54"/>
      <c r="C30" s="55">
        <v>4700</v>
      </c>
      <c r="D30" s="36" t="s">
        <v>225</v>
      </c>
      <c r="E30" s="67">
        <v>500</v>
      </c>
      <c r="F30" s="67"/>
      <c r="G30" s="67">
        <f>SUM(E30:F30)</f>
        <v>500</v>
      </c>
      <c r="H30" s="67"/>
      <c r="I30" s="67">
        <f>SUM(G30:H30)</f>
        <v>500</v>
      </c>
      <c r="J30" s="67"/>
      <c r="K30" s="67">
        <f>SUM(I30:J30)</f>
        <v>500</v>
      </c>
      <c r="L30" s="67"/>
      <c r="M30" s="67">
        <f>SUM(K30:L30)</f>
        <v>500</v>
      </c>
      <c r="N30" s="67"/>
      <c r="O30" s="67">
        <v>360</v>
      </c>
      <c r="P30" s="67"/>
      <c r="Q30" s="67">
        <f t="shared" si="13"/>
        <v>360</v>
      </c>
      <c r="R30" s="67"/>
      <c r="S30" s="67">
        <f t="shared" si="14"/>
        <v>360</v>
      </c>
      <c r="T30" s="67"/>
      <c r="U30" s="67">
        <f t="shared" si="15"/>
        <v>360</v>
      </c>
    </row>
    <row r="31" spans="1:21" s="25" customFormat="1" ht="33.75">
      <c r="A31" s="41"/>
      <c r="B31" s="54"/>
      <c r="C31" s="55">
        <v>4740</v>
      </c>
      <c r="D31" s="36" t="s">
        <v>183</v>
      </c>
      <c r="E31" s="67">
        <v>1000</v>
      </c>
      <c r="F31" s="67"/>
      <c r="G31" s="67">
        <f>SUM(E31:F31)</f>
        <v>1000</v>
      </c>
      <c r="H31" s="67"/>
      <c r="I31" s="67">
        <f>SUM(G31:H31)</f>
        <v>1000</v>
      </c>
      <c r="J31" s="67"/>
      <c r="K31" s="67">
        <f>SUM(I31:J31)</f>
        <v>1000</v>
      </c>
      <c r="L31" s="67"/>
      <c r="M31" s="67">
        <f>SUM(K31:L31)</f>
        <v>1000</v>
      </c>
      <c r="N31" s="67"/>
      <c r="O31" s="67">
        <v>0</v>
      </c>
      <c r="P31" s="67"/>
      <c r="Q31" s="67">
        <f t="shared" si="13"/>
        <v>0</v>
      </c>
      <c r="R31" s="67"/>
      <c r="S31" s="67">
        <f t="shared" si="14"/>
        <v>0</v>
      </c>
      <c r="T31" s="67"/>
      <c r="U31" s="67">
        <f t="shared" si="15"/>
        <v>0</v>
      </c>
    </row>
    <row r="32" spans="1:21" s="25" customFormat="1" ht="22.5">
      <c r="A32" s="41"/>
      <c r="B32" s="54"/>
      <c r="C32" s="55">
        <v>4750</v>
      </c>
      <c r="D32" s="36" t="s">
        <v>230</v>
      </c>
      <c r="E32" s="67">
        <v>1000</v>
      </c>
      <c r="F32" s="67"/>
      <c r="G32" s="67">
        <f>SUM(E32:F32)</f>
        <v>1000</v>
      </c>
      <c r="H32" s="67"/>
      <c r="I32" s="67">
        <f>SUM(G32:H32)</f>
        <v>1000</v>
      </c>
      <c r="J32" s="67"/>
      <c r="K32" s="67">
        <f>SUM(I32:J32)</f>
        <v>1000</v>
      </c>
      <c r="L32" s="67"/>
      <c r="M32" s="67">
        <f>SUM(K32:L32)</f>
        <v>1000</v>
      </c>
      <c r="N32" s="67"/>
      <c r="O32" s="67">
        <v>0</v>
      </c>
      <c r="P32" s="67"/>
      <c r="Q32" s="67">
        <f t="shared" si="13"/>
        <v>0</v>
      </c>
      <c r="R32" s="67"/>
      <c r="S32" s="67">
        <f t="shared" si="14"/>
        <v>0</v>
      </c>
      <c r="T32" s="67"/>
      <c r="U32" s="67">
        <f t="shared" si="15"/>
        <v>0</v>
      </c>
    </row>
    <row r="33" spans="1:21" s="25" customFormat="1" ht="23.25" customHeight="1">
      <c r="A33" s="41"/>
      <c r="B33" s="54">
        <v>75113</v>
      </c>
      <c r="C33" s="55"/>
      <c r="D33" s="48" t="s">
        <v>317</v>
      </c>
      <c r="E33" s="67"/>
      <c r="F33" s="67"/>
      <c r="G33" s="67">
        <f aca="true" t="shared" si="16" ref="G33:L33">SUM(G35:G42)</f>
        <v>0</v>
      </c>
      <c r="H33" s="67">
        <f t="shared" si="16"/>
        <v>19932</v>
      </c>
      <c r="I33" s="67">
        <f t="shared" si="16"/>
        <v>19932</v>
      </c>
      <c r="J33" s="67">
        <f t="shared" si="16"/>
        <v>1000</v>
      </c>
      <c r="K33" s="67">
        <f t="shared" si="16"/>
        <v>20932</v>
      </c>
      <c r="L33" s="67">
        <f t="shared" si="16"/>
        <v>0</v>
      </c>
      <c r="M33" s="67">
        <f aca="true" t="shared" si="17" ref="M33:S33">SUM(M34:M42)</f>
        <v>20932</v>
      </c>
      <c r="N33" s="67">
        <f t="shared" si="17"/>
        <v>21240</v>
      </c>
      <c r="O33" s="67">
        <f t="shared" si="17"/>
        <v>42172</v>
      </c>
      <c r="P33" s="67">
        <f t="shared" si="17"/>
        <v>0</v>
      </c>
      <c r="Q33" s="67">
        <f t="shared" si="17"/>
        <v>42172</v>
      </c>
      <c r="R33" s="67">
        <f t="shared" si="17"/>
        <v>0</v>
      </c>
      <c r="S33" s="67">
        <f t="shared" si="17"/>
        <v>42172</v>
      </c>
      <c r="T33" s="67">
        <f>SUM(T34:T42)</f>
        <v>0</v>
      </c>
      <c r="U33" s="67">
        <f>SUM(U34:U42)</f>
        <v>42172</v>
      </c>
    </row>
    <row r="34" spans="1:21" s="25" customFormat="1" ht="23.25" customHeight="1">
      <c r="A34" s="41"/>
      <c r="B34" s="54"/>
      <c r="C34" s="55">
        <v>3030</v>
      </c>
      <c r="D34" s="48" t="s">
        <v>84</v>
      </c>
      <c r="E34" s="67"/>
      <c r="F34" s="67"/>
      <c r="G34" s="67"/>
      <c r="H34" s="67"/>
      <c r="I34" s="67"/>
      <c r="J34" s="67"/>
      <c r="K34" s="67"/>
      <c r="L34" s="67"/>
      <c r="M34" s="67">
        <v>0</v>
      </c>
      <c r="N34" s="67">
        <v>21240</v>
      </c>
      <c r="O34" s="67">
        <f>SUM(M34:N34)</f>
        <v>21240</v>
      </c>
      <c r="P34" s="67"/>
      <c r="Q34" s="67">
        <f aca="true" t="shared" si="18" ref="Q34:Q45">SUM(O34:P34)</f>
        <v>21240</v>
      </c>
      <c r="R34" s="67"/>
      <c r="S34" s="67">
        <f aca="true" t="shared" si="19" ref="S34:S42">SUM(Q34:R34)</f>
        <v>21240</v>
      </c>
      <c r="T34" s="67"/>
      <c r="U34" s="67">
        <f aca="true" t="shared" si="20" ref="U34:U42">SUM(S34:T34)</f>
        <v>21240</v>
      </c>
    </row>
    <row r="35" spans="1:21" s="25" customFormat="1" ht="23.25" customHeight="1">
      <c r="A35" s="41"/>
      <c r="B35" s="54"/>
      <c r="C35" s="55">
        <v>4110</v>
      </c>
      <c r="D35" s="14" t="s">
        <v>81</v>
      </c>
      <c r="E35" s="67"/>
      <c r="F35" s="67"/>
      <c r="G35" s="67">
        <v>0</v>
      </c>
      <c r="H35" s="67">
        <v>72</v>
      </c>
      <c r="I35" s="67">
        <f aca="true" t="shared" si="21" ref="I35:I42">SUM(G35:H35)</f>
        <v>72</v>
      </c>
      <c r="J35" s="67"/>
      <c r="K35" s="67">
        <f aca="true" t="shared" si="22" ref="K35:K42">SUM(I35:J35)</f>
        <v>72</v>
      </c>
      <c r="L35" s="67"/>
      <c r="M35" s="67">
        <f aca="true" t="shared" si="23" ref="M35:M42">SUM(K35:L35)</f>
        <v>72</v>
      </c>
      <c r="N35" s="67"/>
      <c r="O35" s="67">
        <v>579</v>
      </c>
      <c r="P35" s="67"/>
      <c r="Q35" s="67">
        <f t="shared" si="18"/>
        <v>579</v>
      </c>
      <c r="R35" s="67"/>
      <c r="S35" s="67">
        <f t="shared" si="19"/>
        <v>579</v>
      </c>
      <c r="T35" s="67"/>
      <c r="U35" s="67">
        <f t="shared" si="20"/>
        <v>579</v>
      </c>
    </row>
    <row r="36" spans="1:21" s="25" customFormat="1" ht="23.25" customHeight="1">
      <c r="A36" s="41"/>
      <c r="B36" s="54"/>
      <c r="C36" s="55">
        <v>4120</v>
      </c>
      <c r="D36" s="14" t="s">
        <v>82</v>
      </c>
      <c r="E36" s="67"/>
      <c r="F36" s="67"/>
      <c r="G36" s="67">
        <v>0</v>
      </c>
      <c r="H36" s="67">
        <v>428</v>
      </c>
      <c r="I36" s="67">
        <f t="shared" si="21"/>
        <v>428</v>
      </c>
      <c r="J36" s="67"/>
      <c r="K36" s="67">
        <f t="shared" si="22"/>
        <v>428</v>
      </c>
      <c r="L36" s="67"/>
      <c r="M36" s="67">
        <f t="shared" si="23"/>
        <v>428</v>
      </c>
      <c r="N36" s="67"/>
      <c r="O36" s="67">
        <v>95</v>
      </c>
      <c r="P36" s="67"/>
      <c r="Q36" s="67">
        <f t="shared" si="18"/>
        <v>95</v>
      </c>
      <c r="R36" s="67"/>
      <c r="S36" s="67">
        <f t="shared" si="19"/>
        <v>95</v>
      </c>
      <c r="T36" s="67"/>
      <c r="U36" s="67">
        <f t="shared" si="20"/>
        <v>95</v>
      </c>
    </row>
    <row r="37" spans="1:21" s="25" customFormat="1" ht="23.25" customHeight="1">
      <c r="A37" s="41"/>
      <c r="B37" s="54"/>
      <c r="C37" s="55">
        <v>4170</v>
      </c>
      <c r="D37" s="48" t="s">
        <v>161</v>
      </c>
      <c r="E37" s="67"/>
      <c r="F37" s="67"/>
      <c r="G37" s="67">
        <v>0</v>
      </c>
      <c r="H37" s="67">
        <v>6580</v>
      </c>
      <c r="I37" s="67">
        <f t="shared" si="21"/>
        <v>6580</v>
      </c>
      <c r="J37" s="67"/>
      <c r="K37" s="67">
        <f t="shared" si="22"/>
        <v>6580</v>
      </c>
      <c r="L37" s="67"/>
      <c r="M37" s="67">
        <f t="shared" si="23"/>
        <v>6580</v>
      </c>
      <c r="N37" s="67"/>
      <c r="O37" s="67">
        <v>7230</v>
      </c>
      <c r="P37" s="67"/>
      <c r="Q37" s="67">
        <f t="shared" si="18"/>
        <v>7230</v>
      </c>
      <c r="R37" s="67"/>
      <c r="S37" s="67">
        <f t="shared" si="19"/>
        <v>7230</v>
      </c>
      <c r="T37" s="67"/>
      <c r="U37" s="67">
        <f t="shared" si="20"/>
        <v>7230</v>
      </c>
    </row>
    <row r="38" spans="1:21" s="25" customFormat="1" ht="22.5" customHeight="1">
      <c r="A38" s="41"/>
      <c r="B38" s="54"/>
      <c r="C38" s="55">
        <v>4210</v>
      </c>
      <c r="D38" s="58" t="s">
        <v>86</v>
      </c>
      <c r="E38" s="67"/>
      <c r="F38" s="67"/>
      <c r="G38" s="67">
        <v>0</v>
      </c>
      <c r="H38" s="67">
        <v>7844</v>
      </c>
      <c r="I38" s="67">
        <f t="shared" si="21"/>
        <v>7844</v>
      </c>
      <c r="J38" s="67">
        <v>1000</v>
      </c>
      <c r="K38" s="67">
        <f t="shared" si="22"/>
        <v>8844</v>
      </c>
      <c r="L38" s="67">
        <v>-1000</v>
      </c>
      <c r="M38" s="67">
        <f t="shared" si="23"/>
        <v>7844</v>
      </c>
      <c r="N38" s="67"/>
      <c r="O38" s="67">
        <v>6688</v>
      </c>
      <c r="P38" s="67"/>
      <c r="Q38" s="67">
        <f t="shared" si="18"/>
        <v>6688</v>
      </c>
      <c r="R38" s="67"/>
      <c r="S38" s="67">
        <f t="shared" si="19"/>
        <v>6688</v>
      </c>
      <c r="T38" s="67"/>
      <c r="U38" s="67">
        <f t="shared" si="20"/>
        <v>6688</v>
      </c>
    </row>
    <row r="39" spans="1:21" s="25" customFormat="1" ht="22.5" customHeight="1">
      <c r="A39" s="41"/>
      <c r="B39" s="54"/>
      <c r="C39" s="55">
        <v>4300</v>
      </c>
      <c r="D39" s="36" t="s">
        <v>75</v>
      </c>
      <c r="E39" s="67"/>
      <c r="F39" s="67"/>
      <c r="G39" s="67">
        <v>0</v>
      </c>
      <c r="H39" s="67">
        <v>2037</v>
      </c>
      <c r="I39" s="67">
        <f t="shared" si="21"/>
        <v>2037</v>
      </c>
      <c r="J39" s="67"/>
      <c r="K39" s="67">
        <f t="shared" si="22"/>
        <v>2037</v>
      </c>
      <c r="L39" s="67"/>
      <c r="M39" s="67">
        <f t="shared" si="23"/>
        <v>2037</v>
      </c>
      <c r="N39" s="67"/>
      <c r="O39" s="67">
        <v>2037</v>
      </c>
      <c r="P39" s="67"/>
      <c r="Q39" s="67">
        <f t="shared" si="18"/>
        <v>2037</v>
      </c>
      <c r="R39" s="67"/>
      <c r="S39" s="67">
        <f t="shared" si="19"/>
        <v>2037</v>
      </c>
      <c r="T39" s="67"/>
      <c r="U39" s="67">
        <f t="shared" si="20"/>
        <v>2037</v>
      </c>
    </row>
    <row r="40" spans="1:21" s="25" customFormat="1" ht="22.5" customHeight="1">
      <c r="A40" s="41"/>
      <c r="B40" s="54"/>
      <c r="C40" s="55">
        <v>4410</v>
      </c>
      <c r="D40" s="36" t="s">
        <v>85</v>
      </c>
      <c r="E40" s="67"/>
      <c r="F40" s="67"/>
      <c r="G40" s="67">
        <v>0</v>
      </c>
      <c r="H40" s="67">
        <v>2500</v>
      </c>
      <c r="I40" s="67">
        <f t="shared" si="21"/>
        <v>2500</v>
      </c>
      <c r="J40" s="67"/>
      <c r="K40" s="67">
        <f t="shared" si="22"/>
        <v>2500</v>
      </c>
      <c r="L40" s="67"/>
      <c r="M40" s="67">
        <f t="shared" si="23"/>
        <v>2500</v>
      </c>
      <c r="N40" s="67"/>
      <c r="O40" s="67">
        <v>1105</v>
      </c>
      <c r="P40" s="67"/>
      <c r="Q40" s="67">
        <f t="shared" si="18"/>
        <v>1105</v>
      </c>
      <c r="R40" s="67"/>
      <c r="S40" s="67">
        <f t="shared" si="19"/>
        <v>1105</v>
      </c>
      <c r="T40" s="67"/>
      <c r="U40" s="67">
        <f t="shared" si="20"/>
        <v>1105</v>
      </c>
    </row>
    <row r="41" spans="1:21" s="25" customFormat="1" ht="22.5" customHeight="1">
      <c r="A41" s="41"/>
      <c r="B41" s="54"/>
      <c r="C41" s="55">
        <v>4740</v>
      </c>
      <c r="D41" s="36" t="s">
        <v>183</v>
      </c>
      <c r="E41" s="67"/>
      <c r="F41" s="67"/>
      <c r="G41" s="67">
        <v>0</v>
      </c>
      <c r="H41" s="67">
        <v>238</v>
      </c>
      <c r="I41" s="67">
        <f t="shared" si="21"/>
        <v>238</v>
      </c>
      <c r="J41" s="67"/>
      <c r="K41" s="67">
        <f t="shared" si="22"/>
        <v>238</v>
      </c>
      <c r="L41" s="67"/>
      <c r="M41" s="67">
        <f t="shared" si="23"/>
        <v>238</v>
      </c>
      <c r="N41" s="67"/>
      <c r="O41" s="67">
        <v>280</v>
      </c>
      <c r="P41" s="67"/>
      <c r="Q41" s="67">
        <f t="shared" si="18"/>
        <v>280</v>
      </c>
      <c r="R41" s="67"/>
      <c r="S41" s="67">
        <f t="shared" si="19"/>
        <v>280</v>
      </c>
      <c r="T41" s="67"/>
      <c r="U41" s="67">
        <f t="shared" si="20"/>
        <v>280</v>
      </c>
    </row>
    <row r="42" spans="1:21" s="25" customFormat="1" ht="22.5" customHeight="1">
      <c r="A42" s="41"/>
      <c r="B42" s="54"/>
      <c r="C42" s="55">
        <v>4750</v>
      </c>
      <c r="D42" s="36" t="s">
        <v>230</v>
      </c>
      <c r="E42" s="67"/>
      <c r="F42" s="67"/>
      <c r="G42" s="67">
        <v>0</v>
      </c>
      <c r="H42" s="67">
        <v>233</v>
      </c>
      <c r="I42" s="67">
        <f t="shared" si="21"/>
        <v>233</v>
      </c>
      <c r="J42" s="67"/>
      <c r="K42" s="67">
        <f t="shared" si="22"/>
        <v>233</v>
      </c>
      <c r="L42" s="67">
        <v>1000</v>
      </c>
      <c r="M42" s="67">
        <f t="shared" si="23"/>
        <v>1233</v>
      </c>
      <c r="N42" s="67"/>
      <c r="O42" s="67">
        <v>2918</v>
      </c>
      <c r="P42" s="67"/>
      <c r="Q42" s="67">
        <f t="shared" si="18"/>
        <v>2918</v>
      </c>
      <c r="R42" s="67"/>
      <c r="S42" s="67">
        <f t="shared" si="19"/>
        <v>2918</v>
      </c>
      <c r="T42" s="67"/>
      <c r="U42" s="67">
        <f t="shared" si="20"/>
        <v>2918</v>
      </c>
    </row>
    <row r="43" spans="1:25" s="25" customFormat="1" ht="22.5" customHeight="1">
      <c r="A43" s="32" t="s">
        <v>94</v>
      </c>
      <c r="B43" s="33"/>
      <c r="C43" s="34"/>
      <c r="D43" s="35" t="s">
        <v>95</v>
      </c>
      <c r="E43" s="200">
        <f aca="true" t="shared" si="24" ref="E43:N43">SUM(E44,E73,E87,E91,E118,E125,E130,E141)</f>
        <v>28296058</v>
      </c>
      <c r="F43" s="200">
        <f t="shared" si="24"/>
        <v>1523600</v>
      </c>
      <c r="G43" s="200">
        <f t="shared" si="24"/>
        <v>29819658</v>
      </c>
      <c r="H43" s="200">
        <f t="shared" si="24"/>
        <v>19932</v>
      </c>
      <c r="I43" s="200">
        <f t="shared" si="24"/>
        <v>29839590</v>
      </c>
      <c r="J43" s="200">
        <f t="shared" si="24"/>
        <v>287502</v>
      </c>
      <c r="K43" s="200">
        <f t="shared" si="24"/>
        <v>30127092</v>
      </c>
      <c r="L43" s="200">
        <f t="shared" si="24"/>
        <v>0</v>
      </c>
      <c r="M43" s="200">
        <f t="shared" si="24"/>
        <v>30127092</v>
      </c>
      <c r="N43" s="200">
        <f t="shared" si="24"/>
        <v>20240</v>
      </c>
      <c r="O43" s="200">
        <f aca="true" t="shared" si="25" ref="O43:U44">O44</f>
        <v>0</v>
      </c>
      <c r="P43" s="200">
        <f t="shared" si="25"/>
        <v>44050</v>
      </c>
      <c r="Q43" s="200">
        <f t="shared" si="25"/>
        <v>44050</v>
      </c>
      <c r="R43" s="200">
        <f t="shared" si="25"/>
        <v>0</v>
      </c>
      <c r="S43" s="200">
        <f t="shared" si="25"/>
        <v>44050</v>
      </c>
      <c r="T43" s="200">
        <f t="shared" si="25"/>
        <v>0</v>
      </c>
      <c r="U43" s="200">
        <f t="shared" si="25"/>
        <v>44050</v>
      </c>
      <c r="V43" s="230"/>
      <c r="W43" s="230"/>
      <c r="X43" s="230"/>
      <c r="Y43" s="230"/>
    </row>
    <row r="44" spans="1:25" s="25" customFormat="1" ht="22.5" customHeight="1">
      <c r="A44" s="49"/>
      <c r="B44" s="63" t="s">
        <v>96</v>
      </c>
      <c r="C44" s="66"/>
      <c r="D44" s="36" t="s">
        <v>51</v>
      </c>
      <c r="E44" s="62">
        <f aca="true" t="shared" si="26" ref="E44:N44">SUM(E45:E72)</f>
        <v>28296058</v>
      </c>
      <c r="F44" s="62">
        <f t="shared" si="26"/>
        <v>1523600</v>
      </c>
      <c r="G44" s="62">
        <f t="shared" si="26"/>
        <v>29819658</v>
      </c>
      <c r="H44" s="62">
        <f t="shared" si="26"/>
        <v>19932</v>
      </c>
      <c r="I44" s="62">
        <f t="shared" si="26"/>
        <v>29839590</v>
      </c>
      <c r="J44" s="62">
        <f t="shared" si="26"/>
        <v>287502</v>
      </c>
      <c r="K44" s="62">
        <f t="shared" si="26"/>
        <v>30127092</v>
      </c>
      <c r="L44" s="62">
        <f t="shared" si="26"/>
        <v>0</v>
      </c>
      <c r="M44" s="62">
        <f t="shared" si="26"/>
        <v>30127092</v>
      </c>
      <c r="N44" s="62">
        <f t="shared" si="26"/>
        <v>20240</v>
      </c>
      <c r="O44" s="62">
        <f t="shared" si="25"/>
        <v>0</v>
      </c>
      <c r="P44" s="62">
        <f t="shared" si="25"/>
        <v>44050</v>
      </c>
      <c r="Q44" s="62">
        <f t="shared" si="25"/>
        <v>44050</v>
      </c>
      <c r="R44" s="62">
        <f t="shared" si="25"/>
        <v>0</v>
      </c>
      <c r="S44" s="62">
        <f t="shared" si="25"/>
        <v>44050</v>
      </c>
      <c r="T44" s="62">
        <f t="shared" si="25"/>
        <v>0</v>
      </c>
      <c r="U44" s="62">
        <f t="shared" si="25"/>
        <v>44050</v>
      </c>
      <c r="V44" s="231"/>
      <c r="W44" s="231"/>
      <c r="X44" s="231"/>
      <c r="Y44" s="231"/>
    </row>
    <row r="45" spans="1:25" s="25" customFormat="1" ht="22.5" customHeight="1">
      <c r="A45" s="41"/>
      <c r="B45" s="54"/>
      <c r="C45" s="49">
        <v>4300</v>
      </c>
      <c r="D45" s="36" t="s">
        <v>75</v>
      </c>
      <c r="E45" s="62">
        <v>110748</v>
      </c>
      <c r="F45" s="62"/>
      <c r="G45" s="62">
        <f>SUM(E45:F45)</f>
        <v>110748</v>
      </c>
      <c r="H45" s="62"/>
      <c r="I45" s="62">
        <f>SUM(G45:H45)</f>
        <v>110748</v>
      </c>
      <c r="J45" s="62">
        <v>1000</v>
      </c>
      <c r="K45" s="62">
        <f>SUM(I45:J45)</f>
        <v>111748</v>
      </c>
      <c r="L45" s="62"/>
      <c r="M45" s="62">
        <f>SUM(K45:L45)</f>
        <v>111748</v>
      </c>
      <c r="N45" s="62">
        <v>-1000</v>
      </c>
      <c r="O45" s="62">
        <v>0</v>
      </c>
      <c r="P45" s="62">
        <v>44050</v>
      </c>
      <c r="Q45" s="67">
        <f t="shared" si="18"/>
        <v>44050</v>
      </c>
      <c r="R45" s="62"/>
      <c r="S45" s="67">
        <f>SUM(Q45:R45)</f>
        <v>44050</v>
      </c>
      <c r="T45" s="62"/>
      <c r="U45" s="67">
        <f>SUM(S45:T45)</f>
        <v>44050</v>
      </c>
      <c r="V45" s="231"/>
      <c r="W45" s="231"/>
      <c r="X45" s="231"/>
      <c r="Y45" s="231"/>
    </row>
    <row r="46" spans="1:215" s="25" customFormat="1" ht="21" customHeight="1">
      <c r="A46" s="30">
        <v>852</v>
      </c>
      <c r="B46" s="4"/>
      <c r="C46" s="23"/>
      <c r="D46" s="29" t="s">
        <v>156</v>
      </c>
      <c r="E46" s="40">
        <f aca="true" t="shared" si="27" ref="E46:Q46">SUM(E47,E60,E62,)</f>
        <v>7006200</v>
      </c>
      <c r="F46" s="40">
        <f t="shared" si="27"/>
        <v>380900</v>
      </c>
      <c r="G46" s="40">
        <f t="shared" si="27"/>
        <v>7387100</v>
      </c>
      <c r="H46" s="40">
        <f t="shared" si="27"/>
        <v>0</v>
      </c>
      <c r="I46" s="40">
        <f t="shared" si="27"/>
        <v>7387100</v>
      </c>
      <c r="J46" s="40">
        <f t="shared" si="27"/>
        <v>0</v>
      </c>
      <c r="K46" s="40">
        <f t="shared" si="27"/>
        <v>7387100</v>
      </c>
      <c r="L46" s="40">
        <f t="shared" si="27"/>
        <v>0</v>
      </c>
      <c r="M46" s="40">
        <f t="shared" si="27"/>
        <v>7387100</v>
      </c>
      <c r="N46" s="40">
        <f t="shared" si="27"/>
        <v>0</v>
      </c>
      <c r="O46" s="40">
        <f t="shared" si="27"/>
        <v>7387100</v>
      </c>
      <c r="P46" s="40">
        <f t="shared" si="27"/>
        <v>0</v>
      </c>
      <c r="Q46" s="40">
        <f t="shared" si="27"/>
        <v>7387100</v>
      </c>
      <c r="R46" s="40">
        <f>SUM(R47,R60,R62,)</f>
        <v>-291585</v>
      </c>
      <c r="S46" s="40">
        <f>SUM(S47,S60,S62,)</f>
        <v>7095515</v>
      </c>
      <c r="T46" s="40">
        <f>SUM(T47,T60,T62,)</f>
        <v>-767244</v>
      </c>
      <c r="U46" s="40">
        <f>SUM(U47,U60,U62,)</f>
        <v>6328271</v>
      </c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G46" s="74"/>
    </row>
    <row r="47" spans="1:215" s="25" customFormat="1" ht="45">
      <c r="A47" s="69"/>
      <c r="B47" s="41">
        <v>85212</v>
      </c>
      <c r="C47" s="60"/>
      <c r="D47" s="58" t="s">
        <v>298</v>
      </c>
      <c r="E47" s="67">
        <f aca="true" t="shared" si="28" ref="E47:Q47">SUM(E48:E59)</f>
        <v>6479100</v>
      </c>
      <c r="F47" s="67">
        <f t="shared" si="28"/>
        <v>334300</v>
      </c>
      <c r="G47" s="67">
        <f t="shared" si="28"/>
        <v>6813400</v>
      </c>
      <c r="H47" s="67">
        <f t="shared" si="28"/>
        <v>0</v>
      </c>
      <c r="I47" s="67">
        <f t="shared" si="28"/>
        <v>6813400</v>
      </c>
      <c r="J47" s="67">
        <f t="shared" si="28"/>
        <v>0</v>
      </c>
      <c r="K47" s="67">
        <f t="shared" si="28"/>
        <v>6813400</v>
      </c>
      <c r="L47" s="67">
        <f t="shared" si="28"/>
        <v>0</v>
      </c>
      <c r="M47" s="67">
        <f t="shared" si="28"/>
        <v>6813400</v>
      </c>
      <c r="N47" s="67">
        <f t="shared" si="28"/>
        <v>0</v>
      </c>
      <c r="O47" s="67">
        <f t="shared" si="28"/>
        <v>6813400</v>
      </c>
      <c r="P47" s="67">
        <f t="shared" si="28"/>
        <v>0</v>
      </c>
      <c r="Q47" s="67">
        <f t="shared" si="28"/>
        <v>6813400</v>
      </c>
      <c r="R47" s="67">
        <f>SUM(R48:R59)</f>
        <v>0</v>
      </c>
      <c r="S47" s="67">
        <f>SUM(S48:S59)</f>
        <v>6813400</v>
      </c>
      <c r="T47" s="67">
        <f>SUM(T48:T59)</f>
        <v>-763299</v>
      </c>
      <c r="U47" s="67">
        <f>SUM(U48:U59)</f>
        <v>6050101</v>
      </c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M47" s="74"/>
      <c r="GN47" s="74"/>
      <c r="GO47" s="74"/>
      <c r="GP47" s="74"/>
      <c r="GQ47" s="74"/>
      <c r="GR47" s="74"/>
      <c r="GS47" s="74"/>
      <c r="GT47" s="74"/>
      <c r="GU47" s="74"/>
      <c r="GV47" s="74"/>
      <c r="GW47" s="74"/>
      <c r="GX47" s="74"/>
      <c r="GY47" s="74"/>
      <c r="GZ47" s="74"/>
      <c r="HA47" s="74"/>
      <c r="HB47" s="74"/>
      <c r="HC47" s="74"/>
      <c r="HD47" s="74"/>
      <c r="HE47" s="74"/>
      <c r="HF47" s="74"/>
      <c r="HG47" s="74"/>
    </row>
    <row r="48" spans="1:215" s="25" customFormat="1" ht="21" customHeight="1">
      <c r="A48" s="69"/>
      <c r="B48" s="41"/>
      <c r="C48" s="60">
        <v>3110</v>
      </c>
      <c r="D48" s="58" t="s">
        <v>97</v>
      </c>
      <c r="E48" s="52">
        <f>6284727-51000</f>
        <v>6233727</v>
      </c>
      <c r="F48" s="52">
        <v>324271</v>
      </c>
      <c r="G48" s="52">
        <f aca="true" t="shared" si="29" ref="G48:G59">SUM(E48:F48)</f>
        <v>6557998</v>
      </c>
      <c r="H48" s="52"/>
      <c r="I48" s="52">
        <f aca="true" t="shared" si="30" ref="I48:I59">SUM(G48:H48)</f>
        <v>6557998</v>
      </c>
      <c r="J48" s="52"/>
      <c r="K48" s="52">
        <f aca="true" t="shared" si="31" ref="K48:K59">SUM(I48:J48)</f>
        <v>6557998</v>
      </c>
      <c r="L48" s="52"/>
      <c r="M48" s="52">
        <f aca="true" t="shared" si="32" ref="M48:M59">SUM(K48:L48)</f>
        <v>6557998</v>
      </c>
      <c r="N48" s="52"/>
      <c r="O48" s="52">
        <f aca="true" t="shared" si="33" ref="O48:O59">SUM(M48:N48)</f>
        <v>6557998</v>
      </c>
      <c r="P48" s="52"/>
      <c r="Q48" s="52">
        <f aca="true" t="shared" si="34" ref="Q48:Q59">SUM(O48:P48)</f>
        <v>6557998</v>
      </c>
      <c r="R48" s="52"/>
      <c r="S48" s="52">
        <f aca="true" t="shared" si="35" ref="S48:S59">SUM(Q48:R48)</f>
        <v>6557998</v>
      </c>
      <c r="T48" s="52">
        <f>-763299+22899</f>
        <v>-740400</v>
      </c>
      <c r="U48" s="52">
        <f aca="true" t="shared" si="36" ref="U48:U59">SUM(S48:T48)</f>
        <v>5817598</v>
      </c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</row>
    <row r="49" spans="1:215" s="25" customFormat="1" ht="21" customHeight="1">
      <c r="A49" s="69"/>
      <c r="B49" s="41"/>
      <c r="C49" s="41">
        <v>4010</v>
      </c>
      <c r="D49" s="14" t="s">
        <v>79</v>
      </c>
      <c r="E49" s="52">
        <v>153581</v>
      </c>
      <c r="F49" s="52">
        <v>1080</v>
      </c>
      <c r="G49" s="52">
        <f t="shared" si="29"/>
        <v>154661</v>
      </c>
      <c r="H49" s="52"/>
      <c r="I49" s="52">
        <f t="shared" si="30"/>
        <v>154661</v>
      </c>
      <c r="J49" s="52"/>
      <c r="K49" s="52">
        <f t="shared" si="31"/>
        <v>154661</v>
      </c>
      <c r="L49" s="52"/>
      <c r="M49" s="52">
        <f t="shared" si="32"/>
        <v>154661</v>
      </c>
      <c r="N49" s="52"/>
      <c r="O49" s="52">
        <f t="shared" si="33"/>
        <v>154661</v>
      </c>
      <c r="P49" s="52"/>
      <c r="Q49" s="52">
        <f t="shared" si="34"/>
        <v>154661</v>
      </c>
      <c r="R49" s="52"/>
      <c r="S49" s="52">
        <f t="shared" si="35"/>
        <v>154661</v>
      </c>
      <c r="T49" s="52">
        <v>-22899</v>
      </c>
      <c r="U49" s="52">
        <f t="shared" si="36"/>
        <v>131762</v>
      </c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4"/>
      <c r="GT49" s="74"/>
      <c r="GU49" s="74"/>
      <c r="GV49" s="74"/>
      <c r="GW49" s="74"/>
      <c r="GX49" s="74"/>
      <c r="GY49" s="74"/>
      <c r="GZ49" s="74"/>
      <c r="HA49" s="74"/>
      <c r="HB49" s="74"/>
      <c r="HC49" s="74"/>
      <c r="HD49" s="74"/>
      <c r="HE49" s="74"/>
      <c r="HF49" s="74"/>
      <c r="HG49" s="74"/>
    </row>
    <row r="50" spans="1:215" s="25" customFormat="1" ht="21" customHeight="1">
      <c r="A50" s="69"/>
      <c r="B50" s="41"/>
      <c r="C50" s="41">
        <v>4040</v>
      </c>
      <c r="D50" s="14" t="s">
        <v>80</v>
      </c>
      <c r="E50" s="52">
        <v>12000</v>
      </c>
      <c r="F50" s="52">
        <v>-1406</v>
      </c>
      <c r="G50" s="52">
        <f t="shared" si="29"/>
        <v>10594</v>
      </c>
      <c r="H50" s="52"/>
      <c r="I50" s="52">
        <f t="shared" si="30"/>
        <v>10594</v>
      </c>
      <c r="J50" s="52"/>
      <c r="K50" s="52">
        <f t="shared" si="31"/>
        <v>10594</v>
      </c>
      <c r="L50" s="52"/>
      <c r="M50" s="52">
        <f t="shared" si="32"/>
        <v>10594</v>
      </c>
      <c r="N50" s="52"/>
      <c r="O50" s="52">
        <f t="shared" si="33"/>
        <v>10594</v>
      </c>
      <c r="P50" s="52"/>
      <c r="Q50" s="52">
        <f t="shared" si="34"/>
        <v>10594</v>
      </c>
      <c r="R50" s="52"/>
      <c r="S50" s="52">
        <f t="shared" si="35"/>
        <v>10594</v>
      </c>
      <c r="T50" s="52"/>
      <c r="U50" s="52">
        <f t="shared" si="36"/>
        <v>10594</v>
      </c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M50" s="74"/>
      <c r="GN50" s="74"/>
      <c r="GO50" s="74"/>
      <c r="GP50" s="74"/>
      <c r="GQ50" s="74"/>
      <c r="GR50" s="74"/>
      <c r="GS50" s="74"/>
      <c r="GT50" s="74"/>
      <c r="GU50" s="74"/>
      <c r="GV50" s="74"/>
      <c r="GW50" s="74"/>
      <c r="GX50" s="74"/>
      <c r="GY50" s="74"/>
      <c r="GZ50" s="74"/>
      <c r="HA50" s="74"/>
      <c r="HB50" s="74"/>
      <c r="HC50" s="74"/>
      <c r="HD50" s="74"/>
      <c r="HE50" s="74"/>
      <c r="HF50" s="74"/>
      <c r="HG50" s="74"/>
    </row>
    <row r="51" spans="1:215" s="25" customFormat="1" ht="21" customHeight="1">
      <c r="A51" s="69"/>
      <c r="B51" s="41"/>
      <c r="C51" s="41">
        <v>4110</v>
      </c>
      <c r="D51" s="14" t="s">
        <v>81</v>
      </c>
      <c r="E51" s="52">
        <f>20612+51000</f>
        <v>71612</v>
      </c>
      <c r="F51" s="52"/>
      <c r="G51" s="52">
        <f t="shared" si="29"/>
        <v>71612</v>
      </c>
      <c r="H51" s="52"/>
      <c r="I51" s="52">
        <f t="shared" si="30"/>
        <v>71612</v>
      </c>
      <c r="J51" s="52"/>
      <c r="K51" s="52">
        <f t="shared" si="31"/>
        <v>71612</v>
      </c>
      <c r="L51" s="52"/>
      <c r="M51" s="52">
        <f t="shared" si="32"/>
        <v>71612</v>
      </c>
      <c r="N51" s="52"/>
      <c r="O51" s="52">
        <f t="shared" si="33"/>
        <v>71612</v>
      </c>
      <c r="P51" s="52"/>
      <c r="Q51" s="52">
        <f t="shared" si="34"/>
        <v>71612</v>
      </c>
      <c r="R51" s="52"/>
      <c r="S51" s="52">
        <f t="shared" si="35"/>
        <v>71612</v>
      </c>
      <c r="T51" s="52"/>
      <c r="U51" s="52">
        <f t="shared" si="36"/>
        <v>71612</v>
      </c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M51" s="74"/>
      <c r="GN51" s="74"/>
      <c r="GO51" s="74"/>
      <c r="GP51" s="74"/>
      <c r="GQ51" s="74"/>
      <c r="GR51" s="74"/>
      <c r="GS51" s="74"/>
      <c r="GT51" s="74"/>
      <c r="GU51" s="74"/>
      <c r="GV51" s="74"/>
      <c r="GW51" s="74"/>
      <c r="GX51" s="74"/>
      <c r="GY51" s="74"/>
      <c r="GZ51" s="74"/>
      <c r="HA51" s="74"/>
      <c r="HB51" s="74"/>
      <c r="HC51" s="74"/>
      <c r="HD51" s="74"/>
      <c r="HE51" s="74"/>
      <c r="HF51" s="74"/>
      <c r="HG51" s="74"/>
    </row>
    <row r="52" spans="1:215" s="25" customFormat="1" ht="21" customHeight="1">
      <c r="A52" s="69"/>
      <c r="B52" s="41"/>
      <c r="C52" s="41">
        <v>4120</v>
      </c>
      <c r="D52" s="14" t="s">
        <v>82</v>
      </c>
      <c r="E52" s="52">
        <v>3305</v>
      </c>
      <c r="F52" s="52"/>
      <c r="G52" s="52">
        <f t="shared" si="29"/>
        <v>3305</v>
      </c>
      <c r="H52" s="52"/>
      <c r="I52" s="52">
        <f t="shared" si="30"/>
        <v>3305</v>
      </c>
      <c r="J52" s="52"/>
      <c r="K52" s="52">
        <f t="shared" si="31"/>
        <v>3305</v>
      </c>
      <c r="L52" s="52"/>
      <c r="M52" s="52">
        <f t="shared" si="32"/>
        <v>3305</v>
      </c>
      <c r="N52" s="52"/>
      <c r="O52" s="52">
        <f t="shared" si="33"/>
        <v>3305</v>
      </c>
      <c r="P52" s="52"/>
      <c r="Q52" s="52">
        <f t="shared" si="34"/>
        <v>3305</v>
      </c>
      <c r="R52" s="52"/>
      <c r="S52" s="52">
        <f t="shared" si="35"/>
        <v>3305</v>
      </c>
      <c r="T52" s="52"/>
      <c r="U52" s="52">
        <f t="shared" si="36"/>
        <v>3305</v>
      </c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M52" s="74"/>
      <c r="GN52" s="74"/>
      <c r="GO52" s="74"/>
      <c r="GP52" s="74"/>
      <c r="GQ52" s="74"/>
      <c r="GR52" s="74"/>
      <c r="GS52" s="74"/>
      <c r="GT52" s="74"/>
      <c r="GU52" s="74"/>
      <c r="GV52" s="74"/>
      <c r="GW52" s="74"/>
      <c r="GX52" s="74"/>
      <c r="GY52" s="74"/>
      <c r="GZ52" s="74"/>
      <c r="HA52" s="74"/>
      <c r="HB52" s="74"/>
      <c r="HC52" s="74"/>
      <c r="HD52" s="74"/>
      <c r="HE52" s="74"/>
      <c r="HF52" s="74"/>
      <c r="HG52" s="74"/>
    </row>
    <row r="53" spans="1:215" s="25" customFormat="1" ht="21" customHeight="1">
      <c r="A53" s="69"/>
      <c r="B53" s="41"/>
      <c r="C53" s="41">
        <v>4210</v>
      </c>
      <c r="D53" s="14" t="s">
        <v>86</v>
      </c>
      <c r="E53" s="52">
        <v>0</v>
      </c>
      <c r="F53" s="52">
        <v>5029</v>
      </c>
      <c r="G53" s="52">
        <f t="shared" si="29"/>
        <v>5029</v>
      </c>
      <c r="H53" s="52"/>
      <c r="I53" s="52">
        <f t="shared" si="30"/>
        <v>5029</v>
      </c>
      <c r="J53" s="52"/>
      <c r="K53" s="52">
        <f t="shared" si="31"/>
        <v>5029</v>
      </c>
      <c r="L53" s="52"/>
      <c r="M53" s="52">
        <f t="shared" si="32"/>
        <v>5029</v>
      </c>
      <c r="N53" s="52"/>
      <c r="O53" s="52">
        <f t="shared" si="33"/>
        <v>5029</v>
      </c>
      <c r="P53" s="52"/>
      <c r="Q53" s="52">
        <f t="shared" si="34"/>
        <v>5029</v>
      </c>
      <c r="R53" s="52"/>
      <c r="S53" s="52">
        <f t="shared" si="35"/>
        <v>5029</v>
      </c>
      <c r="T53" s="52"/>
      <c r="U53" s="52">
        <f t="shared" si="36"/>
        <v>5029</v>
      </c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M53" s="74"/>
      <c r="GN53" s="74"/>
      <c r="GO53" s="74"/>
      <c r="GP53" s="74"/>
      <c r="GQ53" s="74"/>
      <c r="GR53" s="74"/>
      <c r="GS53" s="74"/>
      <c r="GT53" s="74"/>
      <c r="GU53" s="74"/>
      <c r="GV53" s="74"/>
      <c r="GW53" s="74"/>
      <c r="GX53" s="74"/>
      <c r="GY53" s="74"/>
      <c r="GZ53" s="74"/>
      <c r="HA53" s="74"/>
      <c r="HB53" s="74"/>
      <c r="HC53" s="74"/>
      <c r="HD53" s="74"/>
      <c r="HE53" s="74"/>
      <c r="HF53" s="74"/>
      <c r="HG53" s="74"/>
    </row>
    <row r="54" spans="1:215" s="25" customFormat="1" ht="21" customHeight="1">
      <c r="A54" s="69"/>
      <c r="B54" s="41"/>
      <c r="C54" s="41">
        <v>4410</v>
      </c>
      <c r="D54" s="36" t="s">
        <v>85</v>
      </c>
      <c r="E54" s="52">
        <v>0</v>
      </c>
      <c r="F54" s="52">
        <v>2000</v>
      </c>
      <c r="G54" s="52">
        <f t="shared" si="29"/>
        <v>2000</v>
      </c>
      <c r="H54" s="52"/>
      <c r="I54" s="52">
        <f t="shared" si="30"/>
        <v>2000</v>
      </c>
      <c r="J54" s="52"/>
      <c r="K54" s="52">
        <f t="shared" si="31"/>
        <v>2000</v>
      </c>
      <c r="L54" s="52"/>
      <c r="M54" s="52">
        <f t="shared" si="32"/>
        <v>2000</v>
      </c>
      <c r="N54" s="52"/>
      <c r="O54" s="52">
        <f t="shared" si="33"/>
        <v>2000</v>
      </c>
      <c r="P54" s="52"/>
      <c r="Q54" s="52">
        <f t="shared" si="34"/>
        <v>2000</v>
      </c>
      <c r="R54" s="52"/>
      <c r="S54" s="52">
        <f t="shared" si="35"/>
        <v>2000</v>
      </c>
      <c r="T54" s="52"/>
      <c r="U54" s="52">
        <f t="shared" si="36"/>
        <v>2000</v>
      </c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M54" s="74"/>
      <c r="GN54" s="74"/>
      <c r="GO54" s="74"/>
      <c r="GP54" s="74"/>
      <c r="GQ54" s="74"/>
      <c r="GR54" s="74"/>
      <c r="GS54" s="74"/>
      <c r="GT54" s="74"/>
      <c r="GU54" s="74"/>
      <c r="GV54" s="74"/>
      <c r="GW54" s="74"/>
      <c r="GX54" s="74"/>
      <c r="GY54" s="74"/>
      <c r="GZ54" s="74"/>
      <c r="HA54" s="74"/>
      <c r="HB54" s="74"/>
      <c r="HC54" s="74"/>
      <c r="HD54" s="74"/>
      <c r="HE54" s="74"/>
      <c r="HF54" s="74"/>
      <c r="HG54" s="74"/>
    </row>
    <row r="55" spans="1:215" s="25" customFormat="1" ht="21" customHeight="1">
      <c r="A55" s="69"/>
      <c r="B55" s="41"/>
      <c r="C55" s="41">
        <v>4430</v>
      </c>
      <c r="D55" s="36" t="s">
        <v>87</v>
      </c>
      <c r="E55" s="52">
        <v>0</v>
      </c>
      <c r="F55" s="52">
        <v>1000</v>
      </c>
      <c r="G55" s="52">
        <f t="shared" si="29"/>
        <v>1000</v>
      </c>
      <c r="H55" s="52"/>
      <c r="I55" s="52">
        <f t="shared" si="30"/>
        <v>1000</v>
      </c>
      <c r="J55" s="52"/>
      <c r="K55" s="52">
        <f t="shared" si="31"/>
        <v>1000</v>
      </c>
      <c r="L55" s="52"/>
      <c r="M55" s="52">
        <f t="shared" si="32"/>
        <v>1000</v>
      </c>
      <c r="N55" s="52"/>
      <c r="O55" s="52">
        <f t="shared" si="33"/>
        <v>1000</v>
      </c>
      <c r="P55" s="52"/>
      <c r="Q55" s="52">
        <f t="shared" si="34"/>
        <v>1000</v>
      </c>
      <c r="R55" s="52"/>
      <c r="S55" s="52">
        <f t="shared" si="35"/>
        <v>1000</v>
      </c>
      <c r="T55" s="52"/>
      <c r="U55" s="52">
        <f t="shared" si="36"/>
        <v>1000</v>
      </c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/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M55" s="74"/>
      <c r="GN55" s="74"/>
      <c r="GO55" s="74"/>
      <c r="GP55" s="74"/>
      <c r="GQ55" s="74"/>
      <c r="GR55" s="74"/>
      <c r="GS55" s="74"/>
      <c r="GT55" s="74"/>
      <c r="GU55" s="74"/>
      <c r="GV55" s="74"/>
      <c r="GW55" s="74"/>
      <c r="GX55" s="74"/>
      <c r="GY55" s="74"/>
      <c r="GZ55" s="74"/>
      <c r="HA55" s="74"/>
      <c r="HB55" s="74"/>
      <c r="HC55" s="74"/>
      <c r="HD55" s="74"/>
      <c r="HE55" s="74"/>
      <c r="HF55" s="74"/>
      <c r="HG55" s="74"/>
    </row>
    <row r="56" spans="1:215" s="25" customFormat="1" ht="22.5">
      <c r="A56" s="69"/>
      <c r="B56" s="41"/>
      <c r="C56" s="41">
        <v>4440</v>
      </c>
      <c r="D56" s="14" t="s">
        <v>83</v>
      </c>
      <c r="E56" s="52">
        <v>4875</v>
      </c>
      <c r="F56" s="52">
        <v>126</v>
      </c>
      <c r="G56" s="52">
        <f t="shared" si="29"/>
        <v>5001</v>
      </c>
      <c r="H56" s="52"/>
      <c r="I56" s="52">
        <f t="shared" si="30"/>
        <v>5001</v>
      </c>
      <c r="J56" s="52"/>
      <c r="K56" s="52">
        <f t="shared" si="31"/>
        <v>5001</v>
      </c>
      <c r="L56" s="52"/>
      <c r="M56" s="52">
        <f t="shared" si="32"/>
        <v>5001</v>
      </c>
      <c r="N56" s="52"/>
      <c r="O56" s="52">
        <f t="shared" si="33"/>
        <v>5001</v>
      </c>
      <c r="P56" s="52"/>
      <c r="Q56" s="52">
        <f t="shared" si="34"/>
        <v>5001</v>
      </c>
      <c r="R56" s="52"/>
      <c r="S56" s="52">
        <f t="shared" si="35"/>
        <v>5001</v>
      </c>
      <c r="T56" s="52"/>
      <c r="U56" s="52">
        <f t="shared" si="36"/>
        <v>5001</v>
      </c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/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M56" s="74"/>
      <c r="GN56" s="74"/>
      <c r="GO56" s="74"/>
      <c r="GP56" s="74"/>
      <c r="GQ56" s="74"/>
      <c r="GR56" s="74"/>
      <c r="GS56" s="74"/>
      <c r="GT56" s="74"/>
      <c r="GU56" s="74"/>
      <c r="GV56" s="74"/>
      <c r="GW56" s="74"/>
      <c r="GX56" s="74"/>
      <c r="GY56" s="74"/>
      <c r="GZ56" s="74"/>
      <c r="HA56" s="74"/>
      <c r="HB56" s="74"/>
      <c r="HC56" s="74"/>
      <c r="HD56" s="74"/>
      <c r="HE56" s="74"/>
      <c r="HF56" s="74"/>
      <c r="HG56" s="74"/>
    </row>
    <row r="57" spans="1:215" s="25" customFormat="1" ht="21" customHeight="1">
      <c r="A57" s="69"/>
      <c r="B57" s="41"/>
      <c r="C57" s="61">
        <v>4580</v>
      </c>
      <c r="D57" s="58" t="s">
        <v>11</v>
      </c>
      <c r="E57" s="52">
        <v>0</v>
      </c>
      <c r="F57" s="52">
        <v>200</v>
      </c>
      <c r="G57" s="52">
        <f t="shared" si="29"/>
        <v>200</v>
      </c>
      <c r="H57" s="52"/>
      <c r="I57" s="52">
        <f t="shared" si="30"/>
        <v>200</v>
      </c>
      <c r="J57" s="52"/>
      <c r="K57" s="52">
        <f t="shared" si="31"/>
        <v>200</v>
      </c>
      <c r="L57" s="52"/>
      <c r="M57" s="52">
        <f t="shared" si="32"/>
        <v>200</v>
      </c>
      <c r="N57" s="52"/>
      <c r="O57" s="52">
        <f t="shared" si="33"/>
        <v>200</v>
      </c>
      <c r="P57" s="52"/>
      <c r="Q57" s="52">
        <f t="shared" si="34"/>
        <v>200</v>
      </c>
      <c r="R57" s="52"/>
      <c r="S57" s="52">
        <f t="shared" si="35"/>
        <v>200</v>
      </c>
      <c r="T57" s="52"/>
      <c r="U57" s="52">
        <f t="shared" si="36"/>
        <v>200</v>
      </c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/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M57" s="74"/>
      <c r="GN57" s="74"/>
      <c r="GO57" s="74"/>
      <c r="GP57" s="74"/>
      <c r="GQ57" s="74"/>
      <c r="GR57" s="74"/>
      <c r="GS57" s="74"/>
      <c r="GT57" s="74"/>
      <c r="GU57" s="74"/>
      <c r="GV57" s="74"/>
      <c r="GW57" s="74"/>
      <c r="GX57" s="74"/>
      <c r="GY57" s="74"/>
      <c r="GZ57" s="74"/>
      <c r="HA57" s="74"/>
      <c r="HB57" s="74"/>
      <c r="HC57" s="74"/>
      <c r="HD57" s="74"/>
      <c r="HE57" s="74"/>
      <c r="HF57" s="74"/>
      <c r="HG57" s="74"/>
    </row>
    <row r="58" spans="1:215" s="25" customFormat="1" ht="33.75">
      <c r="A58" s="69"/>
      <c r="B58" s="41"/>
      <c r="C58" s="61">
        <v>4740</v>
      </c>
      <c r="D58" s="36" t="s">
        <v>183</v>
      </c>
      <c r="E58" s="52">
        <v>0</v>
      </c>
      <c r="F58" s="52">
        <v>1000</v>
      </c>
      <c r="G58" s="52">
        <f t="shared" si="29"/>
        <v>1000</v>
      </c>
      <c r="H58" s="52"/>
      <c r="I58" s="52">
        <f t="shared" si="30"/>
        <v>1000</v>
      </c>
      <c r="J58" s="52"/>
      <c r="K58" s="52">
        <f t="shared" si="31"/>
        <v>1000</v>
      </c>
      <c r="L58" s="52"/>
      <c r="M58" s="52">
        <f t="shared" si="32"/>
        <v>1000</v>
      </c>
      <c r="N58" s="52"/>
      <c r="O58" s="52">
        <f t="shared" si="33"/>
        <v>1000</v>
      </c>
      <c r="P58" s="52"/>
      <c r="Q58" s="52">
        <f t="shared" si="34"/>
        <v>1000</v>
      </c>
      <c r="R58" s="52"/>
      <c r="S58" s="52">
        <f t="shared" si="35"/>
        <v>1000</v>
      </c>
      <c r="T58" s="52"/>
      <c r="U58" s="52">
        <f t="shared" si="36"/>
        <v>1000</v>
      </c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/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M58" s="74"/>
      <c r="GN58" s="74"/>
      <c r="GO58" s="74"/>
      <c r="GP58" s="74"/>
      <c r="GQ58" s="74"/>
      <c r="GR58" s="74"/>
      <c r="GS58" s="74"/>
      <c r="GT58" s="74"/>
      <c r="GU58" s="74"/>
      <c r="GV58" s="74"/>
      <c r="GW58" s="74"/>
      <c r="GX58" s="74"/>
      <c r="GY58" s="74"/>
      <c r="GZ58" s="74"/>
      <c r="HA58" s="74"/>
      <c r="HB58" s="74"/>
      <c r="HC58" s="74"/>
      <c r="HD58" s="74"/>
      <c r="HE58" s="74"/>
      <c r="HF58" s="74"/>
      <c r="HG58" s="74"/>
    </row>
    <row r="59" spans="1:215" s="25" customFormat="1" ht="22.5">
      <c r="A59" s="69"/>
      <c r="B59" s="41"/>
      <c r="C59" s="61">
        <v>4750</v>
      </c>
      <c r="D59" s="36" t="s">
        <v>230</v>
      </c>
      <c r="E59" s="52">
        <v>0</v>
      </c>
      <c r="F59" s="52">
        <v>1000</v>
      </c>
      <c r="G59" s="52">
        <f t="shared" si="29"/>
        <v>1000</v>
      </c>
      <c r="H59" s="52"/>
      <c r="I59" s="52">
        <f t="shared" si="30"/>
        <v>1000</v>
      </c>
      <c r="J59" s="52"/>
      <c r="K59" s="52">
        <f t="shared" si="31"/>
        <v>1000</v>
      </c>
      <c r="L59" s="52"/>
      <c r="M59" s="52">
        <f t="shared" si="32"/>
        <v>1000</v>
      </c>
      <c r="N59" s="52"/>
      <c r="O59" s="52">
        <f t="shared" si="33"/>
        <v>1000</v>
      </c>
      <c r="P59" s="52"/>
      <c r="Q59" s="52">
        <f t="shared" si="34"/>
        <v>1000</v>
      </c>
      <c r="R59" s="52"/>
      <c r="S59" s="52">
        <f t="shared" si="35"/>
        <v>1000</v>
      </c>
      <c r="T59" s="52"/>
      <c r="U59" s="52">
        <f t="shared" si="36"/>
        <v>1000</v>
      </c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/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M59" s="74"/>
      <c r="GN59" s="74"/>
      <c r="GO59" s="74"/>
      <c r="GP59" s="74"/>
      <c r="GQ59" s="74"/>
      <c r="GR59" s="74"/>
      <c r="GS59" s="74"/>
      <c r="GT59" s="74"/>
      <c r="GU59" s="74"/>
      <c r="GV59" s="74"/>
      <c r="GW59" s="74"/>
      <c r="GX59" s="74"/>
      <c r="GY59" s="74"/>
      <c r="GZ59" s="74"/>
      <c r="HA59" s="74"/>
      <c r="HB59" s="74"/>
      <c r="HC59" s="74"/>
      <c r="HD59" s="74"/>
      <c r="HE59" s="74"/>
      <c r="HF59" s="74"/>
      <c r="HG59" s="74"/>
    </row>
    <row r="60" spans="1:215" s="25" customFormat="1" ht="67.5">
      <c r="A60" s="54"/>
      <c r="B60" s="41">
        <v>85213</v>
      </c>
      <c r="C60" s="61"/>
      <c r="D60" s="58" t="s">
        <v>480</v>
      </c>
      <c r="E60" s="67">
        <f aca="true" t="shared" si="37" ref="E60:U60">SUM(E61)</f>
        <v>59100</v>
      </c>
      <c r="F60" s="67">
        <f t="shared" si="37"/>
        <v>-4100</v>
      </c>
      <c r="G60" s="67">
        <f t="shared" si="37"/>
        <v>55000</v>
      </c>
      <c r="H60" s="67">
        <f t="shared" si="37"/>
        <v>0</v>
      </c>
      <c r="I60" s="67">
        <f t="shared" si="37"/>
        <v>55000</v>
      </c>
      <c r="J60" s="67">
        <f t="shared" si="37"/>
        <v>0</v>
      </c>
      <c r="K60" s="67">
        <f t="shared" si="37"/>
        <v>55000</v>
      </c>
      <c r="L60" s="67">
        <f t="shared" si="37"/>
        <v>0</v>
      </c>
      <c r="M60" s="67">
        <f t="shared" si="37"/>
        <v>55000</v>
      </c>
      <c r="N60" s="67">
        <f t="shared" si="37"/>
        <v>0</v>
      </c>
      <c r="O60" s="67">
        <f t="shared" si="37"/>
        <v>55000</v>
      </c>
      <c r="P60" s="67">
        <f t="shared" si="37"/>
        <v>0</v>
      </c>
      <c r="Q60" s="67">
        <f t="shared" si="37"/>
        <v>55000</v>
      </c>
      <c r="R60" s="67">
        <f t="shared" si="37"/>
        <v>-18550</v>
      </c>
      <c r="S60" s="67">
        <f t="shared" si="37"/>
        <v>36450</v>
      </c>
      <c r="T60" s="67">
        <f t="shared" si="37"/>
        <v>-3945</v>
      </c>
      <c r="U60" s="67">
        <f t="shared" si="37"/>
        <v>32505</v>
      </c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/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M60" s="74"/>
      <c r="GN60" s="74"/>
      <c r="GO60" s="74"/>
      <c r="GP60" s="74"/>
      <c r="GQ60" s="74"/>
      <c r="GR60" s="74"/>
      <c r="GS60" s="74"/>
      <c r="GT60" s="74"/>
      <c r="GU60" s="74"/>
      <c r="GV60" s="74"/>
      <c r="GW60" s="74"/>
      <c r="GX60" s="74"/>
      <c r="GY60" s="74"/>
      <c r="GZ60" s="74"/>
      <c r="HA60" s="74"/>
      <c r="HB60" s="74"/>
      <c r="HC60" s="74"/>
      <c r="HD60" s="74"/>
      <c r="HE60" s="74"/>
      <c r="HF60" s="74"/>
      <c r="HG60" s="74"/>
    </row>
    <row r="61" spans="1:215" s="25" customFormat="1" ht="21" customHeight="1">
      <c r="A61" s="54"/>
      <c r="B61" s="41"/>
      <c r="C61" s="61">
        <v>4130</v>
      </c>
      <c r="D61" s="58" t="s">
        <v>99</v>
      </c>
      <c r="E61" s="67">
        <v>59100</v>
      </c>
      <c r="F61" s="67">
        <v>-4100</v>
      </c>
      <c r="G61" s="67">
        <f>SUM(E61:F61)</f>
        <v>55000</v>
      </c>
      <c r="H61" s="67"/>
      <c r="I61" s="67">
        <f>SUM(G61:H61)</f>
        <v>55000</v>
      </c>
      <c r="J61" s="67"/>
      <c r="K61" s="67">
        <f>SUM(I61:J61)</f>
        <v>55000</v>
      </c>
      <c r="L61" s="67"/>
      <c r="M61" s="67">
        <f>SUM(K61:L61)</f>
        <v>55000</v>
      </c>
      <c r="N61" s="67"/>
      <c r="O61" s="67">
        <f>SUM(M61:N61)</f>
        <v>55000</v>
      </c>
      <c r="P61" s="67"/>
      <c r="Q61" s="67">
        <f>SUM(O61:P61)</f>
        <v>55000</v>
      </c>
      <c r="R61" s="67">
        <v>-18550</v>
      </c>
      <c r="S61" s="67">
        <f>SUM(Q61:R61)</f>
        <v>36450</v>
      </c>
      <c r="T61" s="67">
        <v>-3945</v>
      </c>
      <c r="U61" s="67">
        <f>SUM(S61:T61)</f>
        <v>32505</v>
      </c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/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M61" s="74"/>
      <c r="GN61" s="74"/>
      <c r="GO61" s="74"/>
      <c r="GP61" s="74"/>
      <c r="GQ61" s="74"/>
      <c r="GR61" s="74"/>
      <c r="GS61" s="74"/>
      <c r="GT61" s="74"/>
      <c r="GU61" s="74"/>
      <c r="GV61" s="74"/>
      <c r="GW61" s="74"/>
      <c r="GX61" s="74"/>
      <c r="GY61" s="74"/>
      <c r="GZ61" s="74"/>
      <c r="HA61" s="74"/>
      <c r="HB61" s="74"/>
      <c r="HC61" s="74"/>
      <c r="HD61" s="74"/>
      <c r="HE61" s="74"/>
      <c r="HF61" s="74"/>
      <c r="HG61" s="74"/>
    </row>
    <row r="62" spans="1:215" s="232" customFormat="1" ht="22.5">
      <c r="A62" s="49"/>
      <c r="B62" s="49">
        <v>85214</v>
      </c>
      <c r="C62" s="50"/>
      <c r="D62" s="48" t="s">
        <v>168</v>
      </c>
      <c r="E62" s="68">
        <f aca="true" t="shared" si="38" ref="E62:Q62">SUM(E63:E64)</f>
        <v>468000</v>
      </c>
      <c r="F62" s="68">
        <f t="shared" si="38"/>
        <v>50700</v>
      </c>
      <c r="G62" s="68">
        <f t="shared" si="38"/>
        <v>518700</v>
      </c>
      <c r="H62" s="68">
        <f t="shared" si="38"/>
        <v>0</v>
      </c>
      <c r="I62" s="68">
        <f t="shared" si="38"/>
        <v>518700</v>
      </c>
      <c r="J62" s="68">
        <f t="shared" si="38"/>
        <v>0</v>
      </c>
      <c r="K62" s="68">
        <f t="shared" si="38"/>
        <v>518700</v>
      </c>
      <c r="L62" s="68">
        <f t="shared" si="38"/>
        <v>0</v>
      </c>
      <c r="M62" s="68">
        <f t="shared" si="38"/>
        <v>518700</v>
      </c>
      <c r="N62" s="68">
        <f t="shared" si="38"/>
        <v>0</v>
      </c>
      <c r="O62" s="68">
        <f t="shared" si="38"/>
        <v>518700</v>
      </c>
      <c r="P62" s="68">
        <f t="shared" si="38"/>
        <v>0</v>
      </c>
      <c r="Q62" s="68">
        <f t="shared" si="38"/>
        <v>518700</v>
      </c>
      <c r="R62" s="68">
        <f>SUM(R63:R64)</f>
        <v>-273035</v>
      </c>
      <c r="S62" s="68">
        <f>SUM(S63:S64)</f>
        <v>245665</v>
      </c>
      <c r="T62" s="68">
        <f>SUM(T63:T64)</f>
        <v>0</v>
      </c>
      <c r="U62" s="68">
        <f>SUM(U63:U64)</f>
        <v>245665</v>
      </c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/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M62" s="74"/>
      <c r="GN62" s="74"/>
      <c r="GO62" s="74"/>
      <c r="GP62" s="74"/>
      <c r="GQ62" s="74"/>
      <c r="GR62" s="74"/>
      <c r="GS62" s="74"/>
      <c r="GT62" s="74"/>
      <c r="GU62" s="74"/>
      <c r="GV62" s="74"/>
      <c r="GW62" s="74"/>
      <c r="GX62" s="74"/>
      <c r="GY62" s="74"/>
      <c r="GZ62" s="74"/>
      <c r="HA62" s="74"/>
      <c r="HB62" s="74"/>
      <c r="HC62" s="74"/>
      <c r="HD62" s="74"/>
      <c r="HE62" s="74"/>
      <c r="HF62" s="74"/>
      <c r="HG62" s="74"/>
    </row>
    <row r="63" spans="1:215" s="232" customFormat="1" ht="21" customHeight="1">
      <c r="A63" s="49"/>
      <c r="B63" s="66"/>
      <c r="C63" s="50">
        <v>3110</v>
      </c>
      <c r="D63" s="48" t="s">
        <v>97</v>
      </c>
      <c r="E63" s="68">
        <v>466900</v>
      </c>
      <c r="F63" s="68">
        <v>50700</v>
      </c>
      <c r="G63" s="68">
        <f>SUM(E63:F63)</f>
        <v>517600</v>
      </c>
      <c r="H63" s="68"/>
      <c r="I63" s="68">
        <f>SUM(G63:H63)</f>
        <v>517600</v>
      </c>
      <c r="J63" s="68"/>
      <c r="K63" s="68">
        <f>SUM(I63:J63)</f>
        <v>517600</v>
      </c>
      <c r="L63" s="68"/>
      <c r="M63" s="68">
        <f>SUM(K63:L63)</f>
        <v>517600</v>
      </c>
      <c r="N63" s="68"/>
      <c r="O63" s="68">
        <f>SUM(M63:N63)</f>
        <v>517600</v>
      </c>
      <c r="P63" s="68"/>
      <c r="Q63" s="68">
        <f>SUM(O63:P63)</f>
        <v>517600</v>
      </c>
      <c r="R63" s="68">
        <v>-273035</v>
      </c>
      <c r="S63" s="68">
        <f>SUM(Q63:R63)</f>
        <v>244565</v>
      </c>
      <c r="T63" s="68"/>
      <c r="U63" s="68">
        <f>SUM(S63:T63)</f>
        <v>244565</v>
      </c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/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M63" s="74"/>
      <c r="GN63" s="74"/>
      <c r="GO63" s="74"/>
      <c r="GP63" s="74"/>
      <c r="GQ63" s="74"/>
      <c r="GR63" s="74"/>
      <c r="GS63" s="74"/>
      <c r="GT63" s="74"/>
      <c r="GU63" s="74"/>
      <c r="GV63" s="74"/>
      <c r="GW63" s="74"/>
      <c r="GX63" s="74"/>
      <c r="GY63" s="74"/>
      <c r="GZ63" s="74"/>
      <c r="HA63" s="74"/>
      <c r="HB63" s="74"/>
      <c r="HC63" s="74"/>
      <c r="HD63" s="74"/>
      <c r="HE63" s="74"/>
      <c r="HF63" s="74"/>
      <c r="HG63" s="74"/>
    </row>
    <row r="64" spans="1:215" s="232" customFormat="1" ht="21" customHeight="1">
      <c r="A64" s="49"/>
      <c r="B64" s="66"/>
      <c r="C64" s="66">
        <v>4110</v>
      </c>
      <c r="D64" s="14" t="s">
        <v>81</v>
      </c>
      <c r="E64" s="68">
        <v>1100</v>
      </c>
      <c r="F64" s="68"/>
      <c r="G64" s="68">
        <f>SUM(E64:F64)</f>
        <v>1100</v>
      </c>
      <c r="H64" s="68"/>
      <c r="I64" s="68">
        <f>SUM(G64:H64)</f>
        <v>1100</v>
      </c>
      <c r="J64" s="68"/>
      <c r="K64" s="68">
        <f>SUM(I64:J64)</f>
        <v>1100</v>
      </c>
      <c r="L64" s="68"/>
      <c r="M64" s="68">
        <f>SUM(K64:L64)</f>
        <v>1100</v>
      </c>
      <c r="N64" s="68"/>
      <c r="O64" s="68">
        <f>SUM(M64:N64)</f>
        <v>1100</v>
      </c>
      <c r="P64" s="68"/>
      <c r="Q64" s="68">
        <f>SUM(O64:P64)</f>
        <v>1100</v>
      </c>
      <c r="R64" s="68"/>
      <c r="S64" s="68">
        <f>SUM(Q64:R64)</f>
        <v>1100</v>
      </c>
      <c r="T64" s="68"/>
      <c r="U64" s="68">
        <f>SUM(S64:T64)</f>
        <v>1100</v>
      </c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/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M64" s="74"/>
      <c r="GN64" s="74"/>
      <c r="GO64" s="74"/>
      <c r="GP64" s="74"/>
      <c r="GQ64" s="74"/>
      <c r="GR64" s="74"/>
      <c r="GS64" s="74"/>
      <c r="GT64" s="74"/>
      <c r="GU64" s="74"/>
      <c r="GV64" s="74"/>
      <c r="GW64" s="74"/>
      <c r="GX64" s="74"/>
      <c r="GY64" s="74"/>
      <c r="GZ64" s="74"/>
      <c r="HA64" s="74"/>
      <c r="HB64" s="74"/>
      <c r="HC64" s="74"/>
      <c r="HD64" s="74"/>
      <c r="HE64" s="74"/>
      <c r="HF64" s="74"/>
      <c r="HG64" s="74"/>
    </row>
    <row r="65" spans="1:215" ht="21" customHeight="1">
      <c r="A65" s="10"/>
      <c r="B65" s="10"/>
      <c r="C65" s="10"/>
      <c r="D65" s="18" t="s">
        <v>66</v>
      </c>
      <c r="E65" s="40">
        <f>SUM(E46,E24,E17,)</f>
        <v>7166710</v>
      </c>
      <c r="F65" s="40">
        <f>SUM(F46,F24,F17,)</f>
        <v>380900</v>
      </c>
      <c r="G65" s="40">
        <f>SUM(G46,G24,G17,)</f>
        <v>7547610</v>
      </c>
      <c r="H65" s="40">
        <f>SUM(H46,H24,H17,)</f>
        <v>19932</v>
      </c>
      <c r="I65" s="40">
        <f aca="true" t="shared" si="39" ref="I65:N65">SUM(I46,I24,I17,I7)</f>
        <v>7567542</v>
      </c>
      <c r="J65" s="40">
        <f t="shared" si="39"/>
        <v>286502</v>
      </c>
      <c r="K65" s="40">
        <f t="shared" si="39"/>
        <v>7854044</v>
      </c>
      <c r="L65" s="40">
        <f t="shared" si="39"/>
        <v>0</v>
      </c>
      <c r="M65" s="40">
        <f t="shared" si="39"/>
        <v>7854044</v>
      </c>
      <c r="N65" s="40">
        <f t="shared" si="39"/>
        <v>21240</v>
      </c>
      <c r="O65" s="40">
        <f aca="true" t="shared" si="40" ref="O65:U65">SUM(O46,O43,O24,O17,O7)</f>
        <v>7875284</v>
      </c>
      <c r="P65" s="40">
        <f t="shared" si="40"/>
        <v>44050</v>
      </c>
      <c r="Q65" s="40">
        <f t="shared" si="40"/>
        <v>7919334</v>
      </c>
      <c r="R65" s="40">
        <f t="shared" si="40"/>
        <v>-291585</v>
      </c>
      <c r="S65" s="40">
        <f t="shared" si="40"/>
        <v>7627749</v>
      </c>
      <c r="T65" s="40">
        <f t="shared" si="40"/>
        <v>-767244</v>
      </c>
      <c r="U65" s="40">
        <f t="shared" si="40"/>
        <v>6860505</v>
      </c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  <c r="AS65" s="233"/>
      <c r="AT65" s="233"/>
      <c r="AU65" s="233"/>
      <c r="AV65" s="233"/>
      <c r="AW65" s="233"/>
      <c r="AX65" s="233"/>
      <c r="AY65" s="233"/>
      <c r="AZ65" s="233"/>
      <c r="BA65" s="233"/>
      <c r="BB65" s="233"/>
      <c r="BC65" s="233"/>
      <c r="BD65" s="233"/>
      <c r="BE65" s="233"/>
      <c r="BF65" s="233"/>
      <c r="BG65" s="233"/>
      <c r="BH65" s="233"/>
      <c r="BI65" s="233"/>
      <c r="BJ65" s="233"/>
      <c r="BK65" s="233"/>
      <c r="BL65" s="233"/>
      <c r="BM65" s="233"/>
      <c r="BN65" s="233"/>
      <c r="BO65" s="233"/>
      <c r="BP65" s="233"/>
      <c r="BQ65" s="233"/>
      <c r="BR65" s="233"/>
      <c r="BS65" s="233"/>
      <c r="BT65" s="233"/>
      <c r="BU65" s="233"/>
      <c r="BV65" s="233"/>
      <c r="BW65" s="233"/>
      <c r="BX65" s="233"/>
      <c r="BY65" s="233"/>
      <c r="BZ65" s="233"/>
      <c r="CA65" s="233"/>
      <c r="CB65" s="233"/>
      <c r="CC65" s="233"/>
      <c r="CD65" s="233"/>
      <c r="CE65" s="233"/>
      <c r="CF65" s="233"/>
      <c r="CG65" s="233"/>
      <c r="CH65" s="233"/>
      <c r="CI65" s="233"/>
      <c r="CJ65" s="233"/>
      <c r="CK65" s="233"/>
      <c r="CL65" s="233"/>
      <c r="CM65" s="233"/>
      <c r="CN65" s="233"/>
      <c r="CO65" s="233"/>
      <c r="CP65" s="233"/>
      <c r="CQ65" s="233"/>
      <c r="CR65" s="233"/>
      <c r="CS65" s="233"/>
      <c r="CT65" s="233"/>
      <c r="CU65" s="233"/>
      <c r="CV65" s="233"/>
      <c r="CW65" s="233"/>
      <c r="CX65" s="233"/>
      <c r="CY65" s="233"/>
      <c r="CZ65" s="233"/>
      <c r="DA65" s="233"/>
      <c r="DB65" s="233"/>
      <c r="DC65" s="233"/>
      <c r="DD65" s="233"/>
      <c r="DE65" s="233"/>
      <c r="DF65" s="233"/>
      <c r="DG65" s="233"/>
      <c r="DH65" s="233"/>
      <c r="DI65" s="233"/>
      <c r="DJ65" s="233"/>
      <c r="DK65" s="233"/>
      <c r="DL65" s="233"/>
      <c r="DM65" s="233"/>
      <c r="DN65" s="233"/>
      <c r="DO65" s="233"/>
      <c r="DP65" s="233"/>
      <c r="DQ65" s="233"/>
      <c r="DR65" s="233"/>
      <c r="DS65" s="233"/>
      <c r="DT65" s="233"/>
      <c r="DU65" s="233"/>
      <c r="DV65" s="233"/>
      <c r="DW65" s="233"/>
      <c r="DX65" s="233"/>
      <c r="DY65" s="233"/>
      <c r="DZ65" s="233"/>
      <c r="EA65" s="233"/>
      <c r="EB65" s="233"/>
      <c r="EC65" s="233"/>
      <c r="ED65" s="233"/>
      <c r="EE65" s="233"/>
      <c r="EF65" s="233"/>
      <c r="EG65" s="233"/>
      <c r="EH65" s="233"/>
      <c r="EI65" s="233"/>
      <c r="EJ65" s="233"/>
      <c r="EK65" s="233"/>
      <c r="EL65" s="233"/>
      <c r="EM65" s="233"/>
      <c r="EN65" s="233"/>
      <c r="EO65" s="233"/>
      <c r="EP65" s="233"/>
      <c r="EQ65" s="233"/>
      <c r="ER65" s="233"/>
      <c r="ES65" s="233"/>
      <c r="ET65" s="233"/>
      <c r="EU65" s="233"/>
      <c r="EV65" s="233"/>
      <c r="EW65" s="233"/>
      <c r="EX65" s="233"/>
      <c r="EY65" s="233"/>
      <c r="EZ65" s="233"/>
      <c r="FA65" s="233"/>
      <c r="FB65" s="233"/>
      <c r="FC65" s="233"/>
      <c r="FD65" s="233"/>
      <c r="FE65" s="233"/>
      <c r="FF65" s="233"/>
      <c r="FG65" s="233"/>
      <c r="FH65" s="233"/>
      <c r="FI65" s="233"/>
      <c r="FJ65" s="233"/>
      <c r="FK65" s="233"/>
      <c r="FL65" s="233"/>
      <c r="FM65" s="233"/>
      <c r="FN65" s="233"/>
      <c r="FO65" s="233"/>
      <c r="FP65" s="233"/>
      <c r="FQ65" s="233"/>
      <c r="FR65" s="233"/>
      <c r="FS65" s="233"/>
      <c r="FT65" s="233"/>
      <c r="FU65" s="233"/>
      <c r="FV65" s="233"/>
      <c r="FW65" s="233"/>
      <c r="FX65" s="233"/>
      <c r="FY65" s="233"/>
      <c r="FZ65" s="233"/>
      <c r="GA65" s="233"/>
      <c r="GB65" s="233"/>
      <c r="GC65" s="233"/>
      <c r="GD65" s="233"/>
      <c r="GE65" s="233"/>
      <c r="GF65" s="233"/>
      <c r="GG65" s="233"/>
      <c r="GH65" s="233"/>
      <c r="GI65" s="233"/>
      <c r="GJ65" s="233"/>
      <c r="GK65" s="233"/>
      <c r="GL65" s="233"/>
      <c r="GM65" s="233"/>
      <c r="GN65" s="233"/>
      <c r="GO65" s="233"/>
      <c r="GP65" s="233"/>
      <c r="GQ65" s="233"/>
      <c r="GR65" s="233"/>
      <c r="GS65" s="233"/>
      <c r="GT65" s="233"/>
      <c r="GU65" s="233"/>
      <c r="GV65" s="233"/>
      <c r="GW65" s="233"/>
      <c r="GX65" s="233"/>
      <c r="GY65" s="233"/>
      <c r="GZ65" s="233"/>
      <c r="HA65" s="233"/>
      <c r="HB65" s="233"/>
      <c r="HC65" s="233"/>
      <c r="HD65" s="233"/>
      <c r="HE65" s="233"/>
      <c r="HF65" s="233"/>
      <c r="HG65" s="233"/>
    </row>
    <row r="67" spans="5:21" ht="12.75"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</row>
    <row r="68" spans="5:21" ht="12.75"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</row>
    <row r="69" spans="5:21" ht="12.75"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5:21" ht="12.75"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</row>
    <row r="71" spans="5:21" ht="12.75"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</row>
    <row r="72" spans="5:21" ht="12.75"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</row>
    <row r="73" spans="5:21" ht="12.75"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</row>
    <row r="74" spans="5:21" ht="12.75"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</row>
    <row r="75" spans="5:21" ht="12.75"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</row>
    <row r="76" spans="5:21" ht="12.75"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</row>
    <row r="77" spans="5:21" ht="12.75"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</row>
    <row r="78" spans="5:21" ht="12.75"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</row>
    <row r="79" spans="5:21" ht="12.75"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</row>
    <row r="80" spans="5:21" ht="12.75"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</row>
    <row r="81" spans="5:21" ht="12.75"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</row>
    <row r="82" spans="5:21" ht="12.75"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</row>
    <row r="83" spans="5:21" ht="12.75"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</row>
  </sheetData>
  <sheetProtection/>
  <mergeCells count="1">
    <mergeCell ref="A5:S5"/>
  </mergeCells>
  <printOptions/>
  <pageMargins left="0.31496062992125984" right="0.3937007874015748" top="0.7480314960629921" bottom="0.7480314960629921" header="0.31496062992125984" footer="0.31496062992125984"/>
  <pageSetup horizontalDpi="150" verticalDpi="15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H29" sqref="H29"/>
    </sheetView>
  </sheetViews>
  <sheetFormatPr defaultColWidth="9.00390625" defaultRowHeight="12.75"/>
  <cols>
    <col min="1" max="1" width="4.75390625" style="7" customWidth="1"/>
    <col min="2" max="2" width="7.25390625" style="7" bestFit="1" customWidth="1"/>
    <col min="3" max="3" width="4.375" style="7" bestFit="1" customWidth="1"/>
    <col min="4" max="4" width="28.625" style="7" customWidth="1"/>
    <col min="5" max="5" width="13.00390625" style="7" customWidth="1"/>
    <col min="6" max="6" width="13.25390625" style="0" customWidth="1"/>
    <col min="7" max="7" width="15.375" style="0" customWidth="1"/>
  </cols>
  <sheetData>
    <row r="1" spans="5:7" ht="12.75">
      <c r="E1" s="46" t="s">
        <v>503</v>
      </c>
      <c r="G1" s="46"/>
    </row>
    <row r="2" spans="5:7" ht="12.75">
      <c r="E2" s="46" t="s">
        <v>497</v>
      </c>
      <c r="G2" s="46"/>
    </row>
    <row r="3" spans="5:7" ht="12.75">
      <c r="E3" s="46" t="s">
        <v>492</v>
      </c>
      <c r="G3" s="46"/>
    </row>
    <row r="4" spans="5:7" ht="12.75">
      <c r="E4" s="46" t="s">
        <v>327</v>
      </c>
      <c r="G4" s="46"/>
    </row>
    <row r="5" ht="12.75">
      <c r="E5"/>
    </row>
    <row r="8" spans="1:7" ht="43.5" customHeight="1">
      <c r="A8" s="282" t="s">
        <v>493</v>
      </c>
      <c r="B8" s="282"/>
      <c r="C8" s="282"/>
      <c r="D8" s="282"/>
      <c r="E8" s="282"/>
      <c r="F8" s="282"/>
      <c r="G8" s="282"/>
    </row>
    <row r="9" spans="1:5" ht="17.25" customHeight="1">
      <c r="A9" s="39"/>
      <c r="B9" s="39"/>
      <c r="C9" s="39"/>
      <c r="D9" s="39"/>
      <c r="E9" s="39"/>
    </row>
    <row r="10" spans="1:5" ht="12.75">
      <c r="A10" s="39"/>
      <c r="B10" s="39"/>
      <c r="C10" s="39"/>
      <c r="D10" s="39"/>
      <c r="E10" s="26"/>
    </row>
    <row r="11" spans="1:7" s="7" customFormat="1" ht="24.75" customHeight="1">
      <c r="A11" s="12" t="s">
        <v>0</v>
      </c>
      <c r="B11" s="12" t="s">
        <v>1</v>
      </c>
      <c r="C11" s="12" t="s">
        <v>2</v>
      </c>
      <c r="D11" s="18" t="s">
        <v>3</v>
      </c>
      <c r="E11" s="21" t="s">
        <v>116</v>
      </c>
      <c r="F11" s="21" t="s">
        <v>263</v>
      </c>
      <c r="G11" s="22" t="s">
        <v>494</v>
      </c>
    </row>
    <row r="12" spans="1:7" ht="24.75" customHeight="1">
      <c r="A12" s="30" t="s">
        <v>14</v>
      </c>
      <c r="B12" s="4"/>
      <c r="C12" s="23"/>
      <c r="D12" s="29" t="s">
        <v>15</v>
      </c>
      <c r="E12" s="40">
        <f aca="true" t="shared" si="0" ref="E12:G13">SUM(E13)</f>
        <v>75000</v>
      </c>
      <c r="F12" s="40">
        <f t="shared" si="0"/>
        <v>0</v>
      </c>
      <c r="G12" s="40">
        <f t="shared" si="0"/>
        <v>75000</v>
      </c>
    </row>
    <row r="13" spans="1:7" s="25" customFormat="1" ht="24.75" customHeight="1">
      <c r="A13" s="54"/>
      <c r="B13" s="54">
        <v>75011</v>
      </c>
      <c r="C13" s="61"/>
      <c r="D13" s="58" t="s">
        <v>16</v>
      </c>
      <c r="E13" s="67">
        <f t="shared" si="0"/>
        <v>75000</v>
      </c>
      <c r="F13" s="67">
        <f t="shared" si="0"/>
        <v>0</v>
      </c>
      <c r="G13" s="67">
        <f t="shared" si="0"/>
        <v>75000</v>
      </c>
    </row>
    <row r="14" spans="1:7" s="25" customFormat="1" ht="24" customHeight="1">
      <c r="A14" s="54"/>
      <c r="B14" s="54"/>
      <c r="C14" s="60" t="s">
        <v>152</v>
      </c>
      <c r="D14" s="58" t="s">
        <v>118</v>
      </c>
      <c r="E14" s="67">
        <v>75000</v>
      </c>
      <c r="F14" s="67">
        <v>0</v>
      </c>
      <c r="G14" s="67">
        <f>SUM(E14:F14)</f>
        <v>75000</v>
      </c>
    </row>
    <row r="15" spans="1:7" s="238" customFormat="1" ht="24" customHeight="1">
      <c r="A15" s="30">
        <v>852</v>
      </c>
      <c r="B15" s="4"/>
      <c r="C15" s="23"/>
      <c r="D15" s="29" t="s">
        <v>156</v>
      </c>
      <c r="E15" s="144">
        <f aca="true" t="shared" si="1" ref="E15:G16">SUM(E16)</f>
        <v>0</v>
      </c>
      <c r="F15" s="144">
        <f t="shared" si="1"/>
        <v>57935</v>
      </c>
      <c r="G15" s="144">
        <f t="shared" si="1"/>
        <v>57935</v>
      </c>
    </row>
    <row r="16" spans="1:7" s="25" customFormat="1" ht="56.25">
      <c r="A16" s="69"/>
      <c r="B16" s="41">
        <v>85212</v>
      </c>
      <c r="C16" s="60"/>
      <c r="D16" s="58" t="s">
        <v>298</v>
      </c>
      <c r="E16" s="67">
        <f t="shared" si="1"/>
        <v>0</v>
      </c>
      <c r="F16" s="67">
        <f t="shared" si="1"/>
        <v>57935</v>
      </c>
      <c r="G16" s="67">
        <f t="shared" si="1"/>
        <v>57935</v>
      </c>
    </row>
    <row r="17" spans="1:7" s="25" customFormat="1" ht="24" customHeight="1">
      <c r="A17" s="54"/>
      <c r="B17" s="54"/>
      <c r="C17" s="81" t="s">
        <v>133</v>
      </c>
      <c r="D17" s="36" t="s">
        <v>12</v>
      </c>
      <c r="E17" s="67">
        <v>0</v>
      </c>
      <c r="F17" s="67">
        <v>57935</v>
      </c>
      <c r="G17" s="67">
        <f>SUM(E17:F17)</f>
        <v>57935</v>
      </c>
    </row>
    <row r="18" spans="1:7" ht="24.75" customHeight="1">
      <c r="A18" s="10"/>
      <c r="B18" s="10"/>
      <c r="C18" s="10"/>
      <c r="D18" s="239" t="s">
        <v>66</v>
      </c>
      <c r="E18" s="40">
        <f>SUM(E12,E15)</f>
        <v>75000</v>
      </c>
      <c r="F18" s="40">
        <f>SUM(F12,F15)</f>
        <v>57935</v>
      </c>
      <c r="G18" s="40">
        <f>SUM(G12,G15)</f>
        <v>132935</v>
      </c>
    </row>
  </sheetData>
  <sheetProtection/>
  <mergeCells count="1">
    <mergeCell ref="A8:G8"/>
  </mergeCells>
  <printOptions horizontalCentered="1"/>
  <pageMargins left="0.7874015748031497" right="0.7874015748031497" top="0.7874015748031497" bottom="0.7874015748031497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4.25390625" style="0" customWidth="1"/>
    <col min="2" max="2" width="29.875" style="0" customWidth="1"/>
    <col min="3" max="3" width="22.375" style="0" customWidth="1"/>
    <col min="4" max="4" width="15.125" style="0" customWidth="1"/>
    <col min="5" max="5" width="14.125" style="0" customWidth="1"/>
    <col min="6" max="6" width="14.25390625" style="0" customWidth="1"/>
    <col min="7" max="7" width="13.125" style="85" customWidth="1"/>
    <col min="8" max="9" width="12.125" style="85" customWidth="1"/>
  </cols>
  <sheetData>
    <row r="1" spans="1:9" ht="12.75">
      <c r="A1" s="133"/>
      <c r="B1" s="133"/>
      <c r="C1" s="133"/>
      <c r="D1" s="133"/>
      <c r="E1" s="133"/>
      <c r="F1" s="46" t="s">
        <v>508</v>
      </c>
      <c r="G1" s="46"/>
      <c r="H1" s="134"/>
      <c r="I1" s="46"/>
    </row>
    <row r="2" spans="1:9" ht="12.75">
      <c r="A2" s="133"/>
      <c r="B2" s="133"/>
      <c r="C2" s="133"/>
      <c r="D2" s="133"/>
      <c r="E2" s="133"/>
      <c r="F2" s="46" t="s">
        <v>497</v>
      </c>
      <c r="G2" s="46"/>
      <c r="H2" s="134"/>
      <c r="I2" s="46"/>
    </row>
    <row r="3" spans="1:9" ht="12.75">
      <c r="A3" s="133"/>
      <c r="B3" s="133"/>
      <c r="C3" s="133"/>
      <c r="D3" s="133"/>
      <c r="E3" s="133"/>
      <c r="F3" s="46" t="s">
        <v>337</v>
      </c>
      <c r="G3" s="46"/>
      <c r="H3" s="134"/>
      <c r="I3" s="46"/>
    </row>
    <row r="4" spans="1:9" ht="12.75">
      <c r="A4" s="133"/>
      <c r="B4" s="133"/>
      <c r="C4" s="133"/>
      <c r="D4" s="133"/>
      <c r="E4" s="133"/>
      <c r="F4" s="46" t="s">
        <v>339</v>
      </c>
      <c r="G4" s="46"/>
      <c r="H4" s="134"/>
      <c r="I4" s="46"/>
    </row>
    <row r="5" spans="1:9" ht="24" customHeight="1">
      <c r="A5" s="135" t="s">
        <v>229</v>
      </c>
      <c r="B5" s="133"/>
      <c r="C5" s="135"/>
      <c r="D5" s="135"/>
      <c r="E5" s="135"/>
      <c r="F5" s="135"/>
      <c r="G5" s="134"/>
      <c r="H5" s="134"/>
      <c r="I5" s="134"/>
    </row>
    <row r="6" spans="1:9" s="86" customFormat="1" ht="21" customHeight="1">
      <c r="A6" s="276" t="s">
        <v>186</v>
      </c>
      <c r="B6" s="273" t="s">
        <v>187</v>
      </c>
      <c r="C6" s="273" t="s">
        <v>188</v>
      </c>
      <c r="D6" s="273" t="s">
        <v>189</v>
      </c>
      <c r="E6" s="273" t="s">
        <v>190</v>
      </c>
      <c r="F6" s="273" t="s">
        <v>191</v>
      </c>
      <c r="G6" s="280" t="s">
        <v>256</v>
      </c>
      <c r="H6" s="280"/>
      <c r="I6" s="280"/>
    </row>
    <row r="7" spans="1:9" s="86" customFormat="1" ht="50.25" customHeight="1">
      <c r="A7" s="277"/>
      <c r="B7" s="274"/>
      <c r="C7" s="274"/>
      <c r="D7" s="274"/>
      <c r="E7" s="274"/>
      <c r="F7" s="274"/>
      <c r="G7" s="281">
        <v>2009</v>
      </c>
      <c r="H7" s="281">
        <v>2010</v>
      </c>
      <c r="I7" s="281">
        <v>2011</v>
      </c>
    </row>
    <row r="8" spans="1:9" s="86" customFormat="1" ht="21" customHeight="1">
      <c r="A8" s="277"/>
      <c r="B8" s="275"/>
      <c r="C8" s="275"/>
      <c r="D8" s="275"/>
      <c r="E8" s="275"/>
      <c r="F8" s="275"/>
      <c r="G8" s="281"/>
      <c r="H8" s="281"/>
      <c r="I8" s="281"/>
    </row>
    <row r="9" spans="1:9" s="25" customFormat="1" ht="18" customHeight="1">
      <c r="A9" s="278"/>
      <c r="B9" s="136">
        <v>1</v>
      </c>
      <c r="C9" s="136">
        <v>2</v>
      </c>
      <c r="D9" s="137">
        <v>3</v>
      </c>
      <c r="E9" s="138">
        <v>4</v>
      </c>
      <c r="F9" s="139">
        <v>5</v>
      </c>
      <c r="G9" s="138">
        <v>6</v>
      </c>
      <c r="H9" s="138">
        <v>7</v>
      </c>
      <c r="I9" s="138">
        <v>8</v>
      </c>
    </row>
    <row r="10" spans="1:9" s="25" customFormat="1" ht="43.5" customHeight="1">
      <c r="A10" s="138" t="s">
        <v>192</v>
      </c>
      <c r="B10" s="109" t="s">
        <v>252</v>
      </c>
      <c r="C10" s="109" t="s">
        <v>262</v>
      </c>
      <c r="D10" s="140" t="s">
        <v>193</v>
      </c>
      <c r="E10" s="141" t="s">
        <v>254</v>
      </c>
      <c r="F10" s="163">
        <v>1400000</v>
      </c>
      <c r="G10" s="145">
        <v>400000</v>
      </c>
      <c r="H10" s="145">
        <v>500000</v>
      </c>
      <c r="I10" s="145">
        <v>500000</v>
      </c>
    </row>
    <row r="11" spans="1:9" s="77" customFormat="1" ht="24" customHeight="1">
      <c r="A11" s="263" t="s">
        <v>251</v>
      </c>
      <c r="B11" s="237" t="s">
        <v>482</v>
      </c>
      <c r="C11" s="259" t="s">
        <v>257</v>
      </c>
      <c r="D11" s="267" t="s">
        <v>193</v>
      </c>
      <c r="E11" s="270" t="s">
        <v>253</v>
      </c>
      <c r="F11" s="163">
        <v>6573000</v>
      </c>
      <c r="G11" s="145">
        <v>2520000</v>
      </c>
      <c r="H11" s="145">
        <v>4053000</v>
      </c>
      <c r="I11" s="145">
        <v>0</v>
      </c>
    </row>
    <row r="12" spans="1:9" s="77" customFormat="1" ht="17.25" customHeight="1">
      <c r="A12" s="264"/>
      <c r="B12" s="156" t="s">
        <v>481</v>
      </c>
      <c r="C12" s="260"/>
      <c r="D12" s="268"/>
      <c r="E12" s="271"/>
      <c r="F12" s="163">
        <f>SUM(G12:I12)</f>
        <v>0</v>
      </c>
      <c r="G12" s="145">
        <v>-1130836</v>
      </c>
      <c r="H12" s="145">
        <v>1130836</v>
      </c>
      <c r="I12" s="145">
        <v>0</v>
      </c>
    </row>
    <row r="13" spans="1:9" s="77" customFormat="1" ht="35.25" customHeight="1">
      <c r="A13" s="265"/>
      <c r="B13" s="237" t="s">
        <v>483</v>
      </c>
      <c r="C13" s="261"/>
      <c r="D13" s="269"/>
      <c r="E13" s="272"/>
      <c r="F13" s="145">
        <f>SUM(F11:F12)</f>
        <v>6573000</v>
      </c>
      <c r="G13" s="145">
        <f>SUM(G11:G12)</f>
        <v>1389164</v>
      </c>
      <c r="H13" s="145">
        <f>SUM(H11:H12)</f>
        <v>5183836</v>
      </c>
      <c r="I13" s="145">
        <f>SUM(I11:I12)</f>
        <v>0</v>
      </c>
    </row>
    <row r="14" spans="1:9" s="25" customFormat="1" ht="33.75" customHeight="1">
      <c r="A14" s="138" t="s">
        <v>194</v>
      </c>
      <c r="B14" s="109" t="s">
        <v>504</v>
      </c>
      <c r="C14" s="237" t="s">
        <v>258</v>
      </c>
      <c r="D14" s="140" t="s">
        <v>193</v>
      </c>
      <c r="E14" s="141" t="s">
        <v>254</v>
      </c>
      <c r="F14" s="163">
        <v>4900000</v>
      </c>
      <c r="G14" s="145">
        <v>1700000</v>
      </c>
      <c r="H14" s="145">
        <v>1600000</v>
      </c>
      <c r="I14" s="145">
        <v>1600000</v>
      </c>
    </row>
    <row r="15" spans="1:9" ht="33.75" customHeight="1" hidden="1">
      <c r="A15" s="262" t="s">
        <v>195</v>
      </c>
      <c r="B15" s="156" t="s">
        <v>255</v>
      </c>
      <c r="C15" s="109" t="s">
        <v>259</v>
      </c>
      <c r="D15" s="266" t="s">
        <v>193</v>
      </c>
      <c r="E15" s="279" t="s">
        <v>266</v>
      </c>
      <c r="F15" s="163">
        <v>1960000</v>
      </c>
      <c r="G15" s="145">
        <v>1500000</v>
      </c>
      <c r="H15" s="145">
        <v>0</v>
      </c>
      <c r="I15" s="145">
        <v>0</v>
      </c>
    </row>
    <row r="16" spans="1:9" ht="12.75" customHeight="1" hidden="1">
      <c r="A16" s="262"/>
      <c r="B16" s="156"/>
      <c r="C16" s="109" t="s">
        <v>264</v>
      </c>
      <c r="D16" s="266"/>
      <c r="E16" s="279"/>
      <c r="F16" s="163">
        <f>SUM(G16:I16)</f>
        <v>25000</v>
      </c>
      <c r="G16" s="145">
        <v>25000</v>
      </c>
      <c r="H16" s="145">
        <v>0</v>
      </c>
      <c r="I16" s="145">
        <v>0</v>
      </c>
    </row>
    <row r="17" spans="1:9" ht="17.25" customHeight="1">
      <c r="A17" s="262"/>
      <c r="B17" s="156" t="s">
        <v>495</v>
      </c>
      <c r="C17" s="259" t="s">
        <v>259</v>
      </c>
      <c r="D17" s="266"/>
      <c r="E17" s="279"/>
      <c r="F17" s="163">
        <f>SUM(F15:F16)</f>
        <v>1985000</v>
      </c>
      <c r="G17" s="163">
        <f>SUM(G15:G16)</f>
        <v>1525000</v>
      </c>
      <c r="H17" s="163">
        <f>SUM(H15:H16)</f>
        <v>0</v>
      </c>
      <c r="I17" s="145">
        <f>SUM(I15:I16)</f>
        <v>0</v>
      </c>
    </row>
    <row r="18" spans="1:9" ht="17.25" customHeight="1">
      <c r="A18" s="262"/>
      <c r="B18" s="156" t="s">
        <v>481</v>
      </c>
      <c r="C18" s="260"/>
      <c r="D18" s="266"/>
      <c r="E18" s="279"/>
      <c r="F18" s="163">
        <f>SUM(G18:I18)</f>
        <v>-4700</v>
      </c>
      <c r="G18" s="163">
        <v>-4700</v>
      </c>
      <c r="H18" s="163">
        <v>0</v>
      </c>
      <c r="I18" s="145">
        <v>0</v>
      </c>
    </row>
    <row r="19" spans="1:9" ht="22.5">
      <c r="A19" s="262"/>
      <c r="B19" s="156" t="s">
        <v>496</v>
      </c>
      <c r="C19" s="261"/>
      <c r="D19" s="266"/>
      <c r="E19" s="279"/>
      <c r="F19" s="163">
        <f>SUM(F17:F18)</f>
        <v>1980300</v>
      </c>
      <c r="G19" s="163">
        <f>SUM(G17:G18)</f>
        <v>1520300</v>
      </c>
      <c r="H19" s="163">
        <f>SUM(H17:H18)</f>
        <v>0</v>
      </c>
      <c r="I19" s="145">
        <f>SUM(I17:I18)</f>
        <v>0</v>
      </c>
    </row>
    <row r="20" spans="1:9" ht="22.5" customHeight="1" hidden="1">
      <c r="A20" s="262" t="s">
        <v>261</v>
      </c>
      <c r="B20" s="266" t="s">
        <v>267</v>
      </c>
      <c r="C20" s="259" t="s">
        <v>258</v>
      </c>
      <c r="D20" s="267" t="s">
        <v>193</v>
      </c>
      <c r="E20" s="270" t="s">
        <v>253</v>
      </c>
      <c r="F20" s="163">
        <v>1500000</v>
      </c>
      <c r="G20" s="145">
        <v>350000</v>
      </c>
      <c r="H20" s="145">
        <v>1150000</v>
      </c>
      <c r="I20" s="145">
        <v>0</v>
      </c>
    </row>
    <row r="21" spans="1:9" s="100" customFormat="1" ht="19.5" customHeight="1" hidden="1">
      <c r="A21" s="262"/>
      <c r="B21" s="266"/>
      <c r="C21" s="260"/>
      <c r="D21" s="268"/>
      <c r="E21" s="271"/>
      <c r="F21" s="145">
        <f>SUM(G21:I21)</f>
        <v>-71500</v>
      </c>
      <c r="G21" s="145">
        <v>-71500</v>
      </c>
      <c r="H21" s="145">
        <v>0</v>
      </c>
      <c r="I21" s="145">
        <v>0</v>
      </c>
    </row>
    <row r="22" spans="1:9" s="100" customFormat="1" ht="26.25" customHeight="1">
      <c r="A22" s="262"/>
      <c r="B22" s="266"/>
      <c r="C22" s="261"/>
      <c r="D22" s="269"/>
      <c r="E22" s="272"/>
      <c r="F22" s="145">
        <f>SUM(F20:F21)</f>
        <v>1428500</v>
      </c>
      <c r="G22" s="145">
        <f>SUM(G20:G21)</f>
        <v>278500</v>
      </c>
      <c r="H22" s="145">
        <f>SUM(H20:H21)</f>
        <v>1150000</v>
      </c>
      <c r="I22" s="145">
        <f>SUM(I20:I21)</f>
        <v>0</v>
      </c>
    </row>
    <row r="23" spans="1:9" s="100" customFormat="1" ht="22.5">
      <c r="A23" s="141" t="s">
        <v>505</v>
      </c>
      <c r="B23" s="156" t="s">
        <v>506</v>
      </c>
      <c r="C23" s="140" t="s">
        <v>257</v>
      </c>
      <c r="D23" s="140" t="s">
        <v>507</v>
      </c>
      <c r="E23" s="141" t="s">
        <v>254</v>
      </c>
      <c r="F23" s="240">
        <f>SUM(G23:I23)</f>
        <v>4415000</v>
      </c>
      <c r="G23" s="240">
        <v>350000</v>
      </c>
      <c r="H23" s="240">
        <v>2032500</v>
      </c>
      <c r="I23" s="240">
        <v>2032500</v>
      </c>
    </row>
  </sheetData>
  <sheetProtection/>
  <mergeCells count="23">
    <mergeCell ref="G6:I6"/>
    <mergeCell ref="G7:G8"/>
    <mergeCell ref="H7:H8"/>
    <mergeCell ref="I7:I8"/>
    <mergeCell ref="E6:E8"/>
    <mergeCell ref="F6:F8"/>
    <mergeCell ref="E20:E22"/>
    <mergeCell ref="C6:C8"/>
    <mergeCell ref="A6:A9"/>
    <mergeCell ref="B6:B8"/>
    <mergeCell ref="D6:D8"/>
    <mergeCell ref="D15:D19"/>
    <mergeCell ref="C11:C13"/>
    <mergeCell ref="C20:C22"/>
    <mergeCell ref="E11:E13"/>
    <mergeCell ref="E15:E19"/>
    <mergeCell ref="C17:C19"/>
    <mergeCell ref="A15:A19"/>
    <mergeCell ref="A11:A13"/>
    <mergeCell ref="A20:A22"/>
    <mergeCell ref="B20:B22"/>
    <mergeCell ref="D20:D22"/>
    <mergeCell ref="D11:D13"/>
  </mergeCells>
  <printOptions horizontalCentered="1"/>
  <pageMargins left="0.32" right="0.35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Tomasz Witkowski</cp:lastModifiedBy>
  <cp:lastPrinted>2009-09-29T13:41:30Z</cp:lastPrinted>
  <dcterms:created xsi:type="dcterms:W3CDTF">2002-10-21T08:56:44Z</dcterms:created>
  <dcterms:modified xsi:type="dcterms:W3CDTF">2009-10-09T13:27:37Z</dcterms:modified>
  <cp:category/>
  <cp:version/>
  <cp:contentType/>
  <cp:contentStatus/>
</cp:coreProperties>
</file>